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2023\02_OCITEB\Dev\Herramientas_varias_ociteb_v1\data\source\"/>
    </mc:Choice>
  </mc:AlternateContent>
  <xr:revisionPtr revIDLastSave="0" documentId="13_ncr:1_{4E1179A0-8662-44E2-818A-22E57752666D}" xr6:coauthVersionLast="45" xr6:coauthVersionMax="45" xr10:uidLastSave="{00000000-0000-0000-0000-000000000000}"/>
  <bookViews>
    <workbookView xWindow="-108" yWindow="-108" windowWidth="23256" windowHeight="12576" xr2:uid="{00000000-000D-0000-FFFF-FFFF00000000}"/>
  </bookViews>
  <sheets>
    <sheet name="wos" sheetId="1" r:id="rId1"/>
    <sheet name="scopus 1" sheetId="5" r:id="rId2"/>
  </sheets>
  <definedNames>
    <definedName name="scopus221222" localSheetId="1">'scopus 1'!$A$1:$BB$469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T79" i="1"/>
  <c r="BF80" i="1"/>
  <c r="BT80" i="1"/>
  <c r="BF81" i="1"/>
  <c r="BT81" i="1"/>
  <c r="BF82" i="1"/>
  <c r="BT82" i="1"/>
  <c r="BF83" i="1"/>
  <c r="BT83" i="1"/>
  <c r="BF84" i="1"/>
  <c r="BT84" i="1"/>
  <c r="BF85" i="1"/>
  <c r="BT85" i="1"/>
  <c r="BF86" i="1"/>
  <c r="BT86" i="1"/>
  <c r="BF87" i="1"/>
  <c r="BT87"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T156" i="1"/>
  <c r="BF157" i="1"/>
  <c r="BT157"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T173" i="1"/>
  <c r="BF174" i="1"/>
  <c r="BT174"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F195" i="1"/>
  <c r="BT195" i="1"/>
  <c r="BF196" i="1"/>
  <c r="BT196" i="1"/>
  <c r="BF197" i="1"/>
  <c r="BT197" i="1"/>
  <c r="BT198" i="1"/>
  <c r="BF199" i="1"/>
  <c r="BT199" i="1"/>
  <c r="BF200" i="1"/>
  <c r="BT200" i="1"/>
  <c r="BF201" i="1"/>
  <c r="BT201" i="1"/>
  <c r="BF202" i="1"/>
  <c r="BT202" i="1"/>
  <c r="BF203" i="1"/>
  <c r="BT203" i="1"/>
  <c r="BF204" i="1"/>
  <c r="BT204" i="1"/>
  <c r="BF205" i="1"/>
  <c r="BT205"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scopus221222" type="6" refreshedVersion="4" background="1" saveData="1">
    <textPr codePage="65001" sourceFile="C:\Users\TUPTC\Documents\ociteb\scopus221222.csv" decimal="," thousands="." tab="0" comma="1">
      <textFields count="5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<sst xmlns="http://schemas.openxmlformats.org/spreadsheetml/2006/main" count="22930" uniqueCount="10769">
  <si>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</si>
  <si>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</si>
  <si>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</si>
  <si>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</si>
  <si>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</si>
  <si>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</si>
  <si>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</si>
  <si>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</si>
  <si>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</si>
  <si>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</si>
  <si>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</si>
  <si>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</si>
  <si>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</si>
  <si>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</si>
  <si>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</si>
  <si>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</si>
  <si>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</si>
  <si>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</si>
  <si>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</si>
  <si>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</si>
  <si>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</si>
  <si>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</si>
  <si>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</si>
  <si>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</si>
  <si>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</si>
  <si>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</si>
  <si>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</si>
  <si>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</si>
  <si>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</si>
  <si>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</si>
  <si>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</si>
  <si>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</si>
  <si>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</si>
  <si>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</si>
  <si>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</si>
  <si>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</si>
  <si>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</si>
  <si>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</si>
  <si>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</si>
  <si>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</si>
  <si>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</si>
  <si>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</si>
  <si>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</si>
  <si>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</si>
  <si>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</si>
  <si>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</si>
  <si>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</si>
  <si>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</si>
  <si>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</si>
  <si>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</si>
  <si>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</si>
  <si>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</si>
  <si>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</si>
  <si>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</si>
  <si>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</si>
  <si>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</si>
  <si>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</si>
  <si>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</si>
  <si>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</si>
  <si>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</si>
  <si>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</si>
  <si>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</si>
  <si>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</si>
  <si>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</si>
  <si>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</si>
  <si>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</si>
  <si>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</si>
  <si>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</si>
  <si>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</si>
  <si>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</si>
  <si>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</si>
  <si>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</si>
  <si>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</si>
  <si>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Otalora, MC; Wilches-Torres, A; Castano, JGA</t>
  </si>
  <si>
    <t/>
  </si>
  <si>
    <t>Otalora, Maria Carolina; Wilches-Torres, Andrea; Gomez Castano, Jovanny A.</t>
  </si>
  <si>
    <t>Spray-Drying Microencapsulation of Pink Guava (Psidium guajava) Carotenoids Using Mucilage from Opuntia ficus-indica Cladodes and Aloe Vera Leaves as Encapsulating Materials</t>
  </si>
  <si>
    <t>POLYMERS</t>
  </si>
  <si>
    <t>English</t>
  </si>
  <si>
    <t>Article</t>
  </si>
  <si>
    <t>guava; carotenoids; microencapsulation; mucilage; spray-drying; aloe vera; Opuntia ficus-indica</t>
  </si>
  <si>
    <t>ANTIOXIDANT ACTIVITY; BARBADENSIS MILLER; NOPAL MUCILAGE; MESQUITE GUM; STABILITY; L.; OIL; NANOENCAPSULATION; OXIDATION; EXTRACT</t>
  </si>
  <si>
    <t>In this work, the capacity of the mucilage extracted from the cladodes of Opuntia ficus-indica (OFI) and aloe vera (AV) leaves as wall material in the microencapsulation of pink guava carotenoids using spray-drying was studied. The stability of the encapsulated carotenoids was quantified using UV-vis and HPLC/MS techniques. Likewise, the antioxidant activity (TEAC), color (CIELab), structural (FTIR) and microstructural (SEM and particle size) properties, as well as the total dietary content, of both types of mucilage microcapsules were determined. Our results show that the use of AV mucilage, compared to OFI mucilage, increased both the retention of beta-carotene and the antioxidant capacity of the carotenoid microcapsules by around 14%, as well as the total carotenoid content (TCC) by around 26%, and also favors the formation of spherical-type particles (o approximately equal to 26 mu m) without the apparent damage of a more uniform size and with an attractive red-yellow hue. This type of microcapsules is proposed as a convenient alternative means to incorporate guava carotenoids, a natural colorant with a high antioxidant capacity, and dietary fiber content in the manufacture of functional products, which is a topic of interest for the food, pharmaceutical, and cosmetic industries.</t>
  </si>
  <si>
    <t>[Otalora, Maria Carolina; Wilches-Torres, Andrea] Univ Boyaca, Fac Ciencias &amp; Ingn, Grp Invest Ciencias Basicas NUCLEO, Tunja 050030, Boyaca, Colombia; [Gomez Castano, Jovanny A.] Univ Pedag &amp; Tecnol Colombia UPTC, Fac Ciencias, Grp Quim Fis Mol &amp; Modelamiento Computac QUIMOL, Tunja 050030, Boyaca, Colombia</t>
  </si>
  <si>
    <t>Universidad Pedagogica y Tecnologica de Colombia (UPTC)</t>
  </si>
  <si>
    <t>Otalora, MC (corresponding author), Univ Boyaca, Fac Ciencias &amp; Ingn, Grp Invest Ciencias Basicas NUCLEO, Tunja 050030, Boyaca, Colombia.;Castano, JGA (corresponding author), Univ Pedag &amp; Tecnol Colombia UPTC, Fac Ciencias, Grp Quim Fis Mol &amp; Modelamiento Computac QUIMOL, Tunja 050030, Boyaca, Colombia.</t>
  </si>
  <si>
    <t>marotalora@uniboyaca.edu.co; andreawilches@uniboyaca.edu.co; jovanny.gomez@uptc.edu.co</t>
  </si>
  <si>
    <t>Gómez Castaño, Jovanny A./X-7862-2019</t>
  </si>
  <si>
    <t>Gómez Castaño, Jovanny A./0000-0002-6654-1315; Otalora, Maria Carolina/0000-0003-0594-1363; Wilches-Torres, Andrea/0000-0002-7980-2342</t>
  </si>
  <si>
    <t>Universidad de Boyaca and the Universidad Pedagogica y Tecnologica de Colombia (UPTC) [SGI 2384]; Vicerrectoria de Investigaciones of the Universidad Pedagogica y Tecnologica de Colombia</t>
  </si>
  <si>
    <t>Universidad de Boyaca and the Universidad Pedagogica y Tecnologica de Colombia (UPTC); Vicerrectoria de Investigaciones of the Universidad Pedagogica y Tecnologica de Colombia</t>
  </si>
  <si>
    <t>FundingThis work was funded by the Universidad de Boyaca and the Universidad Pedagogica y Tecnologica de Colombia (UPTC) through the interinstitutional project SGI 2384 of the Vicerrectoria de Investigaciones of the Universidad Pedagogica y Tecnologica de Colombia.</t>
  </si>
  <si>
    <t>MDPI</t>
  </si>
  <si>
    <t>BASEL</t>
  </si>
  <si>
    <t>ST ALBAN-ANLAGE 66, CH-4052 BASEL, SWITZERLAND</t>
  </si>
  <si>
    <t>2073-4360</t>
  </si>
  <si>
    <t>POLYMERS-BASEL</t>
  </si>
  <si>
    <t>Polymers</t>
  </si>
  <si>
    <t>JAN</t>
  </si>
  <si>
    <t>10.3390/polym14020310</t>
  </si>
  <si>
    <t>Polymer Science</t>
  </si>
  <si>
    <t>Science Citation Index Expanded (SCI-EXPANDED)</t>
  </si>
  <si>
    <t>ZD9BD</t>
  </si>
  <si>
    <t>Green Published, gold</t>
  </si>
  <si>
    <t>2023-01-24</t>
  </si>
  <si>
    <t>WOS:000758488500001</t>
  </si>
  <si>
    <t>Cardenas, LPS; Soler, KAA; Gonzalez, DNL; Nunez, WRE; Cardenas-Chaparro, A; Duchowicz, PR; Castano, JGA</t>
  </si>
  <si>
    <t>Prieto Cardenas, Lina S.; Arias Soler, Karen A.; Nossa Gonzalez, Diana L.; Rozo Nunez, Wilson E.; Cardenas-Chaparro, Agobardo; Duchowicz, Pablo R.; Gomez Castano, Jovanny A.</t>
  </si>
  <si>
    <t>In Silico Antiprotozoal Evaluation of 1,4-Naphthoquinone Derivatives against Chagas and Leishmaniasis Diseases Using QSAR, Molecular Docking, and ADME Approaches</t>
  </si>
  <si>
    <t>PHARMACEUTICALS</t>
  </si>
  <si>
    <t>chagas; leishmaniasis; naphthoquinones; antiprotozoal evaluation; QSAR; molecular docking; ADME</t>
  </si>
  <si>
    <t>TRYPANOSOMA-CRUZI ACTIVITY; POTENT ANTITUMOR-ACTIVITY; POLAR SURFACE-AREA; BETA-LAPACHONE; TRYPANOTHIONE REDUCTASE; CRYSTAL-STRUCTURE; DRUG DISCOVERY; DESCRIPTORS; SOLUBILITY; PREDICTION</t>
  </si>
  <si>
    <t>Chagas and leishmaniasis are two neglected diseases considered as public health problems worldwide, for which there is no effective, low-cost, and low-toxicity treatment for the host. Naphthoquinones are ligands with redox properties involved in oxidative biological processes with a wide variety of activities, including antiparasitic. In this work, in silico methods of quantitative structure-activity relationship (QSAR), molecular docking, and calculation of ADME (absorption, distribution, metabolism, and excretion) properties were used to evaluate naphthoquinone derivatives with unknown antiprotozoal activity. QSAR models were developed for predicting antiparasitic activity against Trypanosoma cruzi, Leishmania amazonensis, and Leishmania infatum, as well as the QSAR model for toxicity activity. Most of the evaluated ligands presented high antiparasitic activity. According to the docking results, the family of triazole derivatives presented the best affinity with the different macromolecular targets. The ADME results showed that most of the evaluated compounds present adequate conditions to be administered orally. Naphthoquinone derivatives show good biological activity results, depending on the substituents attached to the quinone ring, and perhaps the potential to be converted into drugs or starting molecules.</t>
  </si>
  <si>
    <t>[Prieto Cardenas, Lina S.; Arias Soler, Karen A.; Nossa Gonzalez, Diana L.; Rozo Nunez, Wilson E.; Cardenas-Chaparro, Agobardo; Gomez Castano, Jovanny A.] Univ Pedag &amp; Tecnol Colombia UPTC, Fac Ciencias, Grp Quim Fis Mol &amp; Modelamiento Computac QUIMOL, Ave Cent Norte, Tunja 050030, Colombia; [Duchowicz, Pablo R.] Univ Nacl La Plata, Inst Invest Fisicoquim Teor &amp; Aplicadas, CONICET, Diagonal 113 &amp; Calle 64,CC 16,Sucursal 4, RA-1900 La Plata, Argentina</t>
  </si>
  <si>
    <t>Universidad Pedagogica y Tecnologica de Colombia (UPTC); Consejo Nacional de Investigaciones Cientificas y Tecnicas (CONICET); National University of La Plata; INIFTA</t>
  </si>
  <si>
    <t>Castano, JGA (corresponding author), Univ Pedag &amp; Tecnol Colombia UPTC, Fac Ciencias, Grp Quim Fis Mol &amp; Modelamiento Computac QUIMOL, Ave Cent Norte, Tunja 050030, Colombia.</t>
  </si>
  <si>
    <t>lina.prieto02@uptc.edu.coY; karen.arias02@uptc.edu.co; dlissethn@gmail.com; wilson.rozo@uptc.edu.co; agobardo.cardenas01@uptc.edu.co; pabloducho@gmail.com; jovanny.gomez@uptc.edu.co</t>
  </si>
  <si>
    <t>Gómez Castaño, Jovanny A./0000-0002-6654-1315; PRIETO CARDENAS, LINA SOFIA/0000-0003-3127-4007; Arias Soler, Karen Astrid/0000-0002-8921-7200; Rozo Nunez, Wilson Elias/0000-0003-2504-7449</t>
  </si>
  <si>
    <t>Universidad Pedagogica y Tecnologica de Colombia (UPTC) [SGI2033, SGI2949, SGI3038, SGI3188]; Direccion de Investigaciones (DIN)</t>
  </si>
  <si>
    <t>Universidad Pedagogica y Tecnologica de Colombia (UPTC); Direccion de Investigaciones (DIN)</t>
  </si>
  <si>
    <t>This research was funded by the Universidad Pedagogica y Tecnologica de Colombia (UPTC) through projects SGI2033, SGI2949, SGI3038, and SGI3188 of the Direccion de Investigaciones (DIN).</t>
  </si>
  <si>
    <t>1424-8247</t>
  </si>
  <si>
    <t>PHARMACEUTICALS-BASE</t>
  </si>
  <si>
    <t>Pharmaceuticals</t>
  </si>
  <si>
    <t>JUN</t>
  </si>
  <si>
    <t>10.3390/ph15060687</t>
  </si>
  <si>
    <t>Chemistry, Medicinal; Pharmacology &amp; Pharmacy</t>
  </si>
  <si>
    <t>Pharmacology &amp; Pharmacy</t>
  </si>
  <si>
    <t>2K9TS</t>
  </si>
  <si>
    <t>gold, Green Published</t>
  </si>
  <si>
    <t>WOS:000816669900001</t>
  </si>
  <si>
    <t>Moreno-Medina, BL; Casierra-Posada, F; Medina-Vargas, OJ</t>
  </si>
  <si>
    <t>Moreno-Medina, Brigitte Liliana; Casierra-Posada, Fanor; Medina-Vargas, Oscar Julio</t>
  </si>
  <si>
    <t>Phenolic Profile and Antioxidant Capacity of Blackberry Fruits (Rubus spp) Grown in Colombia</t>
  </si>
  <si>
    <t>ERWERBS-OBSTBAU</t>
  </si>
  <si>
    <t>Article; Early Access</t>
  </si>
  <si>
    <t>ABTS (2,2'-azino-bis 3-ethylbenzothiazoline-6-sulfonic acid); DPPH (2,2-diphenyl-1-picrylhydrazyl); Color-Cielab; Polyphenols; Flavonoids</t>
  </si>
  <si>
    <t>ANTHOCYANINS</t>
  </si>
  <si>
    <t>Worldwide, the market and consumption of berries has shown an increase as a result of the versatility that the fruit presents when marketed in different presentations. Their nutritional properties and the content of phenolic compounds (anthocyanins), which provide benefits such as antioxidants, antimicrobials, anti-inflammatory, and chemopreventive properties, are also favorable. The aim of this study is to determine the phenolic profile and antioxidant capacity in blackberry fruits grown in Boyaca, Colombia. The study describes the content of phenolic compounds (carried out using the Folin-Ciocalteu method), the antioxidant capacity (2,2-diphenyl-1-picrylhydrazyl [DPPH] and 2,2 &amp; PRIME;-azino-bis-3-ethylbenzothiazoline-6-sulphonic acid [ABTS]), the content of anthocyanins (differential pH method), color (CIELAB system), and the profiles of phenolic compounds (ultra-high performance liquid chromatography [UHPLC]) in fruits of three species of fully mature blackberries (Rubus sp.). In the species of the genus Rubus studied, anthocyanins (within 257-264 mg cyanidin-3-O-glycoside equivalent 100 g(-1)) and certain flavonoids contribute significantly to color, antioxidant capacity, and a number of bioactive attributes. Nine phenolic compounds were found in representative concentrations for each species (catechin, epicatechin, pinocembrin, quercetin, and anthocyanins of different types). Additionally, this study is the first to identify the phenolic profile in fruits of R. alutaceus and identify the compound kaempferol-3-glucoside (5.8 mg kg) as a possible chemotaxonomic marker of the species.</t>
  </si>
  <si>
    <t>[Moreno-Medina, Brigitte Liliana; Casierra-Posada, Fanor] Univ Pedag &amp; Tecnol Colombia, Fac Agr Sci, Agr Engn Program, Tunja, Colombia; [Medina-Vargas, Oscar Julio] Univ Pedag &amp; Tecnol Colombia, Fac Sci, Chem Program, Tunja, Colombia</t>
  </si>
  <si>
    <t>Universidad Pedagogica y Tecnologica de Colombia (UPTC); Universidad Pedagogica y Tecnologica de Colombia (UPTC)</t>
  </si>
  <si>
    <t>Moreno-Medina, BL (corresponding author), Univ Pedag &amp; Tecnol Colombia, Fac Agr Sci, Agr Engn Program, Tunja, Colombia.</t>
  </si>
  <si>
    <t>brigitte.moreno@uptc.edu.co</t>
  </si>
  <si>
    <t>Universidad Pedagogica y Tecnologica de Colombia (UPTC); Ministry of Science, Technology, and Innovation of Colombia (Minciencias, before Colciencias); Gobernacion de Boyaca [733/2015]</t>
  </si>
  <si>
    <t>Universidad Pedagogica y Tecnologica de Colombia (UPTC); Ministry of Science, Technology, and Innovation of Colombia (Minciencias, before Colciencias); Gobernacion de Boyaca</t>
  </si>
  <si>
    <t>This study was supported by the Universidad Pedagogica y Tecnologica de Colombia (UPTC), the Ministry of Science, Technology, and Innovation of Colombia &lt;SUP&gt;(&lt;/SUP&gt;Minciencias, before Colciencias), and the Gobernacion de Boyaca, call 733/2015.</t>
  </si>
  <si>
    <t>SPRINGER</t>
  </si>
  <si>
    <t>NEW YORK</t>
  </si>
  <si>
    <t>ONE NEW YORK PLAZA, SUITE 4600, NEW YORK, NY, UNITED STATES</t>
  </si>
  <si>
    <t>0014-0309</t>
  </si>
  <si>
    <t>1439-0302</t>
  </si>
  <si>
    <t>Erwerbs-Obstbau</t>
  </si>
  <si>
    <t>10.1007/s10341-022-00793-5</t>
  </si>
  <si>
    <t>DEC 2022</t>
  </si>
  <si>
    <t>Horticulture</t>
  </si>
  <si>
    <t>Agriculture</t>
  </si>
  <si>
    <t>7C0DV</t>
  </si>
  <si>
    <t>WOS:000899494200001</t>
  </si>
  <si>
    <t>Borda, J; Torres, R</t>
  </si>
  <si>
    <t>Borda, Johana; Torres, Robinson</t>
  </si>
  <si>
    <t>Prospects for Thiourea as a Leaching Agent in Colombian Gold Small-Scale Mining: A Comprehensive Review</t>
  </si>
  <si>
    <t>JOURNAL OF SUSTAINABLE MINING</t>
  </si>
  <si>
    <t>Review</t>
  </si>
  <si>
    <t>mining; gold; cyanide; thiourea</t>
  </si>
  <si>
    <t>CYANIDE; SILVER; ORE; RECOVERY; DECOMPOSITION; THIOSULFATE; EXTRACTION; REMOVAL</t>
  </si>
  <si>
    <t>Thiourea, as an alternative medium, is one of the most promising leaching agents for gold recovery by its commercial benefits and research challenges associated with performance and environmental impacts. This review article describes the operational conditions for the use of Thiourea vs cyanide, its chemistry, limitations, toxicity factors, environment, and recovery processes. Although thiourea gold extraction processes have not been applied on a large scale due to the instability of the reagent, its potential to overcome the limitations of cyanide is attractive to the process; with pH, potential, oxidant dosage, and temperature control, solubilized gold thiourea species are achieved. These can be recovered from the pregnant leach solution through methods such as activated carbon absorption and adsorption, polyurethane foams, ion exchange, and electrodeposition.</t>
  </si>
  <si>
    <t>[Borda, Johana; Torres, Robinson] Univ Pedag &amp; Tecnol Colombia, Escuela Ingn Met, Fac Ingn, Tunja, Colombia</t>
  </si>
  <si>
    <t>Borda, J (corresponding author), Univ Pedag &amp; Tecnol Colombia, Escuela Ingn Met, Fac Ingn, Tunja, Colombia.</t>
  </si>
  <si>
    <t>angelajohana.borda@uptc.edu.co</t>
  </si>
  <si>
    <t>VIE-SGI project; Grupo Metalurgia No Ferrosa of the Universidad Pedagogica y Tecnologica de Colombia UPTC</t>
  </si>
  <si>
    <t>The authors are grateful for the support received from the VIE-SGI project to carry out this research, as well as the Grupo Metalurgia No Ferrosa of the Universidad Pedagogica y Tecnologica de Colombia UPTC.</t>
  </si>
  <si>
    <t>Glowny Instytut Gornictwa</t>
  </si>
  <si>
    <t>Katowice</t>
  </si>
  <si>
    <t>Plac Gwarkow 1, Katowice, POLAND</t>
  </si>
  <si>
    <t>2543-4950</t>
  </si>
  <si>
    <t>2300-3960</t>
  </si>
  <si>
    <t>J SUSTAIN MINING</t>
  </si>
  <si>
    <t>J. Sustainable Mining</t>
  </si>
  <si>
    <t>10.46873/2300-3960.1364</t>
  </si>
  <si>
    <t>Green &amp; Sustainable Science &amp; Technology; Mining &amp; Mineral Processing</t>
  </si>
  <si>
    <t>Emerging Sources Citation Index (ESCI)</t>
  </si>
  <si>
    <t>Science &amp; Technology - Other Topics; Mining &amp; Mineral Processing</t>
  </si>
  <si>
    <t>7C3FJ</t>
  </si>
  <si>
    <t>gold</t>
  </si>
  <si>
    <t>WOS:000899701600004</t>
  </si>
  <si>
    <t>Hurtado-Rodriguez, D; Salinas-Torres, A; Rojas, H; Becerra, D; Castillo, JC</t>
  </si>
  <si>
    <t>Hurtado-Rodriguez, Diana; Salinas-Torres, Angelica; Rojas, Hugo; Becerra, Diana; Castillo, Juan-Carlos</t>
  </si>
  <si>
    <t>Bioactive 2-pyridone-containing heterocycle syntheses using multicomponent reactions</t>
  </si>
  <si>
    <t>RSC ADVANCES</t>
  </si>
  <si>
    <t>ONE-POT SYNTHESIS; INTERCONVERSION MECHANISM; INFLAMMATORY RESPONSE; DERIVATIVES; INHIBITORS; DISCOVERY; APOPTOSIS; 2-HYDROXYPYRIDINES; QUINOLONE; MILRINONE</t>
  </si>
  <si>
    <t>2-Pyridone-containing heterocycles are considered privileged scaffolds in drug discovery due to their behavior as hydrogen bond donors and/or acceptors and nonpeptidic mimics, and remarkable physicochemical properties such as metabolic stability, solubility in water, and lipophilicity. This review provides a comprehensive overview of multicomponent reactions (MCRs) for the synthesis of 2-pyridone-containing heterocycles. In particular, it covers the articles published from 1999 to date related to anticancer, antibacterial, antifungal, anti-inflammatory, alpha-glucosidase inhibitor, and cardiotonic activities of 2-pyridone-containing heterocycles obtained exclusively by an MCR. The discussion focuses on bioactivity data, synthetic approaches, plausible reaction mechanisms, and molecular docking simulations to facilitate comparison and underscore the applications of the 2-pyridone motif in drug discovery and medicinal chemistry. We also present our conclusions and outlook for the future.</t>
  </si>
  <si>
    <t>[Hurtado-Rodriguez, Diana; Salinas-Torres, Angelica; Rojas, Hugo; Becerra, Diana; Castillo, Juan-Carlos] Univ Pedag &amp; Tecnol Colombia, UPTC, Escuela Ciencias Quim, Grp Catalisis, Ave Cent Norte 39-115, Tunja, Colombia</t>
  </si>
  <si>
    <t>Becerra, D; Castillo, JC (corresponding author), Univ Pedag &amp; Tecnol Colombia, UPTC, Escuela Ciencias Quim, Grp Catalisis, Ave Cent Norte 39-115, Tunja, Colombia.</t>
  </si>
  <si>
    <t>diana.becerra08@uptc.edu.co; juan.castillo06@uptc.edu.co</t>
  </si>
  <si>
    <t xml:space="preserve"> [SGI-3073];  [SGI-3312]</t>
  </si>
  <si>
    <t xml:space="preserve">; </t>
  </si>
  <si>
    <t>The authors are grateful for financial support from Universidad Pedagogica y Tecnologica de Colombia. The authors thank to the Direccion de Investigaciones at the Universidad Pedagogica y Tecnologica de Colombia for financial support (project numbers SGI-3073 and SGI-3312).</t>
  </si>
  <si>
    <t>ROYAL SOC CHEMISTRY</t>
  </si>
  <si>
    <t>CAMBRIDGE</t>
  </si>
  <si>
    <t>THOMAS GRAHAM HOUSE, SCIENCE PARK, MILTON RD, CAMBRIDGE CB4 0WF, CAMBS, ENGLAND</t>
  </si>
  <si>
    <t>2046-2069</t>
  </si>
  <si>
    <t>RSC ADV</t>
  </si>
  <si>
    <t>RSC Adv.</t>
  </si>
  <si>
    <t>DEC 6</t>
  </si>
  <si>
    <t>10.1039/d2ra07056a</t>
  </si>
  <si>
    <t>Chemistry, Multidisciplinary</t>
  </si>
  <si>
    <t>Chemistry</t>
  </si>
  <si>
    <t>6S9SR</t>
  </si>
  <si>
    <t>WOS:000893324200001</t>
  </si>
  <si>
    <t>Garcia-Delgado, H; Petley, DN; Bermudez, MA; Sepulveda, SA</t>
  </si>
  <si>
    <t>Garcia-Delgado, Helbert; Petley, David N.; Bermudez, Mauricio A.; Sepulveda, Sergio A.</t>
  </si>
  <si>
    <t>Fatal landslides in Colombia (from historical times to 2020) and their socio-economic impacts</t>
  </si>
  <si>
    <t>LANDSLIDES</t>
  </si>
  <si>
    <t>Landslide; Debris flow; Socio-economic indexes; Colombia; ENSO</t>
  </si>
  <si>
    <t>EASTERN CORDILLERA; NORTHERN ANDES; TEMPORAL ANALYSIS; FAULT SYSTEM; DEBRIS FLOWS; AMERICA; SUBDUCTION; MAGMATISM; PATTERNS; TRENDS</t>
  </si>
  <si>
    <t>Landslides typify one of the most hazardous natural phenomena fostering economic and even human losses worldwide. Several countries like Colombia, in South America, are hotspots for fatal landslides. In this contribution, we thoroughly reviewed four available databases, articles, grey literature and web resources, in order to build up a new catalogue of fatal landslides in Colombia. We gathered a catalogue of 2351 individual fatal landslides which caused about 37,959 deaths. Of these, we found 11 fatal events in historical times (pre-twentieth century). In modern times (1912-2020), we analysed landslides' spatial and temporal distribution, finding that in central-western Colombia, particularly in the departments of Caldas, Risaralda, Quindio and Antioquia, these kinds of events are more frequent. Upward trends in these areas and a nationwide increase in the number of events in the last 20 years suggest that fatal landslides are far from being effectively mitigated. Our findings also show a strong correlation between the climate variability phenomenon known as El Nino Southern Oscillation (ENSO) and fatal landslides, particularly during those years when strong La Nina (cold phase of ENSO) events occur. Despite rainfall being the most common trigger for fatal landslides, we observed an increasing trend in anthropogenically related events in the last decade. Finally, we obtained multiple socio-economic indices and ran a statistical analysis at the departmental level in order to assess whether impoverished and vulnerable people are more affected by fatal landslides. We propose that in most cases, departments with low income, high levels of corruption and inequality are usually more affected.</t>
  </si>
  <si>
    <t>[Garcia-Delgado, Helbert] Syracuse Univ, Dept Earth &amp; Environm Sci, Syracuse, NY 13210 USA; [Petley, David N.] Serv Geol Colombiano, Bogota, Colombia; [Petley, David N.] Univ Sheffield, Dept Geog, Sheffield S10 2TN, S Yorkshire, England; [Bermudez, Mauricio A.] Univ Pedag &amp; Tecnol Colombia, Escuela Ingn Geol, Sogamoso, Boyaca, Colombia; [Sepulveda, Sergio A.] Simon Fraser Univ, Dept Earth Sci, Burnaby, BC, Canada</t>
  </si>
  <si>
    <t>Syracuse University; University of Sheffield; Universidad Pedagogica y Tecnologica de Colombia (UPTC); Simon Fraser University</t>
  </si>
  <si>
    <t>Garcia-Delgado, H (corresponding author), Syracuse Univ, Dept Earth &amp; Environm Sci, Syracuse, NY 13210 USA.</t>
  </si>
  <si>
    <t>hsgarcia@g.syr.edu</t>
  </si>
  <si>
    <t>; Sepulveda, Sergio/A-9825-2008</t>
  </si>
  <si>
    <t>Garcia-Delgado, Helbert/0000-0002-7714-7161; Petley, David/0000-0002-3061-6282; Sepulveda, Sergio/0000-0001-6943-362X; Bermudez, Mauricio A/0000-0003-0584-4790</t>
  </si>
  <si>
    <t>Universidad Pedagogica y Tecnologica de Colombia (UPTC), DIN SGI Project [3104]</t>
  </si>
  <si>
    <t>Universidad Pedagogica y Tecnologica de Colombia (UPTC), DIN SGI Project</t>
  </si>
  <si>
    <t>Financial support was provided by Universidad Pedagogica y Tecnologica de Colombia (UPTC), DIN SGI Project 3104.</t>
  </si>
  <si>
    <t>SPRINGER HEIDELBERG</t>
  </si>
  <si>
    <t>HEIDELBERG</t>
  </si>
  <si>
    <t>TIERGARTENSTRASSE 17, D-69121 HEIDELBERG, GERMANY</t>
  </si>
  <si>
    <t>1612-510X</t>
  </si>
  <si>
    <t>1612-5118</t>
  </si>
  <si>
    <t>Landslides</t>
  </si>
  <si>
    <t>JUL</t>
  </si>
  <si>
    <t>10.1007/s10346-022-01870-2</t>
  </si>
  <si>
    <t>MAR 2022</t>
  </si>
  <si>
    <t>Engineering, Geological; Geosciences, Multidisciplinary</t>
  </si>
  <si>
    <t>Engineering; Geology</t>
  </si>
  <si>
    <t>1Z1EI</t>
  </si>
  <si>
    <t>WOS:000770972100001</t>
  </si>
  <si>
    <t>Gonzalez-Cely, AX; Callejas-Cuervo, M; Bastos, T</t>
  </si>
  <si>
    <t>Gonzalez-Cely, Aura Ximena; Callejas-Cuervo, Mauro; Bastos-Filho, Teodiano</t>
  </si>
  <si>
    <t>Wheelchair prototype controlled by position, speed and orientation using head movement</t>
  </si>
  <si>
    <t>HARDWAREX</t>
  </si>
  <si>
    <t>Wheelchair prototype; Head motion; Fuzzy logic control; Inertial Measurement Unit (IMU); Wireless</t>
  </si>
  <si>
    <t>A prototype that simulates a wheelchair was built using electronic commercial devices and software implementation with the aim to operate the prototype using head movement and analyzing the system response. The controllers were simulated using MATLAB (R) toolbox and PythonTM libraries. The mean time response of the system with manual control was 37,8 s. The mean orientation control response with constant speed was 36,5 s and the mean orientation control response with variable speed was 44,2 s in a specific route. The variable speed response is slower than constant speed due to head motion error. The system was rated such as very good by 10 participants using a System Usability Scale (SUS). (c) 2022 The Author(s). Published by Elsevier Ltd. This is an open access article under the CC BY-NC-ND license (http://creativecommons.org/licenses/by-nc-nd/4.0/).</t>
  </si>
  <si>
    <t>[Gonzalez-Cely, Aura Ximena; Bastos-Filho, Teodiano] Univ Fed Espirito Santo, Postgrad Program Elect Engn, Ave Fernando Ferrari 514, BR-29075910 Vitoria, Brazil; [Callejas-Cuervo, Mauro] Univ Pedag &amp; Tecnol Colombia, Software Res Grp, Ave Cent Norte 39-115, Tunja 150001, Colombia</t>
  </si>
  <si>
    <t>Universidade Federal do Espirito Santo; Universidad Pedagogica y Tecnologica de Colombia (UPTC)</t>
  </si>
  <si>
    <t>Gonzalez-Cely, AX (corresponding author), Univ Fed Espirito Santo, Postgrad Program Elect Engn, Ave Fernando Ferrari 514, BR-29075910 Vitoria, Brazil.</t>
  </si>
  <si>
    <t>aura.cely@edu.ufes.br</t>
  </si>
  <si>
    <t>GONZALEZ CELY, AURA XIMENA/0000-0001-9304-0834</t>
  </si>
  <si>
    <t>Software Research Group (GIS) from the school of Computer Science, Engineering Department; Universidad Pedagogica y Tecnologica de Colombia (UPTC)</t>
  </si>
  <si>
    <t>This work was supported by the Software Research Group (GIS) from the school of Computer Science, Engineering Department, Universidad Pedagogica y Tecnologica de Colombia (UPTC) .</t>
  </si>
  <si>
    <t>ELSEVIER</t>
  </si>
  <si>
    <t>AMSTERDAM</t>
  </si>
  <si>
    <t>RADARWEG 29, 1043 NX AMSTERDAM, NETHERLANDS</t>
  </si>
  <si>
    <t>2468-0672</t>
  </si>
  <si>
    <t>HardwareX</t>
  </si>
  <si>
    <t>APR</t>
  </si>
  <si>
    <t>e00306</t>
  </si>
  <si>
    <t>10.1016/j.ohx.2022.e00306</t>
  </si>
  <si>
    <t>APR 2022</t>
  </si>
  <si>
    <t>Engineering, Electrical &amp; Electronic; Instruments &amp; Instrumentation; Materials Science, Multidisciplinary</t>
  </si>
  <si>
    <t>Engineering; Instruments &amp; Instrumentation; Materials Science</t>
  </si>
  <si>
    <t>1Q9XY</t>
  </si>
  <si>
    <t>WOS:000803034600004</t>
  </si>
  <si>
    <t>Rubiano-Navarrete, AF; Fabian, CL; Torres-Perez, Y; Gomez-Pachon, EY</t>
  </si>
  <si>
    <t>Felipe Rubiano-Navarrete, Andres; Lesmes Fabian, Camilo; Torres-Perez, Yolanda; Yesid Gomez-Pachon, Edwin</t>
  </si>
  <si>
    <t>Durability Evaluation of New Composite Materials for the Construction of Beehives</t>
  </si>
  <si>
    <t>SUSTAINABILITY</t>
  </si>
  <si>
    <t>new materials; sustainable beehives; xylophagous fungi; sustainable development; apiculture</t>
  </si>
  <si>
    <t>ROT FUNGI; WOOD</t>
  </si>
  <si>
    <t>Given the current situation we face regarding climate change, one of the greatest and most critical concerns is related to the reduction in the bee population. This population largely depends on beekeeping production units around the world. However, these production units also face great challenges in the construction of beehives, as pine word generally deteriorates within a period of five years or less. This relatively rapid deterioration has both economic and environmental repercussions, which may affect the economic sustainability of the beekeeping system. The objective of this research was the production and subsequent evaluation of the durability of alternative composite materials that can be used in beehive construction. The materials are based on high-density polyethylene and agro-industrial residues (fique fiber, banana fiber, and goose feathers) from the Boyaca region of Colombia. The composite materials studied in the present study were exposed to xylophagous fungi for 90 days, at constant humidity and under controlled temperature conditions that are conducive to fungi proliferation. The results showed that composite materials that include fique fibers are the most promising substitute for wood in the construction of beehives. Indeed, these materials were shown to be 80% more resistant to pathogen attack and durable weight loss than pine wood. These durability results may be of great importance for future implementation in beekeeping production units. They have the potential to impact not only the sustainable development of rural communities, but also to make a great ecological contribution by reducing the need to cut down trees while maintaining the health of beehives.</t>
  </si>
  <si>
    <t>[Felipe Rubiano-Navarrete, Andres] Univ Pedag &amp; Tecnol Colombia UPTC, Fac Ingn, Grp Invest Diseno Innovac &amp; Asistencia Tecn Mat A, Tunja 150003, Colombia; [Lesmes Fabian, Camilo] Corp Univ Meta UniMeta, Ctr Invest Ingn Francisco Alban Estupitian, Escuela Ingn Ambiental, Villavicencio 500001, Colombia; [Torres-Perez, Yolanda] Univ Pedag &amp; Tecnol Colombia UPTC, Fac Duitama, Escuela Ingn Electromecan, Grp Invest Energia &amp; Nuevas Tecnol GENTE, Duitama 150461, Colombia; [Yesid Gomez-Pachon, Edwin] Univ Pedag &amp; Tecnol Colombia UPTC, Escuela Diseno Ind, Grp Invest Diseno Innovac &amp; Asistencia Tecn Mat A, Duitama 150461, Colombia</t>
  </si>
  <si>
    <t>Universidad Pedagogica y Tecnologica de Colombia (UPTC); Universidad Pedagogica y Tecnologica de Colombia (UPTC); Universidad Pedagogica y Tecnologica de Colombia (UPTC)</t>
  </si>
  <si>
    <t>Rubiano-Navarrete, AF (corresponding author), Univ Pedag &amp; Tecnol Colombia UPTC, Fac Ingn, Grp Invest Diseno Innovac &amp; Asistencia Tecn Mat A, Tunja 150003, Colombia.</t>
  </si>
  <si>
    <t>andres.rubiano01@uptc.edu.co</t>
  </si>
  <si>
    <t>Gobernacion de Boyaca through the Patrimonio Autonomo Fondo Nacional de Financiamiento Para la Ciencia, la Tecnologia y la Innovacion Francisco Jose de Caldas [110986575000-Conv, SGI 3006]; Universidad Pedagogica y Tecnologica de Colombia (UPTC)</t>
  </si>
  <si>
    <t>Gobernacion de Boyaca through the Patrimonio Autonomo Fondo Nacional de Financiamiento Para la Ciencia, la Tecnologia y la Innovacion Francisco Jose de Caldas; Universidad Pedagogica y Tecnologica de Colombia (UPTC)</t>
  </si>
  <si>
    <t>This research was funded by Minciencias, and the Gobernacion de Boyaca through the Patrimonio Autonomo Fondo Nacional de Financiamiento Para la Ciencia, la Tecnologia y la Innovacion Francisco Jose de Caldas (project 110986575000-Conv. 865-2019) Codice SGI 3006 in the UPTC. Furthermore, the authors would like to thank the Universidad Pedagogica y Tecnologica de Colombia (UPTC).</t>
  </si>
  <si>
    <t>2071-1050</t>
  </si>
  <si>
    <t>SUSTAINABILITY-BASEL</t>
  </si>
  <si>
    <t>Sustainability</t>
  </si>
  <si>
    <t>NOV</t>
  </si>
  <si>
    <t>10.3390/su142214683</t>
  </si>
  <si>
    <t>Green &amp; Sustainable Science &amp; Technology; Environmental Sciences; Environmental Studies</t>
  </si>
  <si>
    <t>Science Citation Index Expanded (SCI-EXPANDED); Social Science Citation Index (SSCI)</t>
  </si>
  <si>
    <t>Science &amp; Technology - Other Topics; Environmental Sciences &amp; Ecology</t>
  </si>
  <si>
    <t>6K5ZW</t>
  </si>
  <si>
    <t>WOS:000887580800001</t>
  </si>
  <si>
    <t>Barreto, LCL; Mesa, JKR</t>
  </si>
  <si>
    <t>Leguizamon Barreto, Luis Carlos; Rojas Mesa, July Katerine</t>
  </si>
  <si>
    <t>A review of the relation between climate variability and mass removal processes. Tunja-Paez case study</t>
  </si>
  <si>
    <t>INGENIERIA SOLIDARIA</t>
  </si>
  <si>
    <t>Climate change; climate variability; mass removal; precipitation; roadway infrastructure; adaptation</t>
  </si>
  <si>
    <t>LANDSLIDE SUSCEPTIBILITY MAPS</t>
  </si>
  <si>
    <t>This literature review paper is a product of the Research Project Relation Between Climate Variability with Mass Removal Processes. Tunja-Paez case study, developed in the Universidad Pedagogica y Tecnologica de Colombia in the year 2020. Introduction: This paper focuses on the review of research studies and advances made during the last decade regarding the influence of climatic variability on the dynamics of slopes. Objective: To determine the influence of climatic variability in areas that present slope instability in the TunjaPaez road corridor located in the department of Boyaca. Methods: A systematic review of information from books, manuals, reports, guides, and scientific papers on climate change, climate variability, mass removal processes, meteorological variables, and their influence on the resilience and adaptation of infrastructure related to containment and slope drainage projects. Results: The studies indicate criteria that relate temperature, precipitation and seismic activity with the occurrence of mass movements. Conclusion: Climatic anomalies in terms of precipitation and temperature have allowed research methodologies using probabilistic models to be developed for estimating the occurrence of said phenomena in future scenarios. Originality: The presented literature indicates the influence of climatic variability in the resulting mass removal processes as evidenced in studies at the global and national level. Limitations: This paper's compiled scientific studies contrast the problems in the stability of slopes of the Tunja-Paez road corridor, without going into the details of these problems.</t>
  </si>
  <si>
    <t>[Leguizamon Barreto, Luis Carlos] Univ Pedag &amp; Tecnol Colombia, Fac Ingn, Transporte &amp; Vias, Tunja, Colombia; [Rojas Mesa, July Katerine] Univ Pedag &amp; Tecnol Colombia, Fac Ingn, Ingn, Tunja, Colombia</t>
  </si>
  <si>
    <t>Barreto, LCL (corresponding author), Univ Pedag &amp; Tecnol Colombia, Fac Ingn, Transporte &amp; Vias, Tunja, Colombia.</t>
  </si>
  <si>
    <t>luiscarlos.leguizamon@uptc.edu.co; juiy.rojas@uptc.edu.co</t>
  </si>
  <si>
    <t>Research Directorate of the Universidad Pedagogica y Tecnologica de Colombia</t>
  </si>
  <si>
    <t>This paper was funded by the Research Directorate of the Universidad Pedagogica y Tecnologica de Colombia in 2020.</t>
  </si>
  <si>
    <t>UNIV COOPERATIVE COLOMBIA, FAC ENGINEERING</t>
  </si>
  <si>
    <t>BOGOTA</t>
  </si>
  <si>
    <t>AV CARCAS NO 37-15, BOGOTA, 00000, COLOMBIA</t>
  </si>
  <si>
    <t>1900-3102</t>
  </si>
  <si>
    <t>2357-6014</t>
  </si>
  <si>
    <t>ING SOLIDAR</t>
  </si>
  <si>
    <t>Ing. Solidar.</t>
  </si>
  <si>
    <t>10.16925/2357-6014.2022.01.08</t>
  </si>
  <si>
    <t>Engineering, Multidisciplinary</t>
  </si>
  <si>
    <t>Engineering</t>
  </si>
  <si>
    <t>3M1CP</t>
  </si>
  <si>
    <t>WOS:000835195900005</t>
  </si>
  <si>
    <t>Calle-Siguencia, J; Callejas-Cuervo, M; Garcia-Reino, S</t>
  </si>
  <si>
    <t>Calle-Siguencia, John; Callejas-Cuervo, Mauro; Garcia-Reino, Sebastian</t>
  </si>
  <si>
    <t>Integration of Inertial Sensors in a Lower Limb Robotic Exoskeleton</t>
  </si>
  <si>
    <t>SENSORS</t>
  </si>
  <si>
    <t>actuators; exoskeleton; inertial sensors; Imocap-GIS; motion cycle; UDP protocol; lower limb</t>
  </si>
  <si>
    <t>PREDICTION</t>
  </si>
  <si>
    <t>Motion assistance exoskeletons are designed to support the joint movement of people who perform repetitive tasks that cause damage to their health. To guarantee motion accompaniment, the integration between sensors and actuators should ensure a near-zero delay between the signal acquisition and the actuator response. This study presents the integration of a platform based on Imocap-GIS inertial sensors, with a motion assistance exoskeleton that generates joint movement by means of Maxon motors and Harmonic drive reducers, where a near zero-lag is required for the gait accompaniment to be correct. The Imocap-GIS sensors acquire positional data from the user's lower limbs and send the information through the UDP protocol to the CompactRio system, which constitutes a high-performance controller. These data are processed by the card and subsequently a control signal is sent to the motors that move the exoskeleton joints. Simulations of the proposed controller performance were conducted. The experimental results show that the motion accompaniment exhibits a delay of between 20 and 30 ms, and consequently, it may be stated that the integration between the exoskeleton and the sensors achieves a high efficiency. In this work, the integration between inertial sensors and an exoskeleton prototype has been proposed, where it is evident that the integration met the initial objective. In addition, the integration between the exoskeleton and IMOCAP is among the highest efficiency ranges of similar systems that are currently being developed, and the response lag that was obtained could be improved by means of the incorporation of complementary systems.</t>
  </si>
  <si>
    <t>[Calle-Siguencia, John; Garcia-Reino, Sebastian] Univ Politecn Salesiana, GIIB Res Dept, Cuenca 010102, Ecuador; [Callejas-Cuervo, Mauro] Univ Pedag &amp; Tecnol Colombia, Engn Dept, Software Res Grp, Tunja 150003, Colombia</t>
  </si>
  <si>
    <t>Universidad Politecnica Salesiana; Universidad Pedagogica y Tecnologica de Colombia (UPTC)</t>
  </si>
  <si>
    <t>Callejas-Cuervo, M (corresponding author), Univ Pedag &amp; Tecnol Colombia, Engn Dept, Software Res Grp, Tunja 150003, Colombia.</t>
  </si>
  <si>
    <t>jcalle@ups.edu.ec; mauro.callejas@uptc.edu.co; sebastian.garciar@ucuenca.edu.ec</t>
  </si>
  <si>
    <t>Callejas Cuervo, Mauro/Q-6848-2019</t>
  </si>
  <si>
    <t>Callejas Cuervo, Mauro/0000-0001-9894-8737; Calle Siguencia, John Ignacio/0000-0002-2148-3297; Garcia, Sebastian/0000-0002-8065-2652</t>
  </si>
  <si>
    <t>Universidad Politecnica Salesiana de Ecuador; Universidad Pedagogica y Tecnologica de Colombia; Universidad Pedagogica y Tecnologica de Colombia [SGI 3303]</t>
  </si>
  <si>
    <t>Universidad Politecnica Salesiana de Ecuador; Universidad Pedagogica y Tecnologica de Colombia; Universidad Pedagogica y Tecnologica de Colombia</t>
  </si>
  <si>
    <t>This study was funded by the Universidad Politecnica Salesiana de Ecuador and Universidad Pedagogica y Tecnologica de Colombia, and the APC was funded by the Universidad Pedagogica y Tecnologica de Colombia (project number SGI 3303).</t>
  </si>
  <si>
    <t>1424-8220</t>
  </si>
  <si>
    <t>SENSORS-BASEL</t>
  </si>
  <si>
    <t>Sensors</t>
  </si>
  <si>
    <t>10.3390/s22124559</t>
  </si>
  <si>
    <t>Chemistry, Analytical; Engineering, Electrical &amp; Electronic; Instruments &amp; Instrumentation</t>
  </si>
  <si>
    <t>Chemistry; Engineering; Instruments &amp; Instrumentation</t>
  </si>
  <si>
    <t>2K3QR</t>
  </si>
  <si>
    <t>WOS:000816255400001</t>
  </si>
  <si>
    <t>Casierra-Posada, F; Pena-Olmos, JE</t>
  </si>
  <si>
    <t>Casierra-Posada, Fanor; Ernesto Pena-Olmos, Jaime</t>
  </si>
  <si>
    <t>Prolonged Waterlogging Reduces Growth and Yield in Broccoli Plants (Brassica oleracea var. italica)</t>
  </si>
  <si>
    <t>GESUNDE PFLANZEN</t>
  </si>
  <si>
    <t>Dry matter partitioning; Net assimilation rate; Dry weight; Foliar area; Chlorophyll; Stress</t>
  </si>
  <si>
    <t>STRESS; RESPONSES</t>
  </si>
  <si>
    <t>The crop of broccoli in tropical regions is of great importance among flowering vegetables; however, the yield of this crop is severely impacted by climatic variations that can cause floods. In Tunja, Colombia, a study was carried out under greenhouse conditions in which the tolerance of broccoli plants to prolonged waterlogging was evaluated. One group of plants were kept under waterlogging conditions until most of them showed severe symptoms of chlorosis while another group was grown under regularly drained and watered soil conditions as a control. Waterlogging caused the death of 20% of the plants, reduced the height of the plants by 42.9%, the thickness of the stem by 42.1%, the foliar area by 87%, the chlorophyll content in the leaves by 96.6%, and the total dry weight per plant by 79.9%. The absolute and relative growth rates decreased by 80 and 24.4%, respectively. Waterlogging also prevented flower production and caused a 23.7% increase in the accumulation of biomass in roots but reduced it by 24.5% in leaves. Likewise, the net assimilation rate fell 72.3% when waterlogged and the values of allometric variables which express growth were altered by this stressor. Consequently, it can be inferred that these plants have a low tolerance to waterlogging; however, the most severe impact caused by waterlogging was the inability of plants to develop flowers. The lack of flowers is devastating due to their economic and commercial importance of broccoli, and they are the primary justification for the cultivation of these plants.</t>
  </si>
  <si>
    <t>[Casierra-Posada, Fanor] Univ Pedag &amp; Tecnol Colombia, Plant Ecophysiol Res Grp, Tunja, Colombia; [Ernesto Pena-Olmos, Jaime] Escuela Normal Super Santiago Tunja, Secretaria Educ Tunja, Plant Ecophysiol Res Grp, Tunja, Colombia</t>
  </si>
  <si>
    <t>Casierra-Posada, F (corresponding author), Univ Pedag &amp; Tecnol Colombia, Plant Ecophysiol Res Grp, Tunja, Colombia.</t>
  </si>
  <si>
    <t>fanor.casierra@uptc.edu.co</t>
  </si>
  <si>
    <t>Casierra-Posada, Fanor/0000-0001-7508-5174</t>
  </si>
  <si>
    <t>Faculty of Agricultural Sciences of the Universidad Pedagogica y Tecnologica de Colombia-UPTC</t>
  </si>
  <si>
    <t>This study was funded by the Faculty of Agricultural Sciences of the Universidad Pedagogica y Tecnologica de Colombia-UPTC, within the framework of the research work of the Plant Ecophysiology Group.</t>
  </si>
  <si>
    <t>0367-4223</t>
  </si>
  <si>
    <t>1439-0345</t>
  </si>
  <si>
    <t>GESUNDE PFLANZ</t>
  </si>
  <si>
    <t>Gesunde Pflanz.</t>
  </si>
  <si>
    <t>10.1007/s10343-021-00605-y</t>
  </si>
  <si>
    <t>JAN 2022</t>
  </si>
  <si>
    <t>Agronomy</t>
  </si>
  <si>
    <t>1C5QT</t>
  </si>
  <si>
    <t>WOS:000739234200001</t>
  </si>
  <si>
    <t>Castaneda, C; Martinez, JJ; Mesa, A</t>
  </si>
  <si>
    <t>Castaneda, Claudia; Martinez, Jose J.; Mesa, Andres</t>
  </si>
  <si>
    <t>Esterification of levulinic acid via catalytic and photocatalytic processes using fluorinated titanium dioxide materials</t>
  </si>
  <si>
    <t>REVISTA FACULTAD DE INGENIERIA-UNIVERSIDAD DE ANTIOQUIA</t>
  </si>
  <si>
    <t>Catalysis; photocatalysis; levulinic acid; esterification; TiO2 - F</t>
  </si>
  <si>
    <t>NANOTUBES</t>
  </si>
  <si>
    <t>This study evaluated the synthesis, characterization, and activity of fluorinated titanium dioxide materials [TiO2 - F1% and TiO2 - F5%] in-situ modified by the sol-gel method in the esterification reaction of levulinic acid conducted by catalytic and photocatalytic processes. The physicochemical properties of the materials were determined by X-ray diffraction, UV-Vis diffuse reflectance spectroscopy, thermal analysis, and pyridine adsorption. It was found that the inclusion of fluoride anion causes a decrease in the levulinic acid conversion by photocatalytic reaction; however, in the catalytic activation, a slight increase in the conversion using the fluoride materials was observed. Finally, the reaction in the presence of halogenated solvents [CCl4] by photolysis reaction favors a conversion of 100% in 1h.</t>
  </si>
  <si>
    <t>[Castaneda, Claudia; Martinez, Jose J.; Mesa, Andres] Univ Pedag &amp; Tecnol Colombia, Escuela Ciencias Quim, Grp Catalisis UPTC, Sede Cent Tunja, Ave Cent Norte 39-115, Boyaca AA1094, Colombia</t>
  </si>
  <si>
    <t>Castaneda, C (corresponding author), Univ Pedag &amp; Tecnol Colombia, Escuela Ciencias Quim, Grp Catalisis UPTC, Sede Cent Tunja, Ave Cent Norte 39-115, Boyaca AA1094, Colombia.</t>
  </si>
  <si>
    <t>claudia.castaneda.mar@gmail.com</t>
  </si>
  <si>
    <t>; Martinez, Jose J/G-1924-2018</t>
  </si>
  <si>
    <t>Castaneda Martinez, Claudia Patricia/0000-0002-5360-2756; Martinez, Jose J/0000-0002-4906-7121</t>
  </si>
  <si>
    <t>Vicerrectoria de Investigacion y Extension, Universidad Pedagogica y Tecnologica de Colombia [SGI 3344]</t>
  </si>
  <si>
    <t>Vicerrectoria de Investigacion y Extension, Universidad Pedagogica y Tecnologica de Colombia</t>
  </si>
  <si>
    <t>This work was supported by Vicerrectoria de Investigacion y Extension, Universidad Pedagogica y Tecnologica de Colombia by the project SGI 3344.</t>
  </si>
  <si>
    <t>IMPRENTA UNIV ANTIOQUIA</t>
  </si>
  <si>
    <t>MEDELLIN</t>
  </si>
  <si>
    <t>67 N 53-108, BLOQUE 28, CIUDAD UNIV, UNIV ANTIQUIA, MEDELLIN, 00000, COLOMBIA</t>
  </si>
  <si>
    <t>0120-6230</t>
  </si>
  <si>
    <t>2422-2844</t>
  </si>
  <si>
    <t>REV FAC ING-UNIV ANT</t>
  </si>
  <si>
    <t>Rev. Fac. Ing.-Univ. Antioquia</t>
  </si>
  <si>
    <t>OCT-DEC</t>
  </si>
  <si>
    <t>10.17533/udea.redin.20210531</t>
  </si>
  <si>
    <t>3A9PJ</t>
  </si>
  <si>
    <t>Green Submitted, gold</t>
  </si>
  <si>
    <t>WOS:000827583900003</t>
  </si>
  <si>
    <t>Otalora, MC; Wilches-Torres, A; Castano, JAG</t>
  </si>
  <si>
    <t>Carolina Otalora, Maria; Wilches-Torres, Andrea; Gomez Castano, Jovanny A.</t>
  </si>
  <si>
    <t>Evaluation of Guava Pulp Microencapsulated in Mucilage of Aloe Vera and Opuntia ficus-indica as a Natural Dye for Yogurt: Functional Characterization and Color Stability</t>
  </si>
  <si>
    <t>FOODS</t>
  </si>
  <si>
    <t>microencapsulation; spray drying; yogurt; natural colorant; aloe vera; Opuntia ficus-indica</t>
  </si>
  <si>
    <t>ANTIOXIDANT ACTIVITY; ANTHOCYANIN; CAROTENE; BENEFITS</t>
  </si>
  <si>
    <t>The substitution of artificial colorants for pigments extracted from fruits is a highly desirable strategy in the food industry for the manufacture of natural, functional, and safe products. In this work, a 100% natural spray-dried (SD) microencapsulated colorant of pink guava pulp, using aloe vera (AV) or Opuntia ficus-indica (OFI) mucilage as functional encapsulating material, was prepared and evaluated as an additive into a yogurt (Y) matrix. The characterization of yogurt samples supplemented with OFI (Y-SD-OFI) and AV (Y-SD-AV) mucilage-covered guava pulp microcapsules was carried out through carotenoid quantification using UV-vis and HPLC-MS techniques, dietary fiber content, antioxidant capacity, colorimetry, and textural analysis, as well as by an evaluation of color stability after 25 days of storage at 4 degrees C in the dark. These physicochemical characteristics and color stability on the Y-SD-OFI and Y-SD-AV samples were compared with those of a commercial yogurt (control sample, Y-C) containing sunset yellow FCF synthetic colorant (E110). Y-SD-OFI and Y-SD-AV samples exhibited a high content of lycopene, dietary fiber, and antioxidant activity, which were absent in the control sample. Microencapsulated lycopene imparted a highly stable color to yogurt, contrary to the effect provided by the E110 dye in the control sample. The texture profile analysis revealed an increase in firmness, consistency, and cohesion in the Y-SD-OFI sample, contrary to the Y-SD-AV and Y-C samples, which was attributed to the variation in fiber concentration in the microcapsules. The incorporation of OFI and AV mucilage microparticles containing pink guava pulp into yogurt demonstrated its potential application as a functional natural colorant for dairy products.</t>
  </si>
  <si>
    <t>[Carolina Otalora, Maria; Wilches-Torres, Andrea] Univ Boyaca, Fac Ciencias &amp; Ingn, Grp Invest Ciencias Basicas NUCLEO, Tunja 050030, Boyaca, Colombia; [Gomez Castano, Jovanny A.] Univ Pedag &amp; Tecnol Colombia, Grp Quim Fis Mol &amp; Modelamiento Computac QUIMOLO, Sede Tunja, Escuela Ciencias Quim, Ave Cent Norte, Tunja 050030, Boyaca, Colombia</t>
  </si>
  <si>
    <t>Otalora, MC (corresponding author), Univ Boyaca, Fac Ciencias &amp; Ingn, Grp Invest Ciencias Basicas NUCLEO, Tunja 050030, Boyaca, Colombia.;Castano, JGA (corresponding author), Univ Pedag &amp; Tecnol Colombia, Grp Quim Fis Mol &amp; Modelamiento Computac QUIMOLO, Sede Tunja, Escuela Ciencias Quim, Ave Cent Norte, Tunja 050030, Boyaca, Colombia.</t>
  </si>
  <si>
    <t>marotalora@uniboyaca.co; joyanny.gomez@uptc.edu.co</t>
  </si>
  <si>
    <t>Otalora, Maria Carolina/0000-0003-0594-1363; Wilches-Torres, Andrea/0000-0002-7980-2342</t>
  </si>
  <si>
    <t>Universidad de Boyaca; Universidad Pedagogica y Tecnologica de Colombia</t>
  </si>
  <si>
    <t>This research was funded by the Universidad de Boyaca and the Universidad Pedagogica y Tecnologica de Colombia.</t>
  </si>
  <si>
    <t>2304-8158</t>
  </si>
  <si>
    <t>Foods</t>
  </si>
  <si>
    <t>AUG</t>
  </si>
  <si>
    <t>10.3390/foods11152380</t>
  </si>
  <si>
    <t>Food Science &amp; Technology</t>
  </si>
  <si>
    <t>3S7JP</t>
  </si>
  <si>
    <t>WOS:000839768600001</t>
  </si>
  <si>
    <t>Otalora, MC; Wilches-Torres, A; Lara, CR; Cifuentes, GR; Castano, JAG</t>
  </si>
  <si>
    <t>Carolina Otalora, Maria; Wilches-Torres, Andrea; Rafael Lara, Carlos; Ricardo Cifuentes, Gabriel; Gomez Castano, Jovanny A.</t>
  </si>
  <si>
    <t>Use of Opuntia ficus-indica Fruit Peel as a Novel Source of Mucilage with Coagulant Physicochemical/Molecular Characteristics</t>
  </si>
  <si>
    <t>Opuntia ficus-indica; mucilage; natural coagulant; wastewater; water treatment</t>
  </si>
  <si>
    <t>CACTUS; OPTIMIZATION; FLOCCULATION; POLYSACCHARIDE; TURBIDITY</t>
  </si>
  <si>
    <t>The peels obtained as a byproduct from the processing of fruits (prickly pears) of the Cactaceae family are a rich source of mucilage, a hydrocolloid biopolymer that may have potential application in water/wastewater treatment as a natural coagulant. In this study, the structural (UPLC-QTOF-MS, FTIR, Raman, NMR, XRD, and zeta potential), morphological (SEM), and thermal (DSC/TGA) characterizations of the mucilage extracted from the peels of Opuntia ficus-indica (OFI) fruits were carried out. UPLC-QTOF-MS results revealed the presence of a branched polymer with an average molecular weight of 0.44 KDa for this mucilage in aqua media. The NMR spectra of mucilage in DMSO-d6 indicated that it seemed well-suited as a coagulant with its typical oligosaccharide structure. FTIR studies confirmed the presence of hydroxyl and carboxyl functional groups in the mucilage, indicating its polyelectrolyte nature that could provide coagulating properties through binding and adsorption mechanisms. Likewise, the zeta potential of -23.63 +/- 0.55 mV showed an anionic nature of the mucilage. Power XRD technique evidenced the presence of crystalline poly(glycine-beta-alanine), glutamic acid, and syn-whewellite. SEM images revealed an irregular and amorphous morphology with cracks, which are suitable characteristics for adsorption mechanisms. The mucilage exhibited two endothermic transitions, with a decomposition temperature in uronic acid of 423.10 degrees C. These findings revealed that mucilage obtained from OFI fruit peels has molecular and physicochemical characteristics that are suited to its possible application as a natural coagulant in water/wastewater treatments.</t>
  </si>
  <si>
    <t>[Carolina Otalora, Maria; Wilches-Torres, Andrea] Univ Boyaca, Fac Ciencias &amp; Ingn, Grp Invest Ciencias Basicas NUCLEO, Tunja 150003, Colombia; [Rafael Lara, Carlos; Ricardo Cifuentes, Gabriel] Univ Boyaca, Fac Ciencias &amp; Ingn, Grp Gest Recursos Hidr, Tunja 050030, Colombia; [Gomez Castano, Jovanny A.] Univ Pedag &amp; Tecnol Colombia, Sede Tunja, Escuela Ciencias Quim, Grp Quim Fis Mol &amp; Modelamiento Computac QUIMOL, Ave Cent Norte, Tunja 050030, Colombia</t>
  </si>
  <si>
    <t>Otalora, MC (corresponding author), Univ Boyaca, Fac Ciencias &amp; Ingn, Grp Invest Ciencias Basicas NUCLEO, Tunja 150003, Colombia.;Castano, JGA (corresponding author), Univ Pedag &amp; Tecnol Colombia, Sede Tunja, Escuela Ciencias Quim, Grp Quim Fis Mol &amp; Modelamiento Computac QUIMOL, Ave Cent Norte, Tunja 050030, Colombia.</t>
  </si>
  <si>
    <t>marotalora@uniboyaca.edu.co; joyanny.gomez@uptc.edu.co</t>
  </si>
  <si>
    <t>Wilches-Torres, Andrea/0000-0002-7980-2342; Otalora, Maria Carolina/0000-0003-0594-1363; Cifuentes Osorio, Gabriel Ricardo/0000-0002-5118-0174; Lara-Mendoza, Carlos-Rafael/0000-0003-1475-5060</t>
  </si>
  <si>
    <t>The authors greatly acknowledge the support provided by the Universidad de Boyaca and the Universidad Pedagogica y Tecnologica de Colombia.</t>
  </si>
  <si>
    <t>SEP</t>
  </si>
  <si>
    <t>10.3390/polym14183832</t>
  </si>
  <si>
    <t>4R8YO</t>
  </si>
  <si>
    <t>WOS:000857042400001</t>
  </si>
  <si>
    <t>Gaona, IMS; Moncada-Villa, E; Ortiz-Otalora, CA; Munevar, J; Vargas, CAP</t>
  </si>
  <si>
    <t>Gaona, I. M. Saavedra; Moncada-Villa, E.; Ortiz-Otalora, C. A.; Munevar, J.; Vargas, C. A. Parra</t>
  </si>
  <si>
    <t>Structural and magnetic properties of LaBa1-xSrxCuFeO5+d and YbBa1-xSrxCuFeO5+d (x=0, 0.25 and 0.5) ceramic systems</t>
  </si>
  <si>
    <t>MATERIALS CHARACTERIZATION</t>
  </si>
  <si>
    <t>Ceramics magnetic oxides; Antiferromagnetic; XRD; FTIR; SEM; AFM; VSM</t>
  </si>
  <si>
    <t>TRANSPORT-PROPERTIES; LNBACUFEO(5) LN; HEAT-CAPACITY; OXIDE; LABACUFEO5+DELTA; CATHODE; EXAFS; GD; HO</t>
  </si>
  <si>
    <t>We present a systematic study of structural and magnetic properties of LaBa1-xSrxCuFeO5+delta (La -x) and YbBa1-xSrxCuFeO5+delta (Yb-x) (x = 0.0, 0.25 and 0.5) ceramic compounds, synthesized with solid-state method. X-ray powder diffraction (XRD) technique indicates that La -x and Yb-x systems present single phases consistent with an orthorhombic symmetry (space group Immm (71)) and tetragonal symmetries (space group P4mm (99)), respectively, and a decreasing lattice parameter as the content of Sr increases. The results of infrared spectrums show the typical energy bands of a perovskite with a layered structure, and surface morphologic analysis evidenced the formation of polycrystalline material with diverse grain shape. The compositional characterization, obtained via the energy-dispersive X-ray spectroscopy technique, suggests that we achieve the desired material stoichiometry with the absence of impurities. Finally, vibrating sample magnetometry measurements evidenced an antiferromagnetic transition at a temperature around the 160 K only for x = 0, which is attributed to the dominant magnetic moments of rare earth ions.</t>
  </si>
  <si>
    <t>[Gaona, I. M. Saavedra; Moncada-Villa, E.; Vargas, C. A. Parra] Univ Pedag &amp; Tecnol Colombia, Grp Fis Mat GFM, Ave Cent Norte 39-115 Tunja, Boyaca, Colombia; [Moncada-Villa, E.] Univ Pedag &amp; Tecnol Colombia, Grp Fis Teor &amp; Computac GFTC, Ave Cent Norte 39-115 Tunja, Boyaca, Colombia; [Ortiz-Otalora, C. A.] Univ Pedag &amp; Tecnol Colombia, Grp Superf Electroquim &amp; Corros GSEC, Ave Cent Norte 39-115 Tunja, Boyaca, Colombia; [Munevar, J.] Univ Fed ABC UFABC, Ctr Ciencias Nat &amp; Humanas CCNH, BR-09210580 Santo Andre, SP, Brazil</t>
  </si>
  <si>
    <t>Gaona, IMS (corresponding author), Univ Pedag &amp; Tecnol Colombia, Grp Fis Mat GFM, Ave Cent Norte 39-115 Tunja, Boyaca, Colombia.</t>
  </si>
  <si>
    <t>indry.saavedra@uptc.edu.co</t>
  </si>
  <si>
    <t>Saavedra Gaona, Indry Milena/0000-0002-8354-1886; Parra Vargas, Carlos Arturo/0000-0001-8582-3337</t>
  </si>
  <si>
    <t>Universidad Pedagogica y Tecnologica de Colombia</t>
  </si>
  <si>
    <t>Authors acknowledges financial support from research direction of Universidad Pedagogica y Tecnologica de Colombia.</t>
  </si>
  <si>
    <t>ELSEVIER SCIENCE INC</t>
  </si>
  <si>
    <t>STE 800, 230 PARK AVE, NEW YORK, NY 10169 USA</t>
  </si>
  <si>
    <t>1044-5803</t>
  </si>
  <si>
    <t>1873-4189</t>
  </si>
  <si>
    <t>MATER CHARACT</t>
  </si>
  <si>
    <t>Mater. Charact.</t>
  </si>
  <si>
    <t>10.1016/j.matchar.2022.112079</t>
  </si>
  <si>
    <t>JUL 2022</t>
  </si>
  <si>
    <t>Materials Science, Multidisciplinary; Metallurgy &amp; Metallurgical Engineering; Materials Science, Characterization &amp; Testing</t>
  </si>
  <si>
    <t>Materials Science; Metallurgy &amp; Metallurgical Engineering</t>
  </si>
  <si>
    <t>3F0RL</t>
  </si>
  <si>
    <t>WOS:000830381300002</t>
  </si>
  <si>
    <t>Galvis-Tarazona, DY; Ojeda-Perez, ZZ; Arias-Moreno, DM</t>
  </si>
  <si>
    <t>Yaneth Galvis-Tarazona, Daicy; Zarely Ojeda-Perez, Zaida; Marcela Arias-Moreno, Diana</t>
  </si>
  <si>
    <t>Cultural and ethnobotanical legacy of native potatoes in Colombia</t>
  </si>
  <si>
    <t>JOURNAL OF ETHNOBIOLOGY AND ETHNOMEDICINE</t>
  </si>
  <si>
    <t>Native potatoes; Conservation; Cultural importance; Ethnobotany; Traditional knowledge</t>
  </si>
  <si>
    <t>WILD PLANTS; DIVERSITY; CANCER; REGION</t>
  </si>
  <si>
    <t>Background Native potatoes are Andean tubers of great historical, social, food, genetic and nutritional importance, and they contribute significantly to food security by supplementing the household diet and also providing alternative income. Even when their cultivation and consumption imply great benefits, their use and local preservation depend to a large extent on the recognition of their ethnobotanical and cultural importance. In this context, this study consolidates an important ethnobotanical research bases for native potatoes in Colombia. Methods The study collected data through semi-structured interviews and dialogues (130) in the municipality of Chiscas, department of Boyaca, central-eastern Colombia. The questionnaire was focused on native potatoes and sought to investigate the knowledge related to cultivation, diversity, patterns and forms of preparation for use and consumption. Likewise, knowledge heritability mechanisms were investigated and ethnobotanical indices of relative importance, use and culture were estimated. Results Documentation of ethnobotanical knowledge included aspects such as seed care and availability, cultural management of the crop, patterns of use and consumption, as well as ways of preparing the tubers. In total, 23 vernacular names of native potato and 360 reports of use (commercial, domestic or ritual-magical) were recorded for the 15 main genotypes. Quantitative estimates included the importance index: (a) cultural, for which values ranged between 0.059 and 0.812; (b) relative, with records between 0.04 and 0.43; and (c) use, which ranged between 0.06 and 0.63. The ethnobotanical importance index (d) for native potatoes was 57.26, which corresponds to a very high ethnobotanical value. This allowed us to identify that Criollas were the most recognized and used potatoes within the community. In addition, it was shown that vertical transmission is the main way in which traditional knowledge about native potatoes is inherited. Finally, an artificial intelligence tool was preliminarily implemented to identify the polarity generated in the interviewees by the questions. Conclusion The results of this research provide valuable information on the ethnobotany of native potatoes in Colombia. The genotypes used by the community of the municipality of Chiscas were recognized for their high gastronomic and nutritional potential, as well as for their great ethnobotanical and cultural importance. These data can be considered as a valuable tool to support any action aimed at the conservation and revaluation of these tubers.</t>
  </si>
  <si>
    <t>[Yaneth Galvis-Tarazona, Daicy; Zarely Ojeda-Perez, Zaida; Marcela Arias-Moreno, Diana] Univ Pedag &amp; Tecnol Colombia UPTC, Fac Ciencias, Grp Invest BIOPLASMA, Ave Cent Norte, Tunja 050030, Boyaca, Colombia</t>
  </si>
  <si>
    <t>Arias-Moreno, DM (corresponding author), Univ Pedag &amp; Tecnol Colombia UPTC, Fac Ciencias, Grp Invest BIOPLASMA, Ave Cent Norte, Tunja 050030, Boyaca, Colombia.</t>
  </si>
  <si>
    <t>diana.arias04@uptc.edu.co</t>
  </si>
  <si>
    <t>; Arias Moreno, Diana Marcela/B-1011-2015</t>
  </si>
  <si>
    <t>Galvis, Daicy/0000-0002-2251-0015; Arias Moreno, Diana Marcela/0000-0001-6171-0549</t>
  </si>
  <si>
    <t>Ministry of Science, Technology, and Innovation of Colombia; Government of Boyaca; Universidad Pedagogica y Tecnologica de Colombia (UPTC); Mayor's Office of the municipality of Chiscas; company Tesoros Nativos SAS</t>
  </si>
  <si>
    <t>The authors would like to thank the Ministry of Science, Technology, and Innovation of Colombia, the Government of Boyaca, the Universidad Pedagogica y Tecnologica de Colombia (UPTC), the Mayor's Office of the municipality of Chiscas, and the company Tesoros Nativos SAS, for financing the project entitled Implementation of biotechnological and agricultural processes for the cultivation of clean species of ancestral varieties of potato (Solanum sp.) from the agro-ecosystems of the department. Convocation 794 of 2017 I+D projects for the technological development of a biological origin in the Department of Boyaca. Likewise, the authors would like to thank the community of Chiscas, Boyaca for their contributions and active and objective participation during the field work. Additionally, the authors would like to thank Johan Sebastian Urquijo Ruiz for the data analysis and BIOPLASMA-UPTC research group. Finally, the authors thank to the company Quaxam Datalab Colombia, for the data analysis and to researcher Sergio Ochatt for the grammatical adjustment of the English language.</t>
  </si>
  <si>
    <t>BMC</t>
  </si>
  <si>
    <t>LONDON</t>
  </si>
  <si>
    <t>CAMPUS, 4 CRINAN ST, LONDON N1 9XW, ENGLAND</t>
  </si>
  <si>
    <t>1746-4269</t>
  </si>
  <si>
    <t>J ETHNOBIOL ETHNOMED</t>
  </si>
  <si>
    <t>J. Ethnobiol. Ethnomed.</t>
  </si>
  <si>
    <t>SEP 19</t>
  </si>
  <si>
    <t>10.1186/s13002-022-00557-1</t>
  </si>
  <si>
    <t>Biodiversity Conservation; Plant Sciences; Pharmacology &amp; Pharmacy</t>
  </si>
  <si>
    <t>Biodiversity &amp; Conservation; Plant Sciences; Pharmacology &amp; Pharmacy</t>
  </si>
  <si>
    <t>4P6TU</t>
  </si>
  <si>
    <t>WOS:000855526900001</t>
  </si>
  <si>
    <t>Alarcon-Granados, MC; Moreno-Ortiz, H; Esteban-Perez, CI; Ferrebuz-Cardozo, A; Camargo-Villalba, GE; Forero-Castro, M</t>
  </si>
  <si>
    <t>Camila Alarcon-Granados, Maria; Moreno-Ortiz, Harold; Ines Esteban-Perez, Clara; Ferrebuz-Cardozo, Atilio; Eugenia Camargo-Villalba, Gloria; Forero-Castro, Maribel</t>
  </si>
  <si>
    <t>Assessment of THADA gene polymorphisms in a sample of Colombian women with polycystic ovary syndrome: A pilot study</t>
  </si>
  <si>
    <t>HELIYON</t>
  </si>
  <si>
    <t>Single nucleotide polymorphism; THADA gene; Polycystic ovary syndrome; Colombian women</t>
  </si>
  <si>
    <t>GENOME-WIDE ASSOCIATION; SUSCEPTIBILITY LOCI; CHROMOSOME 2P16.3; VARIANTS; RISK; PCOS; DENND1A; SNPS; 2P21</t>
  </si>
  <si>
    <t>Polycystic ovary syndrome Colombian women Polycystic ovary syndrome (PCOS) is a multifactorial and polygenic endocrine-metabolic disorder in women of reproductive age. SNPs in the THADA gene have been identified as PCOS risk loci. In this study, we evaluated the frequency of five polymorphisms in a sample of Colombian women with PCOS, and their association with clinical and endocrine-metabolic parameters. Forty-nine women with PCOS and forty-nine healthy women were included. Allelic discrimination was performed in the THADA gene by iPLEX and the Mass ARRAY system (Agena Bioscience). Haploview software was conducted to analyze the linkage disequilibrium (LD) and haplotypes of polymorphisms.There was an association between the genotypes TT of rs12468394, CC + AA of rs12468394, and GGof rs6544661 and an increase in the levels of free testosterone. The CC + AA of rs12468394 genotype also was associated with an increase of and rostenedione levels. THADA gene SNPs were not associated with PCOS risk.There was very strong LD among the SNPs. No significant differences in the frequency of haplotypes between groups were observed. The statistical power of this analysis is low because of the small number of samples analyzed. Additional studies involving large populations of Colombian women with PCOS are needed to verify the role of the THADA gene in this disorder.</t>
  </si>
  <si>
    <t>[Camila Alarcon-Granados, Maria; Forero-Castro, Maribel] Univ Pedag &amp; Tecnol Colombia, Grp Invest Ciencias Biomed GICBUPTC, Fac Ciencias, Tunja 150003, Colombia; [Moreno-Ortiz, Harold; Ines Esteban-Perez, Clara] In Vitro Colombia, Dept Biogenet Reprod, Bogota, Colombia; [Ferrebuz-Cardozo, Atilio; Eugenia Camargo-Villalba, Gloria] Univ Boyaca, Fac Ciencias Salud, Programa Med, Tunja, Colombia</t>
  </si>
  <si>
    <t>Forero-Castro, M (corresponding author), Univ Pedag &amp; Tecnol Colombia, Grp Invest Ciencias Biomed GICBUPTC, Fac Ciencias, Tunja 150003, Colombia.</t>
  </si>
  <si>
    <t>maribel.forero@uptc.edu.co</t>
  </si>
  <si>
    <t>CAMARGO VILLALBA, GLORIA EUGENIA/0000-0003-4505-7644; Ferrebuz, Atilio/0000-0002-7396-2775</t>
  </si>
  <si>
    <t>Universidad Pedagogica y Tecnologica de Colombia; Universidad de Boyaca [SGI] [2677]</t>
  </si>
  <si>
    <t>Universidad Pedagogica y Tecnologica de Colombia; Universidad de Boyaca [SGI]</t>
  </si>
  <si>
    <t>This study was supported by Universidad Pedagogica y Tecnologica de Colombia and Universidad de Boyaca [SGI code 2677, VIE 06 of 2019].</t>
  </si>
  <si>
    <t>ELSEVIER SCI LTD</t>
  </si>
  <si>
    <t>OXFORD</t>
  </si>
  <si>
    <t>THE BOULEVARD, LANGFORD LANE, KIDLINGTON, OXFORD OX5 1GB, OXON, ENGLAND</t>
  </si>
  <si>
    <t>2405-8440</t>
  </si>
  <si>
    <t>Heliyon</t>
  </si>
  <si>
    <t>e09673</t>
  </si>
  <si>
    <t>10.1016/j.heliyon.2022.e09673</t>
  </si>
  <si>
    <t>JUN 2022</t>
  </si>
  <si>
    <t>Multidisciplinary Sciences</t>
  </si>
  <si>
    <t>Science &amp; Technology - Other Topics</t>
  </si>
  <si>
    <t>3O0HK</t>
  </si>
  <si>
    <t>WOS:000836523000021</t>
  </si>
  <si>
    <t>Mora-Ocacion, MS; Morillo-Coronado, AC; Manjarres-Hernandez, EH</t>
  </si>
  <si>
    <t>Mora-Ocacion, Mary S.; Morillo-Coronado, Ana Cruz; Manjarres-Hernandez, Elsa Helena</t>
  </si>
  <si>
    <t>Extraction and Quantification of Saponins in Quinoa (Chenopodium quinoa Willd.) Genotypes from Colombia</t>
  </si>
  <si>
    <t>INTERNATIONAL JOURNAL OF FOOD SCIENCE</t>
  </si>
  <si>
    <t>Quinoa has a high nutraceutical potential because of the presence of secondary metabolites called saponins, which have industrial and medicinal uses and protect against attacks by pathogens. These compounds are found especially in the seed coat and give the grain a bitter taste; therefore, they must be eliminated before consumption. Despite the potential use in Colombia, there are few studies aimed at quantifying this metabolite. Therefore, the objective of this research was to evaluate two extraction methodologies (physical and chemical) and two methods for quantifying saponins in five quinoa genotypes grown in Colombia. The most efficient extraction method was the physical method. The saponin contents of the five genotypes were variable. The cluster analysis differentiated the genotypes into two groups: low saponin content (&lt;4.49 mg/g seed) and high saponin content (&gt;14.76 mg/g seeds). Blanca de Jerico had the lowest saponin content (&lt;0.40%), and Amarilla de Marangani had the highest content (&gt;0.18%). Identifying more efficient methodologies for extracting and quantifying saponins will allow a better characterization of the germplasm and selection of genotypes with desirable characteristics for both consumption and industrial use.</t>
  </si>
  <si>
    <t>[Mora-Ocacion, Mary S.; Morillo-Coronado, Ana Cruz] Univ Pedag &amp; Tecnol Colombia, Escuela Ingn Agron, Tunja 150003, Colombia; [Manjarres-Hernandez, Elsa Helena] Univ Pedag &amp; Tecnol Colombia, Escuela Ciencias Biol, Tunja 150003, Colombia</t>
  </si>
  <si>
    <t>Manjarres-Hernandez, EH (corresponding author), Univ Pedag &amp; Tecnol Colombia, Escuela Ciencias Biol, Tunja 150003, Colombia.</t>
  </si>
  <si>
    <t>mary.mora@uptc.edu.co; ana.morillo@uptc.edu.co; elsa.manjarres@uptc.edu.co</t>
  </si>
  <si>
    <t>Manjarres Hernández, Elsa Helena/HHN-6350-2022; Morillo Coronado, Ana Cruz/GLV-1980-2022</t>
  </si>
  <si>
    <t>Manjarres Hernández, Elsa Helena/0000-0001-6221-8636; Morillo Coronado, Ana Cruz/0000-0003-3125-0697; Ocacion, Mary Stephanie Mora/0000-0003-1125-050X</t>
  </si>
  <si>
    <t>Patrimonio Autonomo Fondo Nacional de Financiamiento para la Ciencia, la Tecnologia y la Innovacion Francisco Jose de Caldas-MinCiencias [63924]; CIDE group Competitividad, Innovacion y Desarrollo Empresarial; Faculty of Agricultural Sciences of the Universidad Pedagogica y Tecnologica de Colombia</t>
  </si>
  <si>
    <t>Patrimonio Autonomo Fondo Nacional de Financiamiento para la Ciencia, la Tecnologia y la Innovacion Francisco Jose de Caldas-MinCiencias; CIDE group Competitividad, Innovacion y Desarrollo Empresarial; Faculty of Agricultural Sciences of the Universidad Pedagogica y Tecnologica de Colombia</t>
  </si>
  <si>
    <t>The Patrimonio Autonomo Fondo Nacional de Financiamiento para la Ciencia, la Tecnologia y la Innovacion Francisco Jose de Caldas-MinCiencias. Cod. 63924, the CIDE group Competitividad, Innovacion y Desarrollo Empresarial, and the Faculty of Agricultural Sciences of the Universidad Pedagogica y Tecnologica de Colombia supported the study.</t>
  </si>
  <si>
    <t>HINDAWI LTD</t>
  </si>
  <si>
    <t>ADAM HOUSE, 3RD FLR, 1 FITZROY SQ, LONDON, W1T 5HF, ENGLAND</t>
  </si>
  <si>
    <t>2356-7015</t>
  </si>
  <si>
    <t>2314-5765</t>
  </si>
  <si>
    <t>INT J FOOD SCI</t>
  </si>
  <si>
    <t>Int. J. Food Sci.</t>
  </si>
  <si>
    <t>FEB 28</t>
  </si>
  <si>
    <t>10.1155/2022/7287487</t>
  </si>
  <si>
    <t>Food Science &amp; Technology; Nutrition &amp; Dietetics</t>
  </si>
  <si>
    <t>0G9ID</t>
  </si>
  <si>
    <t>WOS:000778350600001</t>
  </si>
  <si>
    <t>Cleves, A; Youkhana, E; Toro, J</t>
  </si>
  <si>
    <t>Cleves, Alejandro; Youkhana, Eva; Toro, Javier</t>
  </si>
  <si>
    <t>A Method to Assess Agroecosystem Resilience to Climate Variability</t>
  </si>
  <si>
    <t>index; resilience indicators; climatic variability; agroecosystems</t>
  </si>
  <si>
    <t>SMALL-SCALE FARMERS; ADAPTATION STRATEGIES; CHANGING CLIMATE; SOIL-EROSION; LAND-USE; IMPACTS; SUSTAINABILITY; AGRICULTURE; FRAMEWORK; SYSTEMS</t>
  </si>
  <si>
    <t>Agroecosystems are influenced by climate variability, which puts their productivity at risk. However, they tend to maintain a functional state through their resilience. The literature presents several methods for assessing general resilience, but for specific resilience to climate variability, there are very few methods. An index is proposed that assesses the resilience of agroecosystems to climate variability, based on approaches and indicators that consider the interrelationships of agricultural systems with the environment. The index is made up of a set of multidimensional indicators, which give weight to the role that these play in the resilience of an agroecosystem. As a result, decision-making is assisted in the attempt to adapt or modify components of a farm, technology, and the culture of farmers. This index conceptually introduces structural and linkage indicators that assess ecological connections within farms and between farms and their environment. To demonstrate the effectiveness of the method, an application was implemented to evaluate the resilience to climate variability of fifty-one farms, located in Colombia, dedicated to citrus production, and it was verified that the most resilient farms were those that have the best qualified indicators, as well as being the ones with the highest level of production and profitability.</t>
  </si>
  <si>
    <t>[Cleves, Alejandro] Univ Pedag &amp; Tecnol Colombia UPTC, Fac Secc Duitama, Escuela Adm Empresas Agr, Duitama 150468, Colombia; [Youkhana, Eva] Univ Bonn, Ctr Dev Res ZEF ZEF A, Dept Polit &amp; Cultural Change, D-53113 Bonn, Germany; [Toro, Javier] Univ Nacl Colombia, Inst Estudios Ambientales, Bogota 111321, Colombia</t>
  </si>
  <si>
    <t>Universidad Pedagogica y Tecnologica de Colombia (UPTC); University of Bonn; Universidad Nacional de Colombia</t>
  </si>
  <si>
    <t>Toro, J (corresponding author), Univ Nacl Colombia, Inst Estudios Ambientales, Bogota 111321, Colombia.</t>
  </si>
  <si>
    <t>jose.cleves@uptc.edu.co; eva.youkhana@uni-bonn.de; jjtoroca@unal.edu.co</t>
  </si>
  <si>
    <t>Calderón, Environmental Engineering Javier Toro/L-3799-2017</t>
  </si>
  <si>
    <t>Calderón, Environmental Engineering Javier Toro/0000-0001-6675-5148; CLEVES LEGUIZAMO, JOSE ALEJANDRO/0000-0001-9717-9753</t>
  </si>
  <si>
    <t>Universidad Pedagogica y Tecnologica de Colombia; Universidad Nacional de Colombia, Bogota [13129]; Center for Development Research (ZEF); University of Bonn, Germany</t>
  </si>
  <si>
    <t>Universidad Pedagogica y Tecnologica de Colombia; Universidad Nacional de Colombia, Bogota; Center for Development Research (ZEF); University of Bonn, Germany</t>
  </si>
  <si>
    <t>This research was funded by Universidad Pedagogica y Tecnologica de Colombia and Universidad Nacional de Colombia, Bogota (Project Code Hermes: 13129), and the APC was funded by The Center for Development Research (ZEF), an institute of the University of Bonn, Germany.</t>
  </si>
  <si>
    <t>10.3390/su14148588</t>
  </si>
  <si>
    <t>3J2MQ</t>
  </si>
  <si>
    <t>WOS:000833234900001</t>
  </si>
  <si>
    <t>Velez-Guerrero, MA; Callejas-Cuervo, M; Alvarez, JC; Mazzoleni, S</t>
  </si>
  <si>
    <t>Velez-Guerrero, Manuel Andres; Callejas-Cuervo, Mauro; Alvarez, Juan C.; Mazzoleni, Stefano</t>
  </si>
  <si>
    <t>Assessment of the Mechanical Support Characteristics of a Light and Wearable Robotic Exoskeleton Prototype Applied to Upper Limb Rehabilitation</t>
  </si>
  <si>
    <t>robotic exoskeletons; soft materials; wearable devices; upper limbs; rehabilitation; device testing; mechanical support; optical tracking; optical motion capture</t>
  </si>
  <si>
    <t>QUANTIFICATION; MOTION; MATE</t>
  </si>
  <si>
    <t>Robotic exoskeletons are active devices that assist or counteract the movements of the body limbs in a variety of tasks, including in industrial environments or rehabilitation processes. With the introduction of textile and soft materials in these devices, the effective motion transmission, mechanical support of the limbs, and resistance to physical disturbances are some of the most desirable structural features. This paper proposes an evaluation protocol and assesses the mechanical support properties of a servo-controlled robotic exoskeleton prototype for rehabilitation in upper limbs. Since this prototype was built from soft materials, it is necessary to evaluate the mechanical behavior in the areas that support the arm. Some of the rehabilitation-supporting movements such as elbow flexion and extension, as well as increased muscle tone (spasticity), are emulated. Measurements are taken using the reference supplied to the system's control stage and then compared with an external high-precision optical tracking system. As a result, it is evidenced that the use of soft materials provides satisfactory outcomes in the motion transfer and support to the limb. In addition, this study lays the groundwork for a future assessment of the prototype in a controlled laboratory environment using human test subjects.</t>
  </si>
  <si>
    <t>[Velez-Guerrero, Manuel Andres; Callejas-Cuervo, Mauro] Univ Pedag &amp; Tecnol Colombia, Software Res Grp, Tunja 150002, Colombia; [Alvarez, Juan C.] Univ Oviedo, Dept Elect Elect Comp &amp; Syst Engn, Multisensor Syst &amp; Robot Grp SiMuR, Gijon 33203, Spain; [Mazzoleni, Stefano] Polytech Univ Bari, Dept Elect &amp; Informat Engn, I-70126 Bari, Italy</t>
  </si>
  <si>
    <t>Universidad Pedagogica y Tecnologica de Colombia (UPTC); University of Oviedo; Politecnico di Bari</t>
  </si>
  <si>
    <t>Velez-Guerrero, MA (corresponding author), Univ Pedag &amp; Tecnol Colombia, Software Res Grp, Tunja 150002, Colombia.</t>
  </si>
  <si>
    <t>manuel.velez@uptc.edu.co; mauro.callejas@uptc.edu.co; juan@uniovi.es; stefano.mazzoleni@poliba.it</t>
  </si>
  <si>
    <t>; Mazzoleni, Stefano/B-5875-2011; Callejas Cuervo, Mauro/Q-6848-2019; Alvarez Alvarez, Juan Carlos/G-5910-2011</t>
  </si>
  <si>
    <t>Velez-Guerrero, Manuel Andres/0000-0002-2105-1742; Mazzoleni, Stefano/0000-0002-9528-3239; Callejas Cuervo, Mauro/0000-0001-9894-8737; Alvarez Alvarez, Juan Carlos/0000-0002-8910-4855</t>
  </si>
  <si>
    <t>Universidad Pedagogica y Tecnologica de Colombia [SGI 3161]</t>
  </si>
  <si>
    <t>This research was funded by Universidad Pedagogica y Tecnologica de Colombia (project number SGI 3161) and the APC was funded by the same institution.</t>
  </si>
  <si>
    <t>10.3390/s22113999</t>
  </si>
  <si>
    <t>1Z6RV</t>
  </si>
  <si>
    <t>WOS:000808950000001</t>
  </si>
  <si>
    <t>Salinas-Torres, A; Portilla, J; Rojas, H; Becerra, D; Castillo, JC</t>
  </si>
  <si>
    <t>Salinas-Torres, Angelica; Portilla, Jaime; Rojas, Hugo; Becerra, Diana; Castillo, Juan-Carlos</t>
  </si>
  <si>
    <t>Synthesis, Spectroscopic Analysis, and In Vitro Anticancer Evaluation of 2-(Phenylsulfonyl)-2H-1,2,3-triazole</t>
  </si>
  <si>
    <t>MOLBANK</t>
  </si>
  <si>
    <t>1,2,3-triazole; sulfonamidation; S-N bond formation; sulfonamide; cancer</t>
  </si>
  <si>
    <t>BIOLOGICAL EVALUATION; MOLECULAR-STRUCTURE; SPECTRA; 1H-1,2,3-TRIAZOLE; 1,2,3-TRIAZOLES; TAUTOMERISM; VIBRATIONS; CONVERSION; TRIAZOLES; KINETICS</t>
  </si>
  <si>
    <t>The 1,2,3-Triazole derivatives containing the sulfonyl group have proved their biological importance in medicinal chemistry and drug design. In this sense, we describe the regioselective synthesis of 2-(phenylsulfonyl)-2H-1,2,3-triazole 3 in good yield through a classical sulfonamidation reaction of 1H-1,2,3-triazole 1 with benzenesulfonyl chloride 2 in dichloromethane using a slight excess of triethylamine at 20 degrees C for 3 h. This procedure is distinguished by its short reaction time, high yield, excellent regioselectivity, clean reaction profile, and operational simplicity. The sulfonamide 3 was characterized by high-resolution mass spectrometry, FT-IR, UV-Vis, 1D and 2D NMR spectroscopy, and elemental analysis. The sulfonamide 3 exhibited moderate activity against UO-31 renal, SNB-75 central nervous system, HCT-116 colon, and BT-549 breast cancer cell lines, with growth inhibition percentages (GI%) ranging from 10.83% to 17.64%.</t>
  </si>
  <si>
    <t>[Salinas-Torres, Angelica; Rojas, Hugo; Becerra, Diana; Castillo, Juan-Carlos] Univ Pedag &amp; Tecnol Colombia, Fac Ciencias, Escuela Ciencias Quim, Grp Catalisis UPTC, Ave Cent Norte 39-115, Tunja 150003, Colombia; [Portilla, Jaime; Castillo, Juan-Carlos] Univ Los Andes, Dept Chem, Bioorgan Cpds Res Grp, Carrera 1 18A-10, Bogota 111711, Colombia</t>
  </si>
  <si>
    <t>Universidad Pedagogica y Tecnologica de Colombia (UPTC); Universidad de los Andes (Colombia)</t>
  </si>
  <si>
    <t>Becerra, D; Castillo, JC (corresponding author), Univ Pedag &amp; Tecnol Colombia, Fac Ciencias, Escuela Ciencias Quim, Grp Catalisis UPTC, Ave Cent Norte 39-115, Tunja 150003, Colombia.;Castillo, JC (corresponding author), Univ Los Andes, Dept Chem, Bioorgan Cpds Res Grp, Carrera 1 18A-10, Bogota 111711, Colombia.</t>
  </si>
  <si>
    <t>angelica.salinas@uptc.edu.co; jportill@uniandes.edu.co; hugo.rojas@uptc.edu.co; diana.becerra08@uptc.edu.co; juan.castillo06@uptc.edu.co</t>
  </si>
  <si>
    <t>Millán, Juan Castillo/AAM-5433-2020; Becerra, Diana/ABB-6940-2020</t>
  </si>
  <si>
    <t>Millán, Juan Castillo/0000-0002-6060-2578; Becerra, Diana/0000-0001-5805-7454</t>
  </si>
  <si>
    <t>Direccion de Investigaciones at the Universidad Pedagogica y Tecnologica de Colombia [SGI-3312]; Facultad de Ciencias at the Universidad de los Andes [INV-2019-84-1800]</t>
  </si>
  <si>
    <t>Direccion de Investigaciones at the Universidad Pedagogica y Tecnologica de Colombia; Facultad de Ciencias at the Universidad de los Andes</t>
  </si>
  <si>
    <t>The authors thank Universidad Pedagogica y Tecnologica de Colombia and Universidad de los Andes. A.S.-T., H.R., D.B. and J.-C.C. acknowledge the Direccion de Investigaciones at the Universidad Pedagogica y Tecnologica de Colombia (Project SGI-3312). J.P. thanks support from the Facultad de Ciencias at the Universidad de los Andes (Project INV-2019-84-1800). We are grateful to the National Cancer Institute (NCI, USA) for performing the anticancer evaluation of compound &lt;BOLD&gt;3&lt;/BOLD&gt;.</t>
  </si>
  <si>
    <t>1422-8599</t>
  </si>
  <si>
    <t>Molbank</t>
  </si>
  <si>
    <t>M1387</t>
  </si>
  <si>
    <t>10.3390/M1387</t>
  </si>
  <si>
    <t>Chemistry, Organic</t>
  </si>
  <si>
    <t>2N5QY</t>
  </si>
  <si>
    <t>WOS:000818434400001</t>
  </si>
  <si>
    <t>Castillo, JC; Martinez, JJ; Becerra, D; Rojas, H; Macias, MA</t>
  </si>
  <si>
    <t>Castillo, Juan -Carlos; Martinez, Jose J.; Becerra, Diana; Rojas, Hugo; Macias, Mario A.</t>
  </si>
  <si>
    <t>Obtaining (5-formylfuran-2-yl)methyl 4-chlorobenzoate through an esterification of 5-hydroxymethylfurfural: Interesting achiral molecule crystallizing in a Sohncke P 2 1 2 1 2 1 space group</t>
  </si>
  <si>
    <t>JOURNAL OF MOLECULAR STRUCTURE</t>
  </si>
  <si>
    <t>5-hydroxymethylfurfural (5-HMF); Esterification; Biomass conversion; Hirshfeld surface maps; Energy frameworks; Sohncke space group</t>
  </si>
  <si>
    <t>BIOLOGICAL EVALUATION; BIOMASS; ESTERS; ACID; HMF; CONVERSION; DECARBONYLATION; DERIVATIVES; OXIDATION</t>
  </si>
  <si>
    <t>We report the catalyst-free synthesis of (5-formylfuran-2-yl)methyl 4-chlorobenzoate in 71% yield by an O -acylation reaction of 5-hydroxymethylfurfural with 4-chlorobenzoyl chloride using a slight excess of triethylamine in dichloromethane at 20 degrees C for 24 h. The structure of the 5-HMF aryl ester was characterized by FT-IR, UV-Vis, 1D and 2D NMR spectroscopy, mass spectrometry, and differential scanning calorimetry (DSC). This compound was recrystallized from methanol at ambient temperature under normal pressure conditions. X-Ray diffraction analyses show that achiral 5-HMF aryl ester crystallizes in a Sohncke P 2 1 2 1 2 1 space group, which could be related to a potential nonlinear optic property from inexpensive and readily abundant biomass sources. In the supramolecular structure, short hydrogen bonds were detected. However, computed CE-B3LYP (kJ/mol) intermolecular interaction energies indicate that the growth of the crystal is preferentially driven by dispersion forces. (c) 2022 Elsevier B.V. All rights reserved.</t>
  </si>
  <si>
    <t>[Castillo, Juan -Carlos; Martinez, Jose J.; Becerra, Diana; Rojas, Hugo] Univ Pedag &amp; Tecnol Colombia, Escuela Ciencias Quim, Ave Cent Norte 39-115, Tunja 150003, Colombia; [Macias, Mario A.] Univ Andes, Dept Chem, Crystallog &amp; Chem Mat, CrisQuimMat, Carrera 1 18A-10, Bogota 111711, Colombia</t>
  </si>
  <si>
    <t>Castillo, JC (corresponding author), Univ Pedag &amp; Tecnol Colombia, Escuela Ciencias Quim, Ave Cent Norte 39-115, Tunja 150003, Colombia.;Macias, MA (corresponding author), Univ Andes, Dept Chem, Crystallog &amp; Chem Mat, CrisQuimMat, Carrera 1 18A-10, Bogota 111711, Colombia.</t>
  </si>
  <si>
    <t>juan.castillo06@uptc.edu.co; ma.maciasl@uniandes.edu.co</t>
  </si>
  <si>
    <t>Millán, Juan Castillo/AAM-5433-2020; Macías, Mario Alberto/W-9716-2019; Becerra, Diana/ABB-6940-2020</t>
  </si>
  <si>
    <t>Millán, Juan Castillo/0000-0002-6060-2578; Macías, Mario Alberto/0000-0003-2749-8489; Becerra, Diana/0000-0001-5805-7454</t>
  </si>
  <si>
    <t>Facultad de Ciencias at the Universidad de los Andes [FAPA-P18.160422.043]; Direccion de Investigaciones at the Universidad Pedagogica y Tecnologica de Colombia [SGI-3312]</t>
  </si>
  <si>
    <t>Facultad de Ciencias at the Universidad de los Andes; Direccion de Investigaciones at the Universidad Pedagogica y Tecnologica de Colombia</t>
  </si>
  <si>
    <t>The authors thank Universidad de los Andes and Universidad Pedagogica y Tecnologica de Colombia. M.A.M. acknowledges support from the Facultad de Ciencias at the Universidad de los Andes (project number FAPA-P18.160422.043). D.B., J.J.M., H.R. and J.-C.C. acknowledge to the Direccion de Investigaciones at the Universidad Pedagogica y Tecnologica de Colombia (project number SGI-3312). We also acknowledge Luis Hurtado and Carlos Rodriguez at the Universidad del Valle for acquiring 1D and 2D NMR spectra, electron ionization mass spectrum, and elemental analysis.</t>
  </si>
  <si>
    <t>0022-2860</t>
  </si>
  <si>
    <t>1872-8014</t>
  </si>
  <si>
    <t>J MOL STRUCT</t>
  </si>
  <si>
    <t>J. Mol. Struct.</t>
  </si>
  <si>
    <t>NOV 15</t>
  </si>
  <si>
    <t>10.1016/j.molstruc.2022.133713</t>
  </si>
  <si>
    <t>Chemistry, Physical</t>
  </si>
  <si>
    <t>3H0AR</t>
  </si>
  <si>
    <t>WOS:000831707400002</t>
  </si>
  <si>
    <t>Recycling of zinc and lead from electric arc furnace dust by selective leaching with EDTA</t>
  </si>
  <si>
    <t>CANADIAN METALLURGICAL QUARTERLY</t>
  </si>
  <si>
    <t>Hydrometallurgy; selective-leaching; EAFD; lead; zinc; EDTA</t>
  </si>
  <si>
    <t>RECOVERY; COPPER; EAFD; IRON; PB; WASTE; SOIL; ZN</t>
  </si>
  <si>
    <t>Electric Arc Furnace Dust (EAFD) is a potential source of contamination, primarily by the non- ferrous metals as it may contain (Zn, Pb). It is known that steel processing companies make efforts to reuse EAFD, however, today, the implementation of the most common hydrometallurgical methods is considered to be harmful and corrosive. In that sense, a more ecological and efficient technique for the management of this industrial waste is proposed here. The technique consists in the use of an organic solution of ethylenediaminetetraacetic acid (EDTA) at moderate conditions (room temperature, 0.5 M maximum concentration and 2 h of operation) for zinc and lead extraction. To leach metals using EDTA at pH 3 and 6 is possible and favourable. The presence of ZnFe2O4 did not allow leaching of the total zinc present in EAFD, while the rapid dissolution of PbO allowed more than 95% lead extraction.</t>
  </si>
  <si>
    <t>[Borda, Johana; Torres, Robinson] Univ Pedagog &amp; Tecnol Colombia, Escuela Metalurgia, Fac Ingn, Ave Cent Norte Km 4,Edif Ingn 201, Tunja, Colombia</t>
  </si>
  <si>
    <t>Borda, J (corresponding author), Univ Pedagog &amp; Tecnol Colombia, Escuela Metalurgia, Fac Ingn, Ave Cent Norte Km 4,Edif Ingn 201, Tunja, Colombia.</t>
  </si>
  <si>
    <t>Borda, Johana/0000-0002-0540-0519; Torres, Robinson/0000-0002-4033-0827</t>
  </si>
  <si>
    <t>VIE -SGI project</t>
  </si>
  <si>
    <t>The authors are grateful for the support received from the VIE -SGI project to carry out this research, as well as the Grupo Metalurgia No Ferrosa of the Universidad Pedagogica y Tecnologica de Colombia UPTC</t>
  </si>
  <si>
    <t>TAYLOR &amp; FRANCIS LTD</t>
  </si>
  <si>
    <t>ABINGDON</t>
  </si>
  <si>
    <t>2-4 PARK SQUARE, MILTON PARK, ABINGDON OR14 4RN, OXON, ENGLAND</t>
  </si>
  <si>
    <t>0008-4433</t>
  </si>
  <si>
    <t>1879-1395</t>
  </si>
  <si>
    <t>CAN METALL QUART</t>
  </si>
  <si>
    <t>Can. Metall. Q.</t>
  </si>
  <si>
    <t>OCT 2</t>
  </si>
  <si>
    <t>10.1080/00084433.2022.2046902</t>
  </si>
  <si>
    <t>Metallurgy &amp; Metallurgical Engineering</t>
  </si>
  <si>
    <t>5A7GN</t>
  </si>
  <si>
    <t>WOS:000766118600001</t>
  </si>
  <si>
    <t>Alarcon-Aldana, AC; Callejas-Cuervo, M; Bastos, T; Bo, APL</t>
  </si>
  <si>
    <t>Catherine Alarcon-Aldana, Andrea; Callejas-Cuervo, Mauro; Bastos-Filho, Teodiano; Lanari Bo, Antonio Padilha</t>
  </si>
  <si>
    <t>A Kinematic Information Acquisition Model That Uses Digital Signals from an Inertial and Magnetic Motion Capture System</t>
  </si>
  <si>
    <t>motion capture; inertial magnetic sensors; signal processing; kinematics; articular amplitude; upper limb; optical motion capture; optical analysis</t>
  </si>
  <si>
    <t>This paper presents a model that enables the transformation of digital signals generated by an inertial and magnetic motion capture system into kinematic information. First, the operation and data generated by the used inertial and magnetic system are described. Subsequently, the five stages of the proposed model are described, concluding with its implementation in a virtual environment to display the kinematic information. Finally, the applied tests are presented to evaluate the performance of the model through the execution of four exercises on the upper limb: flexion and extension of the elbow, and pronation and supination of the forearm. The results show a mean squared error of 3.82 degrees in elbow flexion-extension movements and 3.46 degrees in forearm pronation-supination movements. The results were obtained by comparing the inertial and magnetic system versus an optical motion capture system, allowing for the identification of the usability and functionality of the proposed model.</t>
  </si>
  <si>
    <t>[Catherine Alarcon-Aldana, Andrea] Univ Pedag &amp; Tecnol Colombia, PhD Program Engn, Tunja 150002, Colombia; [Callejas-Cuervo, Mauro] Univ Pedag &amp; Tecnol Colombia, Fac Engn, Tunja 150002, Colombia; [Bastos-Filho, Teodiano] Univ Fed Espirito Santo, Postgrad Program Elect Engn, BR-29075910 Vitoria, ES, Brazil; [Lanari Bo, Antonio Padilha] Univ Queensland, Sch Informat Technol &amp; Elect Engn, Brisbane, Qld 4072, Australia</t>
  </si>
  <si>
    <t>Universidad Pedagogica y Tecnologica de Colombia (UPTC); Universidad Pedagogica y Tecnologica de Colombia (UPTC); Universidade Federal do Espirito Santo; University of Queensland</t>
  </si>
  <si>
    <t>Alarcon-Aldana, AC (corresponding author), Univ Pedag &amp; Tecnol Colombia, PhD Program Engn, Tunja 150002, Colombia.</t>
  </si>
  <si>
    <t>andrea.alarconaldana@uptc.edu.co; mauro.callejas@uptc.edu.co; teodiano.bastos@ufes.br; antonio.plb@uq.edu.au</t>
  </si>
  <si>
    <t>Callejas Cuervo, Mauro/Q-6848-2019; Padilha Lanari Bo, Antonio/L-4167-2017; Bastos-Filho, Teodiano/P-7535-2014</t>
  </si>
  <si>
    <t>Callejas Cuervo, Mauro/0000-0001-9894-8737; Padilha Lanari Bo, Antonio/0000-0001-8229-0512; Bastos-Filho, Teodiano/0000-0002-1185-2773</t>
  </si>
  <si>
    <t>Universidad Pedagogica y Tecnologica de Colombia [SGI 2947]</t>
  </si>
  <si>
    <t>This study was funded by Universidad Pedagogica y Tecnologica de Colombia (project number SGI 2947) and the APC was funded by the same institution.</t>
  </si>
  <si>
    <t>10.3390/s22134898</t>
  </si>
  <si>
    <t>2Y1KZ</t>
  </si>
  <si>
    <t>WOS:000825652500001</t>
  </si>
  <si>
    <t>Martinez, DC; Carvajal-Cogollo, JE</t>
  </si>
  <si>
    <t>Camilo Martinez, David; Carvajal-Cogollo, Juan E.</t>
  </si>
  <si>
    <t>Effects of habitat loss on three insect assemblages in modified ecosystems of foothills of the Colombian Orinoquia</t>
  </si>
  <si>
    <t>REVISTA DE BIOLOGIA TROPICAL</t>
  </si>
  <si>
    <t>habitat fragmentation; habitat amount; ants; butterflies; dung beetles; neotropical landscape</t>
  </si>
  <si>
    <t>FRUIT-FEEDING BUTTERFLIES; DUNG BEETLE; LEPIDOPTERA NYMPHALIDAE; COMMUNITY STRUCTURE; TEMPORAL VARIATION; SPECIES RESPONSES; BIODIVERSITY LOSS; FOREST LANDSCAPE; ANT COMMUNITIES; FRAGMENTATION</t>
  </si>
  <si>
    <t>Introduction: The effects of habitat transformation have been widely studied and the effects are well-known at different levels of biological organization. However, few studies have focused on responses to this process at the level of multiple taxa in diverse taxonomic and functional groups. Objective: Determine the variations in taxonomic and functional diversity of ants, butterflies, and dung beetles, at a spatial and temporal level in a landscape mosaic of the ecoregion of the Colombian foothills. Methods: We assessed amount of natural habitat and landscape composition in four types of vegetation, during the highest and lowest rain periods. We collected butterflies with hand nets and used baited pitfall traps for dung beetles and ants. Results: Habitat loss positively affected ant and butterfly species richness, and negatively affected dung beetles. The abundance of ants and butterflies had a positive effect on the dominance of species in the transformed veg-etation, for dung beetles the abundance was negatively affected by the absence of canopy cover. Habitat loss had no negative effect on functional diversity as there is no difference between natural and transformed vegetation. Conclusions: The amount of habitat, habitat connectivity and different types of vegetation cover were impor-tant factors in the maintenance of insect diversity in the modified ecosystems of foothills of the Colombian Orinoquia. The lack of a common spatial and temporal pattern shows that studies of multiple insect taxa should be carried out for biodiversity monitoring and conservation processes.</t>
  </si>
  <si>
    <t>[Camilo Martinez, David; Carvajal-Cogollo, Juan E.] Univ Pedag &amp; Tecnol Colombia, Grp Invest Biodiversidad &amp; Conservac, Muse Hist Nat Luis Gonzalo Andrade Nat, Fac Ciencias, Ave Cent Norte 39-115, Tunja 150003, Boyaca, Colombia; [Camilo Martinez, David] Univ Pedag &amp; Tecnol Colombia, Lab Entomol, Tunja, Boyaca, Colombia</t>
  </si>
  <si>
    <t>Martinez, DC (corresponding author), Univ Pedag &amp; Tecnol Colombia, Grp Invest Biodiversidad &amp; Conservac, Muse Hist Nat Luis Gonzalo Andrade Nat, Fac Ciencias, Ave Cent Norte 39-115, Tunja 150003, Boyaca, Colombia.;Martinez, DC (corresponding author), Univ Pedag &amp; Tecnol Colombia, Lab Entomol, Tunja, Boyaca, Colombia.</t>
  </si>
  <si>
    <t>martinezd.camilo@gmail.com; juan.carvajal03@uptc.edu.co</t>
  </si>
  <si>
    <t>Andean Road Consortium; UPTC;  [BPIN 2020000100003]</t>
  </si>
  <si>
    <t xml:space="preserve">Andean Road Consortium; UPTC; </t>
  </si>
  <si>
    <t>We thank The Andean Road Consortium and UPTC for financing this project, Maria Isabel Bautista and Diogenes Arrieta from CONANDINO who collaborated on logistical aspects in the field trips. Irina Tatiana Morales Castano and the team of the UPTC Entomology Laboratory for their support. Andres David Meneses for their help in ant determinations. Maria Paula Chacon Gutierrez for their help in butterfly determinations. We express our gratitude to the call 08-2021, and the project: Taxonomic and functional diversity of coprophagous beetles (Scarabaeidae: Scarabaeinae) in a gradient altitudinal of the Northeastern Andes, Boyaca-Colombia. SGI 3150 of the Vicerrectoria de Investigacion y Extension, of the Universidad Pedagogica y Tecnologica de Colombia (UPTC). We also want to thank the project: The biodiversity of Boyaca: Complementation and synthesis through altitudinal gradients and implementations of its incorporation in projects of social appropriation of knowledge and the effects of climate change, Boyaca. BPIN 2020000100003</t>
  </si>
  <si>
    <t>SAN JOSE</t>
  </si>
  <si>
    <t>UNIVERSIDAD DE COSTA RICA CIUDAD UNIVERSITARIA, SAN JOSE, 00000, COSTA RICA</t>
  </si>
  <si>
    <t>0034-7744</t>
  </si>
  <si>
    <t>2215-2075</t>
  </si>
  <si>
    <t>REV BIOL TROP</t>
  </si>
  <si>
    <t>Rev. Biol. Trop.</t>
  </si>
  <si>
    <t>JAN-DEC</t>
  </si>
  <si>
    <t>10.15517/rev.biol.trop.2022.49628</t>
  </si>
  <si>
    <t>Biology</t>
  </si>
  <si>
    <t>Life Sciences &amp; Biomedicine - Other Topics</t>
  </si>
  <si>
    <t>3S3WW</t>
  </si>
  <si>
    <t>WOS:000839530900001</t>
  </si>
  <si>
    <t>Becerra, D; Abonia, R; Castillo, JC</t>
  </si>
  <si>
    <t>Becerra, Diana; Abonia, Rodrigo; Castillo, Juan-Carlos</t>
  </si>
  <si>
    <t>Recent Applications of the Multicomponent Synthesis for Bioactive Pyrazole Derivatives</t>
  </si>
  <si>
    <t>MOLECULES</t>
  </si>
  <si>
    <t>multicomponent reactions (MCRs); pyrazole derivatives; biological activity; medicinal chemistry; drug discovery</t>
  </si>
  <si>
    <t>ONE-POT SYNTHESIS; ONE-STEP SYNTHESIS; BIOLOGICAL EVALUATION; MOLECULAR DOCKING; POTENTIAL ANTITUMOR; EFFICIENT SYNTHESIS; DRUG DISCOVERY; ANTIINFLAMMATORY DRUGS; ANTIMICROBIAL ACTIVITY; INHIBITORS</t>
  </si>
  <si>
    <t>Pyrazole and its derivatives are considered a privileged N-heterocycle with immense therapeutic potential. Over the last few decades, the pot, atom, and step economy (PASE) synthesis of pyrazole derivatives by multicomponent reactions (MCRs) has gained increasing popularity in pharmaceutical and medicinal chemistry. The present review summarizes the recent developments of multicomponent reactions for the synthesis of biologically active molecules containing the pyrazole moiety. Particularly, it covers the articles published from 2015 to date related to antibacterial, anticancer, antifungal, antioxidant, alpha-glucosidase and alpha-amylase inhibitory, anti-inflammatory, antimycobacterial, antimalarial, and miscellaneous activities of pyrazole derivatives obtained exclusively via an MCR. The reported analytical and activity data, plausible synthetic mechanisms, and molecular docking simulations are organized in concise tables, schemes, and figures to facilitate comparison and underscore the key points of this review. We hope that this review will be helpful in the quest for developing more biologically active molecules and marketed drugs containing the pyrazole moiety.</t>
  </si>
  <si>
    <t>[Becerra, Diana; Castillo, Juan-Carlos] Univ Pedag &amp; Tecnol Colombia, Fac Ciencias, Escuela Ciencias Quim, Ave Cent Norte, Tunja 150003, Colombia; [Abonia, Rodrigo] Univ Valle, Dept Chem, Res Grp Heterocycl Cpds, AA 25360, Cali 76001, Colombia</t>
  </si>
  <si>
    <t>Universidad Pedagogica y Tecnologica de Colombia (UPTC); Universidad del Valle</t>
  </si>
  <si>
    <t>Castillo, JC (corresponding author), Univ Pedag &amp; Tecnol Colombia, Fac Ciencias, Escuela Ciencias Quim, Ave Cent Norte, Tunja 150003, Colombia.</t>
  </si>
  <si>
    <t>diana.becerra08@uptc.edu.co; rodrigo.abonia@correounivalle.edu.co; juan.castillo06@uptc.edu.co</t>
  </si>
  <si>
    <t>Becerra, Diana/ABB-6940-2020; Millán, Juan Castillo/AAM-5433-2020</t>
  </si>
  <si>
    <t>Becerra, Diana/0000-0001-5805-7454; Millán, Juan Castillo/0000-0002-6060-2578; ABONIA, RODRIGO/0000-0003-3256-0961</t>
  </si>
  <si>
    <t>Direccion de Investigaciones at the Universidad Pedagogica y Tecnologica de Colombia [SGI 3312]; Universidad del Valle</t>
  </si>
  <si>
    <t>Direccion de Investigaciones at the Universidad Pedagogica y Tecnologica de Colombia; Universidad del Valle</t>
  </si>
  <si>
    <t>D.B. and J.-C.C. acknowledge the Direccion de Investigaciones at the Universidad Pedagogica y Tecnologica de Colombia (Project SGI 3312). R.A. thanks MINCIENCIAS and Universidad del Valle for partial financial support. The authors thank Daniela Becerra-Cordoba for designing the graphical abstract.</t>
  </si>
  <si>
    <t>1420-3049</t>
  </si>
  <si>
    <t>Molecules</t>
  </si>
  <si>
    <t>10.3390/molecules27154723</t>
  </si>
  <si>
    <t>Biochemistry &amp; Molecular Biology; Chemistry, Multidisciplinary</t>
  </si>
  <si>
    <t>Biochemistry &amp; Molecular Biology; Chemistry</t>
  </si>
  <si>
    <t>3S7NO</t>
  </si>
  <si>
    <t>Green Published, gold, Green Submitted</t>
  </si>
  <si>
    <t>WOS:000839778900001</t>
  </si>
  <si>
    <t>Silva, JHO; Laroze, D; Maiti, SK</t>
  </si>
  <si>
    <t>Ojeda Silva, Judith Helena; Laroze, David; Maiti, Santanu K.</t>
  </si>
  <si>
    <t>Thermoelectric phenomena of the molecular structure of a Thiolated Arylethynylene with a 9,10-Dihydroanthracene (AH) core</t>
  </si>
  <si>
    <t>EUROPEAN PHYSICAL JOURNAL PLUS</t>
  </si>
  <si>
    <t>ELECTRONIC TRANSPORT; SHOT-NOISE; QUANTUM INTERFERENCE; CHARGE-TRANSPORT; JUNCTIONS; BIPHENYL; PERFORMANCE; CONDUCTANCE; MODULATION</t>
  </si>
  <si>
    <t>Thermoelectric properties of the Thiolated Arylethynylene with a 9,10-Dihydroanthracene core molecular system, which consists of a finite homogeneous chain of benzene rings connected to two semi-infinite contacts, are investigated. The study is based on the strong bonding approach to first neighbors, using semi-analytical methods of Green's function techniques within a real space renormalization group scheme. The thermoelectric quantities like electrical conductance, thermal conductance, Seebeck coefficient, and figure of merit are determined in terms of molecule-to-electrode coupling, voltage bias as well as temperature. The obtained results show that such a molecular system can be utilized as an efficient energy converter from heat energy to usable electric energy. Our analysis can be extended to other simple and more complex molecular systems possessing loop sub-structures for designing thermoelectric devices.</t>
  </si>
  <si>
    <t>[Ojeda Silva, Judith Helena] Univ Pedag &amp; Tecnol Colombia, Fac Ciencias, Grp Fis Mat, Tunja 150003, Boyaca, Colombia; [Ojeda Silva, Judith Helena] Univ Pedag &amp; Tecnol Colombia, Fac Ciencias, Lab Quim Teor &amp; Computac, Grp Invest Quim Fis Mol &amp; Modelamiento Computat Q, Tunja 150003, Boyaca, Colombia; [Laroze, David] Univ Tarapaca, Inst Alta Invest, CEDENNA, Casilla 7D, Arica, Chile; [Maiti, Santanu K.] Indian Stat Inst, Phys &amp; Appl Math Unit, 203 Barrackpore Trunk Rd, Kolkata 700108, India</t>
  </si>
  <si>
    <t>Universidad Pedagogica y Tecnologica de Colombia (UPTC); Universidad Pedagogica y Tecnologica de Colombia (UPTC); Universidad de Tarapaca; Indian Statistical Institute; Indian Statistical Institute Kolkata</t>
  </si>
  <si>
    <t>Silva, JHO (corresponding author), Univ Pedag &amp; Tecnol Colombia, Fac Ciencias, Grp Fis Mat, Tunja 150003, Boyaca, Colombia.;Silva, JHO (corresponding author), Univ Pedag &amp; Tecnol Colombia, Fac Ciencias, Lab Quim Teor &amp; Computac, Grp Invest Quim Fis Mol &amp; Modelamiento Computat Q, Tunja 150003, Boyaca, Colombia.</t>
  </si>
  <si>
    <t>judith.ojeda@uptc.edu.co; dlarozen@uta.cl; santanu.maiti@isical.ac.in</t>
  </si>
  <si>
    <t>Laroze, David/E-9134-2011</t>
  </si>
  <si>
    <t>Laroze, David/0000-0002-6487-8096; OJEDA SILVA, JUDITH HELENA/0000-0001-7004-2984</t>
  </si>
  <si>
    <t>Universidad Pedagogica y Tecnologica de Colombia; FONDECYT [1180905]; BASAL/ANID, CEDENNA [AFB180001]</t>
  </si>
  <si>
    <t>Universidad Pedagogica y Tecnologica de Colombia; FONDECYT(Comision Nacional de Investigacion Cientifica y Tecnologica (CONICYT)CONICYT FONDECYT); BASAL/ANID, CEDENNA</t>
  </si>
  <si>
    <t>JHOS acknowledges the financial support from Universidad Pedagogica y Tecnologica de Colombia. DL acknowledge partial financial support from FONDECYT 1180905 and from Centers of Excellence with BASAL/ANID financing Grant AFB180001, CEDENNA.</t>
  </si>
  <si>
    <t>2190-5444</t>
  </si>
  <si>
    <t>EUR PHYS J PLUS</t>
  </si>
  <si>
    <t>Eur. Phys. J. Plus</t>
  </si>
  <si>
    <t>MAY 5</t>
  </si>
  <si>
    <t>10.1140/epjp/s13360-022-02732-5</t>
  </si>
  <si>
    <t>Physics, Multidisciplinary</t>
  </si>
  <si>
    <t>Physics</t>
  </si>
  <si>
    <t>0Z9FV</t>
  </si>
  <si>
    <t>WOS:000791376200002</t>
  </si>
  <si>
    <t>Suarez, H; Reyes, A; Suarez, Y</t>
  </si>
  <si>
    <t>Suarez, Hector; Reyes, Armando; Suarez, Yesica</t>
  </si>
  <si>
    <t>Homogenized skew PBW extensions</t>
  </si>
  <si>
    <t>ARABIAN JOURNAL OF MATHEMATICS</t>
  </si>
  <si>
    <t>16S36; 16S37; 16W50; 16W70; 13N10</t>
  </si>
  <si>
    <t>ALGEBRAS; RINGS; DEFORMATION; PROPERTY; GEOMETRY; NOTION</t>
  </si>
  <si>
    <t>In this paper, we provide a new and more general filtration to the family of noncommutative rings known as skew PBW extensions. We introduce the notion of sigma-filtered skew PBW extension and study some homological properties of these algebras. We show that the homogenization of a sigma-filtered skew PBW extension A over a ring R is a graded skew PBW extension over the homogenization of R. Using this fact, we prove that if the homogenization of R is Auslander-regular, then the homogenization of A is a domain Noetherian, Artin-Schelter regular, and A is Noetherian, Zariski and (ungraded) skew Calabi-Yau.</t>
  </si>
  <si>
    <t>[Suarez, Hector; Suarez, Yesica] Univ Pedag &amp; Tecnol Colombia, Escuela Matemat &amp; Estadist, Sede Tunja, Colombia; [Reyes, Armando] Univ Nacl Colombia, Dept Matemat, Bogota, Colombia</t>
  </si>
  <si>
    <t>Universidad Pedagogica y Tecnologica de Colombia (UPTC); Universidad Nacional de Colombia</t>
  </si>
  <si>
    <t>Reyes, A (corresponding author), Univ Nacl Colombia, Dept Matemat, Bogota, Colombia.</t>
  </si>
  <si>
    <t>hector.suarez@uptc.edu.co; mareyesv@unal.edu.co; yesica.suarez@uptc.edu.co</t>
  </si>
  <si>
    <t>Vicerrectoria de Investigacion y Extension, Universidad Pedagogica y Tecnologica de Colombia, Tunja, Colombia [SGI 3334]; Faculty of Science, Universidad Nacional de Colombia-Sede Bogota, Colombia [HERMES 52464]</t>
  </si>
  <si>
    <t>Vicerrectoria de Investigacion y Extension, Universidad Pedagogica y Tecnologica de Colombia, Tunja, Colombia; Faculty of Science, Universidad Nacional de Colombia-Sede Bogota, Colombia</t>
  </si>
  <si>
    <t>The first author was supported by Vicerrectoria de Investigacion y Extension, Code SGI 3334, Universidad Pedagogica y Tecnologica de Colombia, Tunja, Colombia. The authors were supported by the research fund of Faculty of Science, Code HERMES 52464, Universidad Nacional de Colombia-Sede Bogota, Colombia.</t>
  </si>
  <si>
    <t>2193-5343</t>
  </si>
  <si>
    <t>2193-5351</t>
  </si>
  <si>
    <t>ARAB J MATH</t>
  </si>
  <si>
    <t>Arabian J. Math.</t>
  </si>
  <si>
    <t>10.1007/s40065-022-00410-z</t>
  </si>
  <si>
    <t>Mathematics</t>
  </si>
  <si>
    <t>6X5VB</t>
  </si>
  <si>
    <t>gold, Green Submitted</t>
  </si>
  <si>
    <t>WOS:000896479600001</t>
  </si>
  <si>
    <t>Angulo-Saucedo, GA; Leon-Medina, JX; Pineda-Munoz, WA; Torres-Arredondo, MA; Tibaduiza, DA</t>
  </si>
  <si>
    <t>Angulo-Saucedo, Gilbert A.; Leon-Medina, Jersson X.; Pineda-Munoz, Wilman Alonso; Torres-Arredondo, Miguel Angel; Tibaduiza, Diego A.</t>
  </si>
  <si>
    <t>Damage Classification Using Supervised Self-Organizing Maps in Structural Health Monitoring</t>
  </si>
  <si>
    <t>structural health monitoring; machine learning; self-organizing maps; damage classification; principal component analysis; piezoelectric; data acquisition system</t>
  </si>
  <si>
    <t>NETWORKS; SYSTEM</t>
  </si>
  <si>
    <t>Improvements in computing capacity have allowed computers today to execute increasingly complex tasks. One of the main benefits of these improvements is the possibility of developing machine learning algorithms, of which the fields of application are extensive and varied. However, an area in which this type of algorithms acquires an increasing relevance is structural health monitoring (SHM), where inspection strategies and guided wave-based approaches make the evaluation of the structural conditions of an aircraft, vessel or building among others possible, by detecting and classifying existing damages. The use of sensors, data acquisition systems (DAQ) and computation has also allowed these damage detection and classification tasks to be carried out automatically. Despite today's advances, it is still necessary to continue with the development of more robust, reliable, and low-cost structural health monitoring systems. For this reason, this work contemplates three key points: (i) the configuration of a data acquisition system for signal gathering from an an active piezoelectric (PZT) sensor network; (ii) the development of a damage classification methodology based on signal processing techniques (normalization and PCA), from which the models that describe the structural conditions of the plate are built; and (iii) the use of machine learning algorithms, more specifically, three variants of the self-organizing maps called CPANN (counterpropagation artificial neural network), SKN (supervised Kohonen) and XYF (X-Y fused Kohonen). The data obtained allowed one to carry out an experimental validation of the damage classification methodology, to determine the presence of damages in two aluminum plates of different sizes, where masses were added to change the vibrational responses captured by the sensor network and a composite (CFRP) plate with real damages, such as delamination and cracks. This classification methodology allowed one to obtain excellent results by validating the usefulness of the SKN and XYF networks in damage classification tasks, showing overall accuracies of 73.75% and 72.5%, respectively, according to the cross-validation process. These percentages are higher than those obtained in comparison with other neural networks such as: kNN, discriminant analysis, classification trees, partial least square discriminant analysis, and backpropagation neural networks, when the cross-validation process was applied.</t>
  </si>
  <si>
    <t>[Angulo-Saucedo, Gilbert A.; Tibaduiza, Diego A.] Univ Nacl Colombia, Dept Elect &amp; Elect Engn, Cra 45 26-85, Bogota 111321, Colombia; [Leon-Medina, Jersson X.] Univ Politecn Catalunya UPC, Escola Engn Barcelona Est EEBE, Control Modeling Identificat &amp; Applicat CoDAlab, Dept Math, Campus Diagonal Besos CDB,Eduard Maristany 16, Barcelona 08019, Spain; [Leon-Medina, Jersson X.] Univ San Buenaventura Sede Bogota, Dept Mechatron Engn, Carrera 8H 172-20, Bogota 111156, Colombia; [Pineda-Munoz, Wilman Alonso] Univ Pedag &amp; Tecnol Colombia, Dept Electromech Engn, GENTE Grp, Tunja 150462, Colombia; [Torres-Arredondo, Miguel Angel] MAN Energy Solut SE, D-86153 Augsburg, Germany</t>
  </si>
  <si>
    <t>Universidad Nacional de Colombia; Universitat Politecnica de Catalunya; Universidad Pedagogica y Tecnologica de Colombia (UPTC)</t>
  </si>
  <si>
    <t>Leon-Medina, JX (corresponding author), Univ Politecn Catalunya UPC, Escola Engn Barcelona Est EEBE, Control Modeling Identificat &amp; Applicat CoDAlab, Dept Math, Campus Diagonal Besos CDB,Eduard Maristany 16, Barcelona 08019, Spain.;Leon-Medina, JX (corresponding author), Univ San Buenaventura Sede Bogota, Dept Mechatron Engn, Carrera 8H 172-20, Bogota 111156, Colombia.</t>
  </si>
  <si>
    <t>jersson.xavier.leon@upc.edu; jersson.xavier.leon@upc.edu; wilman.pineda@uptc.edu.co; miguel.torres@man-es.com; jersson.xavier.leon@upc.edu</t>
  </si>
  <si>
    <t>Leon-Medina, Jersson X/K-4049-2013; Tibaduiza Burgos, Diego Alexander/H-8327-2017; Pineda Munoz, Wilman Alonso/P-2374-2017</t>
  </si>
  <si>
    <t>Leon-Medina, Jersson X/0000-0002-9198-1996; Angulo Saucedo, Gilbert Andres/0000-0002-4093-7143; Tibaduiza Burgos, Diego Alexander/0000-0002-4498-596X; Pineda Munoz, Wilman Alonso/0000-0003-3565-8526</t>
  </si>
  <si>
    <t>Universidad Pedagogica y Tecnologica de Colombia (UPTC) for the DIN grant [01, 1357]</t>
  </si>
  <si>
    <t>Universidad Pedagogica y Tecnologica de Colombia (UPTC) for the DIN grant</t>
  </si>
  <si>
    <t>This research was funded by Universidad Pedagogica y Tecnologica de Colombia (UPTC) for the DIN grant #01 of 2021 Investigar te da mas-Estimulo economico a grupos de investigacion por productividad resultado de proyectos de investigacion for the research group Grupo de investigacion en Energia y Nuevas Tecnologias-GENTE under Contract 1357.</t>
  </si>
  <si>
    <t>FEB</t>
  </si>
  <si>
    <t>10.3390/s22041484</t>
  </si>
  <si>
    <t>ZW8PD</t>
  </si>
  <si>
    <t>WOS:000771467600001</t>
  </si>
  <si>
    <t>Alfaro-Garcia, VG; Blanco-Mesa, F; Castro, EL</t>
  </si>
  <si>
    <t>Alfaro-Garcia, Victor G.; Blanco-Mesa, Fabio; Leon Castro, Ernesto</t>
  </si>
  <si>
    <t>Entrepreneurial intention a bibliometric approach</t>
  </si>
  <si>
    <t>CUADERNOS DE GESTION</t>
  </si>
  <si>
    <t>Bibliometric Analysis; Entrepreneurial Intention; Entrepreneurship; Co-Citation</t>
  </si>
  <si>
    <t>SELF-EFFICACY; INSTITUTIONAL THEORY; CITATION ANALYSIS; STUDENTS; EDUCATION; DETERMINANTS; PERCEPTIONS; SCIENCE; GENDER; IMPACT</t>
  </si>
  <si>
    <t>This paper aims to present a bibliometric analysis of the literature on an entrepreneurial intention that considers different topics to enhance starting a business. Using the Core collection of the Web of Science, 1,549 papers are found from 1900 to December 2020 to be analyzed. The analysis is focused on documents, authors, journals, countries, and keywords to detect areas and trends in this field of study. Likewise, bibliographic couplings, co-citation, and co-occurrences are analyzed. Findings show that the field has started to grow since 2010; the most influential authors and universities are in Spain and Taiwan, such as the case of Lilian, Liang, Ip, and Moriano.</t>
  </si>
  <si>
    <t>[Alfaro-Garcia, Victor G.] Univ Michoacana, Calle Santiago Tapia 403, Morelia 58000, Michoacan, Mexico; [Blanco-Mesa, Fabio] Univ Pedag &amp; Tecnol Colombia, Ave Cent Norte 39-115, Tunja 150003, Boyaca, Colombia</t>
  </si>
  <si>
    <t>Universidad Michoacana de San Nicolas de Hidalgo; Universidad Pedagogica y Tecnologica de Colombia (UPTC)</t>
  </si>
  <si>
    <t>Castro, EL (corresponding author), Univ Catolica Santisima, Concepcion, Chile.</t>
  </si>
  <si>
    <t>victor.alfaro@umich.mx; fabio.blanco01@uptc.edu.co; eleon@ucsc.cl</t>
  </si>
  <si>
    <t>Leon-Castro, Ernesto/AAD-2628-2021; Blanco-Mesa, Fabio/K-7225-2012</t>
  </si>
  <si>
    <t>Leon-Castro, Ernesto/0000-0002-0087-2226; Blanco-Mesa, Fabio/0000-0002-9462-6498; Alfaro Garcia, Victor Gerardo/0000-0002-0412-2166</t>
  </si>
  <si>
    <t>Universidad Pedagogica y Tecnologica de Colombia [SGI 3134]; Chilean Government through FONDECYT initiation [11190056]; Red Sistemas Inteligentes y Expertos Modelos Computacionales Iberoamericanos (SIEMCI) in Programa Iberoamericano de Ciencia y Tecnologia para el Desarrollo (CYTED) [522RT0130]</t>
  </si>
  <si>
    <t>Universidad Pedagogica y Tecnologica de Colombia; Chilean Government through FONDECYT initiation; Red Sistemas Inteligentes y Expertos Modelos Computacionales Iberoamericanos (SIEMCI) in Programa Iberoamericano de Ciencia y Tecnologia para el Desarrollo (CYTED)</t>
  </si>
  <si>
    <t>This research was funded by Universidad Pedagogica y Tecnologica de Colombia, grant number SGI 3134, and the Chilean Government through FONDECYT initiation, grant number 11190056. Research supported by Red Sistemas Inteligentes y Expertos Modelos Computacionales Iberoamericanos (SIEMCI), project number 522RT0130 in Programa Iberoamericano de Ciencia y Tecnologia para el Desarrollo (CYTED)</t>
  </si>
  <si>
    <t>UNIV PAIS VASCO, INST ECONOMIA APLICADA EMPRESA</t>
  </si>
  <si>
    <t>BILBAO</t>
  </si>
  <si>
    <t>AVE LEHENDAKARI AGIRRE, 8, BILBAO, 48015, SPAIN</t>
  </si>
  <si>
    <t>1131-6837</t>
  </si>
  <si>
    <t>1988-2157</t>
  </si>
  <si>
    <t>CUAD GEST</t>
  </si>
  <si>
    <t>Cuad. Gest.</t>
  </si>
  <si>
    <t>10.5295/cdg.211558el</t>
  </si>
  <si>
    <t>Business; Business, Finance</t>
  </si>
  <si>
    <t>Business &amp; Economics</t>
  </si>
  <si>
    <t>1K4DZ</t>
  </si>
  <si>
    <t>WOS:000765439100001</t>
  </si>
  <si>
    <t>Estupinan-Amaya, M; Fuenmayor, CA; Lopez-Cordoba, A</t>
  </si>
  <si>
    <t>Estupinan-Amaya, Mauren; Alberto Fuenmayor, Carlos; Lopez-Cordoba, Alex</t>
  </si>
  <si>
    <t>Evaluation of mixtures of maltodextrin and gum Arabic for the encapsulation of Andean blueberry (Vaccinium meridionale) juice by freeze-drying</t>
  </si>
  <si>
    <t>INTERNATIONAL JOURNAL OF FOOD SCIENCE AND TECHNOLOGY</t>
  </si>
  <si>
    <t>Anthocyanins; antioxidants; berries; fruit juices; maltodextrin</t>
  </si>
  <si>
    <t>PHENOLIC-COMPOUNDS; WALL MATERIALS; ANTIOXIDANT; MICROENCAPSULATION; SPRAY; ANTHOCYANINS; STABILITY; OPTIMIZATION; EXTRACTS; SWARTZ</t>
  </si>
  <si>
    <t>Andean blueberry fruit is considered a source of bioactive compounds. However, its industrial applications as an ingredient are limited due to its low stability. In this work, Andean blueberry juice powders were obtained via freeze-drying. The effects of maltodextrin (MD) and gum Arabic (GA) as encapsulating agents were evaluated on the morphological, physicochemical, and rheological quality of the products, as well as in terms of the recovery of phenolic compounds. All the freeze-dried powders featured typical macroscopic and microscopic morphology, low moisture content (&lt;5%) and water activity (a(w) &lt; 0.3), high water solubility (&gt;91%) and good flowability. The encapsulation with MD overall favoured higher water activity, solubility and flowability, and a significant increase of total phenolics recovery in the juice powders, compared with GA or GA:MD mixtures. The results showed that encapsulation by freeze-drying enables the production of Andean blueberry juice powders with suitable technological characteristics and potential as bioactive ingredients.</t>
  </si>
  <si>
    <t>[Estupinan-Amaya, Mauren; Lopez-Cordoba, Alex] Univ Pedag &amp; Tecnol Colombia, Escuela Adm Empresas Agr, Fac Secc Duitama, Carrera 18 Con Calle 22, Duitama 150461, Boyaca, Colombia; [Estupinan-Amaya, Mauren; Alberto Fuenmayor, Carlos] Univ Nacl Colombia, Inst Ciencia &amp; Tecnol Alimentos ICTA, Av Carrera 30 45-03, Bogota 111321, Colombia</t>
  </si>
  <si>
    <t>Lopez-Cordoba, A (corresponding author), Univ Pedag &amp; Tecnol Colombia, Escuela Adm Empresas Agr, Fac Secc Duitama, Carrera 18 Con Calle 22, Duitama 150461, Boyaca, Colombia.;Fuenmayor, CA (corresponding author), Univ Nacl Colombia, Inst Ciencia &amp; Tecnol Alimentos ICTA, Av Carrera 30 45-03, Bogota 111321, Colombia.</t>
  </si>
  <si>
    <t>cafuenmayorb@unal.edu.co; alex.lopez01@uptc.edu.co</t>
  </si>
  <si>
    <t>Fuenmayor, Carlos Alberto/0000-0001-9338-8312</t>
  </si>
  <si>
    <t>Colombian Ministry of Science, Technology and Innovation (Minciencias); Government of the Boyaca Department; Colombia Bio programme; Fondo de Ciencia, Tecnologia e Innovacion del Sistema General de Regalias [66038]; Fondo Nacional de Financiamiento para la Ciencia, la Tecnologia y la Innovacion Francisco Jose de Caldas [66038]; Universidad Pedagogica y Tecnologica de Colombia (UPTC)</t>
  </si>
  <si>
    <t>Colombian Ministry of Science, Technology and Innovation (Minciencias); Government of the Boyaca Department; Colombia Bio programme; Fondo de Ciencia, Tecnologia e Innovacion del Sistema General de Regalias; Fondo Nacional de Financiamiento para la Ciencia, la Tecnologia y la Innovacion Francisco Jose de Caldas; Universidad Pedagogica y Tecnologica de Colombia (UPTC)</t>
  </si>
  <si>
    <t>The Colombian Ministry of Science, Technology and Innovation (Minciencias), the Government of the Boyaca Department, and the Colombia Bio programme funded this work with resources of Fondo de Ciencia, Tecnologia e Innovacion del Sistema General de Regalias and Fondo Nacional de Financiamiento para la Ciencia, la Tecnologia y la Innovacion Francisco Jose de Caldas (Project number 66038). The authors thank Universidad Pedagogica y Tecnologica de Colombia (UPTC), for supporting the project and providing its facilities for the experimental work, and the staff of ICTA (Universidad Nacional de Colombia, Bogota), in particular Mrs. Cristina Lizarazo and Mr. Jorge Sandoval, for their technical support and guidance.</t>
  </si>
  <si>
    <t>WILEY</t>
  </si>
  <si>
    <t>HOBOKEN</t>
  </si>
  <si>
    <t>111 RIVER ST, HOBOKEN 07030-5774, NJ USA</t>
  </si>
  <si>
    <t>0950-5423</t>
  </si>
  <si>
    <t>1365-2621</t>
  </si>
  <si>
    <t>INT J FOOD SCI TECH</t>
  </si>
  <si>
    <t>Int. J. Food Sci. Technol.</t>
  </si>
  <si>
    <t>SI</t>
  </si>
  <si>
    <t>10.1111/ijfs.16093</t>
  </si>
  <si>
    <t>SEP 2022</t>
  </si>
  <si>
    <t>5K7FH</t>
  </si>
  <si>
    <t>WOS:000861500500001</t>
  </si>
  <si>
    <t>Coha-Vesga, PM; Mendoza-Oliveros, ME; Perez-Villamil, FR; Coury, FG; Mujica-Roncery, L</t>
  </si>
  <si>
    <t>Coha-Vesga, Pablo Miguel; Mendoza-Oliveros, Martin Emilio; Perez-Villamil, Fabio Raul; Coury, Francisco Gil; Mujica-Roncery, Lais</t>
  </si>
  <si>
    <t>Novel Martensitic High Carbon-Nitrogen Steel Produced by Casting at Low Pressure</t>
  </si>
  <si>
    <t>STEEL RESEARCH INTERNATIONAL</t>
  </si>
  <si>
    <t>carbon-nitrogen steels; cold work tool steels; computational thermodynamic; microstructures; scanning electron microscopy</t>
  </si>
  <si>
    <t>HEAT-TREATMENT; MECHANICAL-PROPERTIES; STAINLESS-STEELS; WEAR BEHAVIOR; MICROSTRUCTURE</t>
  </si>
  <si>
    <t>Nitrogen-containing steels have become an attractive material in industrial fields due to their excellent mechanical properties. Nevertheless, the current manufacturing methods to produce nitrogen steels are linked to technologies with high working pressures. Alloying elements such as Cr, Mn, and Mo enhance the solubility of nitrogen in the melt, which allows the production at atmospheric pressure. Herein, carbon-nitrogen martensitic steels are produced at low pressure (7 x 10(5) Pa). The composition is designed through the CALPHAD method using two carbon contents (0.7 and 1.3 wt%). The alloy is produced in an induction furnace under N-2 atmosphere to mitigate desorption. Thermomechanical and heat treatments are performed. The alloys are analyzed using optical emission spectroscopy, X-ray diffraction, optical microscopy, and scanning electron microscopy (SEM) with energy-dispersive spectroscopy (EDS). The mechanical evaluation is conducted using hardness analysis. The steel presents a nitrogen content of 0.15 wt%, in agreement with the thermodynamic calculations. SEM and EDS results show the presence of Cr and Nb precipitates in a martensitic structure. The highest hardness values are obtained in specimens heat treated by tempering at 400 degrees C for 2 h and air cooling, achieving 57.4 and 59.7 Hardness Rockwell C for samples with 0.7 and 1.3 wt% C, respectively.</t>
  </si>
  <si>
    <t>[Coha-Vesga, Pablo Miguel; Mendoza-Oliveros, Martin Emilio; Perez-Villamil, Fabio Raul; Mujica-Roncery, Lais] Univ Pedag &amp; Tecnol Colombia, Grp Invest Mat Siderurg, Sede Tunja, Ave Cent Norte 39-115, Tunja 150003, Boyaca, Colombia; [Coury, Francisco Gil] Univ Fed Sao Carlos, Dept Engn Mat, Rod Washington Luis,Km 235, BR-13565905 Sao Carlos, SP, Brazil</t>
  </si>
  <si>
    <t>Universidad Pedagogica y Tecnologica de Colombia (UPTC); Universidade Federal de Sao Carlos</t>
  </si>
  <si>
    <t>Coha-Vesga, PM (corresponding author), Univ Pedag &amp; Tecnol Colombia, Grp Invest Mat Siderurg, Sede Tunja, Ave Cent Norte 39-115, Tunja 150003, Boyaca, Colombia.</t>
  </si>
  <si>
    <t>pablo.coha@uptc.edu.co</t>
  </si>
  <si>
    <t>Coury, Francisco/0000-0002-0457-2087</t>
  </si>
  <si>
    <t>Ministry of Science, Technology and Innovation of Colombia</t>
  </si>
  <si>
    <t>The authors wish to express their gratitude to the Ministry of Science, Technology and Innovation of Colombia for granting the scholarship within the bicentennial doctoral excellence scholarship program, as well as to the Universidad Pedagogica y Tecnologica de Colombia and the Universidade Federal de SAo Carlos and all its staff for the help provided to carry out this research work.</t>
  </si>
  <si>
    <t>WILEY-V C H VERLAG GMBH</t>
  </si>
  <si>
    <t>WEINHEIM</t>
  </si>
  <si>
    <t>POSTFACH 101161, 69451 WEINHEIM, GERMANY</t>
  </si>
  <si>
    <t>1611-3683</t>
  </si>
  <si>
    <t>1869-344X</t>
  </si>
  <si>
    <t>STEEL RES INT</t>
  </si>
  <si>
    <t>Steel Res. Int.</t>
  </si>
  <si>
    <t>10.1002/srin.202200686</t>
  </si>
  <si>
    <t>NOV 2022</t>
  </si>
  <si>
    <t>6F8IQ</t>
  </si>
  <si>
    <t>WOS:000884302500001</t>
  </si>
  <si>
    <t>Borda, J; Torres, R; Lapidus, G</t>
  </si>
  <si>
    <t>Borda, J.; Torres, R.; Lapidus, G.</t>
  </si>
  <si>
    <t>Selective leaching of zinc and lead from electric arc furnace dust using citrate and H2SO4 solutions. A kinetic perspective</t>
  </si>
  <si>
    <t>REVISTA MEXICANA DE INGENIERIA QUIMICA</t>
  </si>
  <si>
    <t>Kinetics; leaching; EAFD; zinc; lead; Sodium-citrate; sulfuric-acid</t>
  </si>
  <si>
    <t>SELF-COMPACTING MORTARS; RECOVERY; COPPER; WASTE; IRON; PERFORMANCE</t>
  </si>
  <si>
    <t>The electric Arc Furnace Dust (EAFD) sample leaching using two different organic carboxylic anions has been previously studied, as a separate article. The aim of the present research work (Part II) is the study on the leaching kinetics of EAFD, comparing the efficiency of sodium citrate with that of sulfuric acid solutions. The effect of the solid / liquid ratio, temperature and reagent concentration in the leaching solutions on the metallic dissolution was analyzed. In both cases, the more stable phase of franklinite (ZnFe2O4) experienced minimal decomposition at room temperature, although almost complete extraction of zinc was possible with sulfuric acid at higher temperatures. The kinetics of franklinite decomposition conformed to the reaction-controlled Shrinking Core Model. Using the Arrhenius expression, the apparent activation energies for franklinite and lead dissolutions in H2SO4 were evaluated. On the other hand, citrate showed promise due to its selectivity in leaching non-ferrous metals oxides (ZnO and PbO).</t>
  </si>
  <si>
    <t>[Borda, J.; Torres, R.] Univ Pedagog &amp; Tecnol Colombia, Escuela Met, Fac Ingn, Ave Cent Norte Km 4,Edif Ingn 201, Tunja, Colombia; [Lapidus, G.] Univ Autonoma Metropolitana Iztapalapa, Dept Ingn Proc &amp; Hidraul, San Rafael Atlixco 186,Col Vicentina, Ciudad Mexico, Mexico</t>
  </si>
  <si>
    <t>Universidad Pedagogica y Tecnologica de Colombia (UPTC); Universidad Autonoma Metropolitana - Mexico</t>
  </si>
  <si>
    <t>Borda, J (corresponding author), Univ Pedagog &amp; Tecnol Colombia, Escuela Met, Fac Ingn, Ave Cent Norte Km 4,Edif Ingn 201, Tunja, Colombia.</t>
  </si>
  <si>
    <t>Vicerrectoria de Investigacion y Extension Universidad Pedagogica y Tecnologica de Colombia (VIE-UPTC)</t>
  </si>
  <si>
    <t>Johana Borda is grateful to Dra. Gretchen Lapidus and to the Hydrometallurgy laboratory staff at the Universidad Autonoma Metropolitana-Iztapalapa for the scientific support and the technical assistance in the development of the research internship. Johana Borda and Robinson Torres appreciate the Vicerrectoria de Investigacion y Extension Universidad Pedagogica y Tecnologica de Colombia (VIE-UPTC) for financial support for the research.</t>
  </si>
  <si>
    <t>UNIV AUTONOMA METROPOLITANA-IZTAPALAPA</t>
  </si>
  <si>
    <t>MEXICO</t>
  </si>
  <si>
    <t>C/O DR JAIME VERNON-CARTER, SAN RAFAEL ATLIXCO NO 186, COL VICENTINA, DELEGACION IZTAPALAPA, MEXICO, 09340, MEXICO</t>
  </si>
  <si>
    <t>1665-2738</t>
  </si>
  <si>
    <t>REV MEX ING QUIM</t>
  </si>
  <si>
    <t>Rev. Mex. Ing. Quim.</t>
  </si>
  <si>
    <t>JAN-APR</t>
  </si>
  <si>
    <t>Cat2606</t>
  </si>
  <si>
    <t>10.24275/rmiq/Cat2606</t>
  </si>
  <si>
    <t>Chemistry, Applied; Engineering, Chemical</t>
  </si>
  <si>
    <t>Chemistry; Engineering</t>
  </si>
  <si>
    <t>YL1YR</t>
  </si>
  <si>
    <t>hybrid</t>
  </si>
  <si>
    <t>WOS:000745695100001</t>
  </si>
  <si>
    <t>Rodriguez-Suesca, AE; Gutierrez-Junco, OJ; Hernandez-Montes, E</t>
  </si>
  <si>
    <t>Rodriguez-Suesca, A. E.; Gutierrez-Junco, O. J.; Hernandez-Montes, E.</t>
  </si>
  <si>
    <t>Vibration performance assessment of deteriorating footbridges: A study of Tunja's public footbridges</t>
  </si>
  <si>
    <t>ENGINEERING STRUCTURES</t>
  </si>
  <si>
    <t>Vibration assessment; Modal identification; Footbridge; Pedestrian loading; Vibration serviceability; Vibration discomfort; Structural deterioration</t>
  </si>
  <si>
    <t>GROUND REACTION FORCES; WALKING; SERVICEABILITY; KINEMATICS</t>
  </si>
  <si>
    <t>This paper presents the results of the assessment of the dynamic characteristics and vibration performance of eight deteriorating footbridges. The bridges examined, part of the public infrastructure of the city of Tunja (Colombia), present an evident state of deterioration, showing excessive vibration under service loadings. A consistent evaluation methodology based on vibration tests and numerical analyses was implemented. After completing a deterioration assessment, an experimental modal characterization was carried out, the results of which were used to update numerical structural models. Uniform vibration tests for different pedestrian loading scenarios were conducted. Then, pedestrian crossing simulations for a typical range of walking and running frequencies were performed using a step-by-step load model with a new proposal of normalised single-footstep force functions. Results showed elevated vibrations in most of the footbridges for temporary and exceptional loading conditions, which are unsafe for some of the structures. Discomfort and deterioration were compared using a vibration discomfort index (VDI) and a deterioration index (DI). High vibration discomfort levels were found to be consistent with the degree of deterioration of the structures evaluated.</t>
  </si>
  <si>
    <t>[Rodriguez-Suesca, A. E.; Gutierrez-Junco, O. J.] Pedag &amp; Technol Univ Colombia UPTC, Sch Civil Engn, Cent North Ave, Tunja 150003, Colombia; [Rodriguez-Suesca, A. E.; Hernandez-Montes, E.] Univ Granada UGR, Dept Struct Mech, Campus Univ Fuentenueva S-N, Granada 18072, Spain</t>
  </si>
  <si>
    <t>Universidad Pedagogica y Tecnologica de Colombia (UPTC); University of Granada</t>
  </si>
  <si>
    <t>Rodriguez-Suesca, AE (corresponding author), Pedag &amp; Technol Univ Colombia, Sch Civil Engn, Cent North Ave 39-115,Off 237, Tunja 150003, Colombia.</t>
  </si>
  <si>
    <t>angel.rodriguez@uptc.edu.co; oscarjavier.gutierrez@uptc.edu.co; emontes@ugr.es</t>
  </si>
  <si>
    <t>Vicerrectoria de Investigacion y Extension of the Pedagogical and Technological University of Colombia (UPTC); School of Civil Engineering of the UPTC [UPTC-INVIAS 2013-2017]</t>
  </si>
  <si>
    <t>Vicerrectoria de Investigacion y Extension of the Pedagogical and Technological University of Colombia (UPTC); School of Civil Engineering of the UPTC</t>
  </si>
  <si>
    <t>&amp; nbsp;The present work was financed by the Vicerrectoria de Investigacion y Extension of the Pedagogical and Technological University of Colombia (UPTC) and the UPTC-INVIAS 2013-2017 Extension Group of the School of Civil Engineering of the UPTC. The authors would like to thank the student researchers of the STRESS 2017/18 seedbed of the GICA Research Group of the Faculty of Engineering-UPTC, especially the researcher students Luis Tolosa and Yilber Hernandez for their help during the testing operations, signal processing and modelling. Their support is gratefully acknowledged.</t>
  </si>
  <si>
    <t>0141-0296</t>
  </si>
  <si>
    <t>1873-7323</t>
  </si>
  <si>
    <t>ENG STRUCT</t>
  </si>
  <si>
    <t>Eng. Struct.</t>
  </si>
  <si>
    <t>APR 1</t>
  </si>
  <si>
    <t>10.1016/j.engstruct.2022.113997</t>
  </si>
  <si>
    <t>FEB 2022</t>
  </si>
  <si>
    <t>Engineering, Civil</t>
  </si>
  <si>
    <t>ZY5EA</t>
  </si>
  <si>
    <t>WOS:000772608300001</t>
  </si>
  <si>
    <t>Bohorquez-Quintero, MD; Galvis-Tarazona, DY; Arias-Moreno, DM; Ojeda-Perez, ZZ; Ochatt, S; Rodriguez-Molano, LE</t>
  </si>
  <si>
    <t>de los Angeles Bohorquez-Quintero, Maria; Galvis-Tarazona, Daicy Yaneth; Arias-Moreno, Diana Marcela; Ojeda-Perez, Zaida Zarely; Ochatt, Sergio; Rodriguez-Molano, Luis Ernesto</t>
  </si>
  <si>
    <t>Morphological and anatomical characterization of yellow diploid potato flower for effective breeding program</t>
  </si>
  <si>
    <t>SCIENTIFIC REPORTS</t>
  </si>
  <si>
    <t>POLLEN DEVELOPMENT; ANTHER DEVELOPMENT; MICROSPOROGENESIS; SPECIFICATION; ANDROGENESIS; STAGE</t>
  </si>
  <si>
    <t>The diploid yellow potato (Solanum tuberosum L. Phureja Group) is an important plant genetic resource. In this study, we report for the first time the characterization of anther development and pollen formation in the cultivar Criolla Colombia. The description of morphological and histological characters of buds and flowers at different developmental stages permitted to identify ten main stages, from the differentiation of the male cells of the sporangium, meiosis, microspores formation and maturation, to the release of mature pollen. In addition, the results provide a graphic guide of the development of the anther, through the sequential and orderly formation of the epidermis, the endothecium, the middle layer and the nutritive layer or tapetum. This microanatomical information will be useful for work focused on androgenesis and identification of gene regulation in floral biology and gamete formation. Therefore, this study determined that to efficiently obtain haploids, flower buds between 5 and 8.9 mm long (stage 6 to 8) should be used, in which tetrads and microspores are in the early uninucleate and binucleate stage.</t>
  </si>
  <si>
    <t>[de los Angeles Bohorquez-Quintero, Maria; Galvis-Tarazona, Daicy Yaneth; Arias-Moreno, Diana Marcela; Ojeda-Perez, Zaida Zarely] Univ Pedag &amp; Tecnol Colombia, Fac Ciencias, Escuela Ciencias Biol, Grp Invest BIOPLASMA UPTC, Tunja, Colombia; [Ochatt, Sergio] Univ Bourgogne Franche Comte, Univ Bourgogne, Inst Agro, Agroecol,INRAE, F-21000 Dijon, France; [Rodriguez-Molano, Luis Ernesto] Univ Nacl Colombia, Dept Agron, Fac Ciencias Agrarias, Carrera 30 Num 45 03,Edificio 500, Bogota, Colombia</t>
  </si>
  <si>
    <t>Universidad Pedagogica y Tecnologica de Colombia (UPTC); INRAE; Institut Agro; AgroSup Dijon; Universite de Bourgogne; Universidad Nacional de Colombia</t>
  </si>
  <si>
    <t>Arias-Moreno, DM (corresponding author), Univ Pedag &amp; Tecnol Colombia, Fac Ciencias, Escuela Ciencias Biol, Grp Invest BIOPLASMA UPTC, Tunja, Colombia.</t>
  </si>
  <si>
    <t>Rodriguez Molano, Luis Ernesto/0000-0002-9058-8404; Galvis, Daicy/0000-0002-2251-0015; Arias Moreno, Diana Marcela/0000-0001-6171-0549</t>
  </si>
  <si>
    <t>Ministry of Science, Technology, and Innovation of Colombia; Government of Boyaca; Universidad Pedagogica y Tecnologica de Colombia [794]; Boyaca and Colombia Bio Program</t>
  </si>
  <si>
    <t>Ministry of Science, Technology, and Innovation of Colombia; Government of Boyaca; Universidad Pedagogica y Tecnologica de Colombia; Boyaca and Colombia Bio Program</t>
  </si>
  <si>
    <t>The authors thank the Ministry of Science, Technology, and Innovation of Colombia, the Government of Boyaca, Boyaca and Colombia Bio Program and the Universidad Pedagogica y Tecnologica de Colombia, for financing the project entitled Implementation of biotechnological and agricultural processes for the cultivation of clean species of ancestral varieties of potato (Solanum sp.) from the agro-ecosystems of the department. Convocation 794 of 2017 R&amp;D projects for the technological development of a biological origin in the Department of Boyaca. Additionally, the authors thank the BIOPLASMA-UPTC research group and exalt the contribution of Dr. Jose Constantino Pacheco -Maldonado+ who also conceived and designed the research.</t>
  </si>
  <si>
    <t>NATURE PORTFOLIO</t>
  </si>
  <si>
    <t>BERLIN</t>
  </si>
  <si>
    <t>HEIDELBERGER PLATZ 3, BERLIN, 14197, GERMANY</t>
  </si>
  <si>
    <t>2045-2322</t>
  </si>
  <si>
    <t>SCI REP-UK</t>
  </si>
  <si>
    <t>Sci Rep</t>
  </si>
  <si>
    <t>SEP 30</t>
  </si>
  <si>
    <t>10.1038/s41598-022-20439-6</t>
  </si>
  <si>
    <t>4Z8AS</t>
  </si>
  <si>
    <t>WOS:000862424900045</t>
  </si>
  <si>
    <t>Leon-Castro, E; Blanco-Mesa, F; Hussain, W; Flores-Sosa, M; Perez-Arellano, LA</t>
  </si>
  <si>
    <t>Leon-Castro, Ernesto; Blanco-Mesa, Fabio; Hussain, Walayat; Flores-Sosa, Martha; Perez-Arellano, Luis A.</t>
  </si>
  <si>
    <t>Tax Revenue Measurement Using OWA Operators</t>
  </si>
  <si>
    <t>CYBERNETICS AND SYSTEMS</t>
  </si>
  <si>
    <t>OWA operator; decision making; tax revenue</t>
  </si>
  <si>
    <t>AGGREGATION OPERATORS; DETERMINANTS</t>
  </si>
  <si>
    <t>The aim of this paper is to present the application of the OWA operator and some of its extensions in the calculation of continent and global tax revenues. The idea is to present how the analysis of an important economic indicator can vary depending on how the information is aggregated. An example was employed based on the Organization for Economic Co-operation and Development (OECD) database using 111 countries that were divided by continent, and then the global tax revenue was calculated using different aggregation operators. Different analyses can be carried out by governments and enterprises to improve decision making and fiscal politics.</t>
  </si>
  <si>
    <t>[Leon-Castro, Ernesto] Univ Catolica Santisima Concepcion, Fac Econ &amp; Adm Sci, Concepcion, Chile; [Blanco-Mesa, Fabio] Univ Pedag &amp; Tecnol Colombia, Fac Ciencias Econ &amp; Adm, Escuela Adm Empresas, Tunja, Colombia; [Hussain, Walayat] Victoria Univ, Victoria Univ Business Sch, Melbourne, Vic, Australia; [Flores-Sosa, Martha; Perez-Arellano, Luis A.] Univ Autonoma Occidente, Unidad Reg Culiacan, Los Mochis, Mexico</t>
  </si>
  <si>
    <t>Universidad Catolica de la Santisima Concepcion; Universidad Pedagogica y Tecnologica de Colombia (UPTC); Victoria University</t>
  </si>
  <si>
    <t>Leon-Castro, E (corresponding author), Univ Catolica Santisima Concepcion, Fac Econ &amp; Adm Sci, Concepcion, Chile.</t>
  </si>
  <si>
    <t>Chileeleon@ucsc.cl</t>
  </si>
  <si>
    <t>Blanco-Mesa, Fabio/K-7225-2012; Hussain, Walayat/HIZ-8975-2022; Leon-Castro, Ernesto/AAD-2628-2021</t>
  </si>
  <si>
    <t>Blanco-Mesa, Fabio/0000-0002-9462-6498; Leon-Castro, Ernesto/0000-0002-0087-2226</t>
  </si>
  <si>
    <t>Universidad Pedagogica y Tecnologica de Colombia [SGI 3323]; Red Sistemas Inteligentes y Expertos Modelos Computacionales Iberoamericanos (SIEMCI) [522RT0130]; Chilean Government through FONDECYT initiation grant [11190056]</t>
  </si>
  <si>
    <t>Universidad Pedagogica y Tecnologica de Colombia; Red Sistemas Inteligentes y Expertos Modelos Computacionales Iberoamericanos (SIEMCI); Chilean Government through FONDECYT initiation grant</t>
  </si>
  <si>
    <t>This work was supported by Universidad Pedagogica y Tecnologica de Colombia (Grant number SGI 3323), and the research was supported by Red Sistemas Inteligentes y Expertos Modelos Computacionales Iberoamericanos (SIEMCI), project number 522RT0130 in Programa Iberoamericano de Ciencia y Tecnologia para el Desarrollo (CYTED). Author Leon-Castro acknowledges support from the Chilean Government through FONDECYT initiation grant No. 11190056.</t>
  </si>
  <si>
    <t>TAYLOR &amp; FRANCIS INC</t>
  </si>
  <si>
    <t>PHILADELPHIA</t>
  </si>
  <si>
    <t>530 WALNUT STREET, STE 850, PHILADELPHIA, PA 19106 USA</t>
  </si>
  <si>
    <t>0196-9722</t>
  </si>
  <si>
    <t>1087-6553</t>
  </si>
  <si>
    <t>CYBERNET SYST</t>
  </si>
  <si>
    <t>Cybern. Syst.</t>
  </si>
  <si>
    <t>10.1080/01969722.2022.2110687</t>
  </si>
  <si>
    <t>AUG 2022</t>
  </si>
  <si>
    <t>Computer Science, Cybernetics</t>
  </si>
  <si>
    <t>Computer Science</t>
  </si>
  <si>
    <t>3T6EL</t>
  </si>
  <si>
    <t>WOS:000840365000001</t>
  </si>
  <si>
    <t>Alarcon-Granados, MC; Moreno-Ortiz, H; Rondon-Lagos, M; Camargo-Villalba, GE; Forero-Castro, M</t>
  </si>
  <si>
    <t>Alarcon-Granados, Maria Camila; Moreno-Ortiz, Harold; Rondon-Lagos, Milena; Camargo-Villalba, Gloria Eugenia; Forero-Castro, Maribel</t>
  </si>
  <si>
    <t>Study of LHCGR gene variants in a sample of colombian women with polycystic ovarian syndrome: A pilot study</t>
  </si>
  <si>
    <t>JOURNAL OF KING SAUD UNIVERSITY SCIENCE</t>
  </si>
  <si>
    <t>Colombian women; Genetic polymorphisms; LHCGR; Phenotype -genotype associations; Polycystic ovary syndrome</t>
  </si>
  <si>
    <t>HORMONE/CHORIOGONADOTROPIN RECEPTOR; ASSOCIATION; HORMONE; COHORT; SNPS</t>
  </si>
  <si>
    <t>Purpose: To evaluate the association between polymorphisms of the LHCGR gene and PCOS in a sample from Colombian women. Methods: We included 49 Colombian women with PCOS and 49 healthy women. Genotype distributions between groups were compared, and phenotype-genotype association analysis was performed in the PCOS group. Identification of five SNP's in the LHCGR gene was carried out through the iPLEX and MassARRAY system (Agena Bioscience).Results: Our results showed that the rs7371084 variant was negatively associated with PCOS under the codominant, dominant, and overdominant models. Women with the TC + TT genotypes in rs2293275 had shorter menstrual cycles (p = 0.026), and women with the CT + CC genotypes in rs6732721 showed a decrease in the number of antral follicles (p = 0.038). Within the endocrine parameters, we identified associations between GA + GG genotypes in rs13405728 and CT + CC genotypes in rs6732721, and the decrease in LH levels (p = 0.013; p = 0.04, respectively). Women with TC + TT genotypes in rs2293275 had increased DHEAS (p = 0.047) and androstenedione (p = 0.045) levels. Regarding metabolic parameters, we identified associations between GA + GG genotypes in rs13405728 and CT + CC genotypes in rs6732721, and an increase in fasting glucose levels (p = 0.028; p = 0.017, respectively).Conclusion: We found that the rs7371084 variant was negatively associated with PCOS. Also, we identify associations between combined genotypes of the LHCGR gene and the phenotypic traits of PCOS, such as shorter menstrual cycle length, fewer follicles, lower LH levels, and increased DHEAS, androstenedione, and fasting glucose levels. The results of this pilot study provide a basis to clarify the genetics and pathophysiology of PCOS in the Colombian population. Future large-scale studies are recommended for this population.(c) 2022 Published by Elsevier B.V. on behalf of King Saud University.</t>
  </si>
  <si>
    <t>[Alarcon-Granados, Maria Camila; Camargo-Villalba, Gloria Eugenia; Forero-Castro, Maribel] Univ Pedag &amp; Tecnol Colombia, Fac Ciencias Grp Invest Ciencias Biomed GICBUPTC, Tunja 150003, Colombia; [Moreno-Ortiz, Harold] In vitro Colombia SAS, Dept Biogenet Reprod, Bogota, Colombia; [Camargo-Villalba, Gloria Eugenia] Univ Boyaca, Fac Ciencias Salud, Programa Med, Tunja, Colombia; [Forero-Castro, Maribel] Univ Pedag &amp; Tecnol Colombia, Sede Cent Tunja Boyaca, Ave Cent Norte 39-115, Tunja, Colombia</t>
  </si>
  <si>
    <t>Forero-Castro, M (corresponding author), Univ Pedag &amp; Tecnol Colombia, Sede Cent Tunja Boyaca, Ave Cent Norte 39-115, Tunja, Colombia.</t>
  </si>
  <si>
    <t>mcamila.alarcon02@gmail.com; harmor73@gmail.com; sandra.rondon01@uptc.edu.co; gloriacamargo@uniboyaca.edu.co; maribel.forero@uptc.edu.co</t>
  </si>
  <si>
    <t>CAMARGO VILLALBA, GLORIA EUGENIA/0000-0003-4505-7644</t>
  </si>
  <si>
    <t>Research Group in Biomedical Sciences of the UPTC (GICBUPTC) from Universidad Pedagogica y Tecnologica de Colombia [SGI 2386, SGI 2677]; Group of Public Health Research (HYGEA) from Universidad de Boyaca; ISCIII [PT17/0019, PE I + D + i 2013-2016]; ERDF</t>
  </si>
  <si>
    <t>Research Group in Biomedical Sciences of the UPTC (GICBUPTC) from Universidad Pedagogica y Tecnologica de Colombia; Group of Public Health Research (HYGEA) from Universidad de Boyaca; ISCIII(Instituto de Salud Carlos III); ERDF(European Commission)</t>
  </si>
  <si>
    <t>This work was supported by research projects SGI 2386 and SGI 2677 made in agreement between the Research Group in Biomedical Sciences of the UPTC (GICBUPTC) from Universidad Pedagogica y Tecnologica de Colombia and the Group of Public Health Research (HYGEA) from Universidad de Boyaca. The genotyping service was carried out at CEGEN-PRB3-ISCIII; it is supported by grant PT17/0019, of the PE I + D + i 2013-2016, funded by ISCIII and ERDF. We appreciate the advice on the management of the Haploview software provided by Luis Antonio Corchete Sanchez from thw Biology Faculty of Salamanca University (Spain). We would like to thank Ph.D. Ignacio Briceno Balcazar of the Sabana University of Colombia, for his academic concept about LD analysis.</t>
  </si>
  <si>
    <t>1018-3647</t>
  </si>
  <si>
    <t>2213-686X</t>
  </si>
  <si>
    <t>J KING SAUD UNIV SCI</t>
  </si>
  <si>
    <t>J. King Saud Univ. Sci.</t>
  </si>
  <si>
    <t>10.1016/j.jksus.2022.102202</t>
  </si>
  <si>
    <t>3B7YR</t>
  </si>
  <si>
    <t>WOS:000828153000011</t>
  </si>
  <si>
    <t>Morales-Alba, A; Morales, I; Alvarado, F</t>
  </si>
  <si>
    <t>Morales-Alba, Andres; Morales, Irina; Alvarado, Fredy</t>
  </si>
  <si>
    <t>Bigger and stronger bury deeper: the role of dung beetles as secondary seed dispersers in the northern Colombian Andes</t>
  </si>
  <si>
    <t>INTERNATIONAL JOURNAL OF TROPICAL INSECT SCIENCE</t>
  </si>
  <si>
    <t>Biotic interactions; Diplochory; Ecosystem functions; Scarabaeinae</t>
  </si>
  <si>
    <t>RAIN-FOREST; LIVESTOCK INTENSIFICATION; ECOLOGICAL ROLE; COMMUNITIES; SCARABAEINAE; SIZE; ESTABLISHMENT; PREDATION; IMPACT; LAND</t>
  </si>
  <si>
    <t>Ecosystem services as seed dispersal mediated by insects are threatened by increasing agricultural expansion that represents a global threat. Although the ecological role of dung beetles as secondary seed dispersers has been well-documented, few studies have focused on the effect of taxonomic and functional attributes of dung beetles in human-dominated landscapes. We analysed how the seed size, the diversity of the dung beetles and some of their functional traits (body size, length of the hind legs and relocation strategy) affect the depth and quantity of seeds buried and abundance and richness of beetles at different depths in a forest in the Colombian Andes. We used plastic cubes buried in the ground (mesocosms) to study ecosystem functions of dung beetles. We collected 397 individuals representing 13 species within the mesocosms. The most abundant species of dung beetle collected was Canthidium sp. 1 with 152 individuals. Of the total seeds collected, 91% of the total seeds used were buried, and the small ones were buried in a greater proportion than the larger ones. Seed size did not influence burial depth, but beetle taxonomic attributes did, but only for large seeds. Burial depth was positively related to beetle richness and abundance, as well as to body size. Large beetles buried more seeds and buried them deeper. We highlight the importance of Dichotomius aff. satanas as a key seed disperser of Andean riparian forests. We emphasize that this beetle actively participated in seed dispersal, and that this ecological function depended on the taxonomic and functional attributes of the dung beetle species.</t>
  </si>
  <si>
    <t>[Morales-Alba, Andres; Morales, Irina] Univ Pedag &amp; Tecnol Colombia, Lab Entomol, Tunja 150008, Boyaca, Colombia; [Alvarado, Fredy] Univ Paraiba, Dept Agr, Posgrad Program Agr Sci Agroecol, PPGCAG, Campus III Cidade Univ, BR-58220000 Bananeiras, PB, Brazil</t>
  </si>
  <si>
    <t>Morales, I (corresponding author), Univ Pedag &amp; Tecnol Colombia, Lab Entomol, Tunja 150008, Boyaca, Colombia.</t>
  </si>
  <si>
    <t>irina.morales@uptc.edu.co</t>
  </si>
  <si>
    <t>MORALES, IRINA/0000-0003-2456-5674</t>
  </si>
  <si>
    <t>Sistematica Biologica research group [5211740]; Sistema General de Regalias of Colombia [BPIN 2020000100003]</t>
  </si>
  <si>
    <t>Sistematica Biologica research group; Sistema General de Regalias of Colombia</t>
  </si>
  <si>
    <t>We extended our thanks to Renato Portela Salomao, Juan Carvajal, Alejandro Lopera and Camilo Roa for the valuable comments on a previous version of this manuscript. This paper benefited from the useful comments of Drs. Michael Lattorff, Saliou Niassy and two anonymous reviewers of journal JTIS. The Sistematica Biologica research group provided financial and logistical support with the Project Restauracion Ecologica de 16 y 18 ha en el Parque Nacional Natural Serrania de Los Yariguies CONVENIO 5211740. ECOPRETROL-UPTC. Oscar Felipe Moreno and John Edison Reyes were part of the field team. Finally, we express our gratitude to the program Upetecistas por el mundo (DIN Call No 2-2019) of the Direccion de Investigaciones, of the Universidad Pedagogica y Tecnologica de Colombia. This manuscript was produced within the framework of the La biodiversidad de Boyaca: Complementacion y sintesis a traves de gradientes altitudinales e implementaciones de su incorporacion en proyectos de apropiacion social de conocimiento y efectos del cambio climatico, Boyaca BPIN 2020000100003, financed by the Sistema General de Regalias of Colombia.</t>
  </si>
  <si>
    <t>SPRINGER INT PUBL AG</t>
  </si>
  <si>
    <t>CHAM</t>
  </si>
  <si>
    <t>GEWERBESTRASSE 11, CHAM, CH-6330, SWITZERLAND</t>
  </si>
  <si>
    <t>1742-7584</t>
  </si>
  <si>
    <t>1742-7592</t>
  </si>
  <si>
    <t>INT J TROP INSECT SC</t>
  </si>
  <si>
    <t>Int. J. Trop. Insect Sci.</t>
  </si>
  <si>
    <t>10.1007/s42690-022-00748-z</t>
  </si>
  <si>
    <t>Entomology</t>
  </si>
  <si>
    <t>1L5HP</t>
  </si>
  <si>
    <t>WOS:000750320500001</t>
  </si>
  <si>
    <t>Nope, E; Sathicq, AG; Martinez, JJ; Rojas, H; Macias, MA; Castillo, JC; Romanelli, G</t>
  </si>
  <si>
    <t>Nope, Eliana; Sathicq, Angel G.; Martinez, Jose J.; Rojas, Hugo; Macias, Mario A.; Castillo, Juan-Carlos; Romanelli, Gustavo</t>
  </si>
  <si>
    <t>Solvent-Free Microwave-Assisted Multicomponent Synthesis of 4H-Chromenes Using Fe3O4-Based Hydrotalcites as Bifunctional Catalysts</t>
  </si>
  <si>
    <t>CHEMISTRYSELECT</t>
  </si>
  <si>
    <t>4H-chromene; magnetic hydrotalcites; microwave chemistry; multicomponent reactions; sustainable synthesis</t>
  </si>
  <si>
    <t>ONE-POT SYNTHESIS; LAYERED DOUBLE HYDROXIDES; ACID-BASE CATALYST; 3-COMPONENT SYNTHESIS; HIGHLY EFFICIENT; 2-AMINO-4H-CHROMENE DERIVATIVES; SPIROOXINDOLE DERIVATIVES; HETEROGENEOUS CATALYST; MAGNETIC SEPARATION; GREEN CHEMISTRY</t>
  </si>
  <si>
    <t>Magnetic Fe3O4-based hydrotalcites were used as bifunctional catalysts for the microwave-assisted solvent-free synthesis of 4H-chromene derivatives by a three-component reaction from (hetero)aromatic aldehydes, malononitrile, and naphthol derivatives. Structures of 4H-chromenes 4 d and 4 g were studied and confirmed by single-crystal X-ray diffraction analysis. The heterogeneous catalysts were synthesized by the co-precipitation method incorporating divalent metal cations such as Ni2+ or Co2+ in LDH-Mg. This multicomponent protocol allows the synthesis of diverse 4H-chromenes in 88-95 % yields, reduced reaction time, high atom economy, broad substrate scope, and operational simplicity. The reusability of the catalyst up to five recycles without appreciable loss of its catalytic activity, make the present protocol sustainable and advantageous compared to conventional methods.</t>
  </si>
  <si>
    <t>[Nope, Eliana; Sathicq, Angel G.; Romanelli, Gustavo] Univ Nacl La Plata, Ctr Invest &amp; Desarrollo Ciencias Aplicadas Dr Jor, Calle 47 257,B1900AJK, La Plata, Argentina; [Martinez, Jose J.; Rojas, Hugo; Castillo, Juan-Carlos] Univ Pedag &amp; Tecnol Colombia, Escuela Ciencias Quim, Ave Cent Norte 39-115, Tunja, Colombia; [Macias, Mario A.] Univ Los Andes, Dept Chem, Crystallog &amp; Chem Mat, CrisQuimMat, Carrera 1 18 A-10, Bogota, Colombia; [Romanelli, Gustavo] Univ Nacl La Plata, Ctr Invest Sanidad Vegetal CISaV, Catedra Quim Organ, Fac Ciencias Agr &amp; Forestales, Calles 60 &amp; 119 S-N,B1904AAN, La Plata, Argentina</t>
  </si>
  <si>
    <t>National University of La Plata; Universidad Pedagogica y Tecnologica de Colombia (UPTC); Universidad de los Andes (Colombia); National University of La Plata</t>
  </si>
  <si>
    <t>Romanelli, G (corresponding author), Univ Nacl La Plata, Ctr Invest &amp; Desarrollo Ciencias Aplicadas Dr Jor, Calle 47 257,B1900AJK, La Plata, Argentina.;Castillo, JC (corresponding author), Univ Pedag &amp; Tecnol Colombia, Escuela Ciencias Quim, Ave Cent Norte 39-115, Tunja, Colombia.;Romanelli, G (corresponding author), Univ Nacl La Plata, Ctr Invest Sanidad Vegetal CISaV, Catedra Quim Organ, Fac Ciencias Agr &amp; Forestales, Calles 60 &amp; 119 S-N,B1904AAN, La Plata, Argentina.</t>
  </si>
  <si>
    <t>juan.castillo06@uptc.edu.co; gpr@quimica.unlp.edu.ar</t>
  </si>
  <si>
    <t>Millán, Juan Castillo/AAM-5433-2020; Macías, Mario Alberto/W-9716-2019; Martinez, Jose J/G-1924-2018</t>
  </si>
  <si>
    <t>Millán, Juan Castillo/0000-0002-6060-2578; Macías, Mario Alberto/0000-0003-2749-8489; NOPE VARGAS, ELIANA ROCIO/0000-0002-9653-3527; Martinez, Jose J/0000-0002-4906-7121</t>
  </si>
  <si>
    <t>CONICET [PIP 0084]; UNLP [X732]; ANPCYT [0409]; Universidad Pedagogica y Tecnologica de Colombia; Departamento de Quimica and Facultad de Ciencias at the Universidad de los Andes, Colombia [FAPA-P18.160422.043]</t>
  </si>
  <si>
    <t>CONICET(Consejo Nacional de Investigaciones Cientificas y Tecnicas (CONICET)); UNLP(National University of La Plata); ANPCYT(ANPCyT); Universidad Pedagogica y Tecnologica de Colombia; Departamento de Quimica and Facultad de Ciencias at the Universidad de los Andes, Colombia</t>
  </si>
  <si>
    <t>E.N., A.G.S. and G.R. are grateful to CONICET (PIP 0084), UNLP (X732) and ANPCYT (0409) for financial support. Moreover, J.J.M., H.R. and J.-C.C. acknowledge to Universidad Pedagogica y Tecnologica de Colombia for financial support. Ultimately, M.A.M. thanks the support of the Departamento de Quimica and Facultad de Ciencias at the Universidad de los Andes, Colombia (project FAPA-P18.160422.043).</t>
  </si>
  <si>
    <t>2365-6549</t>
  </si>
  <si>
    <t>ChemistrySelect</t>
  </si>
  <si>
    <t>MAR 15</t>
  </si>
  <si>
    <t>e202104360</t>
  </si>
  <si>
    <t>10.1002/slct.202104360</t>
  </si>
  <si>
    <t>ZW7NO</t>
  </si>
  <si>
    <t>WOS:000771395600045</t>
  </si>
  <si>
    <t>Mancipe, S; Castillo, JC; Brijaldo, MH; Lopez, VP; Rojas, H; Macias, MA; Portilla, J; Romanelli, GP; Martinez, JJ; Luque, R</t>
  </si>
  <si>
    <t>Mancipe, Sonia; Castillo, Juan-Carlos; Brijaldo, Maria H.; Lopez, Viviana P.; Rojas, Hugo; Macias, Mario A.; Portilla, Jaime; Romanelli, Gustavo P.; Martinez, Jose J.; Luque, Rafael</t>
  </si>
  <si>
    <t>B-Containing Hydrotalcites Effectively Catalyzed Synthesis of 3-(Furan-2-yl)acrylonitrile Derivatives via the Knoevenagel Condensation</t>
  </si>
  <si>
    <t>ACS SUSTAINABLE CHEMISTRY &amp; ENGINEERING</t>
  </si>
  <si>
    <t>HMF; active methylene; boric acid; hydrotalcite; solvent free</t>
  </si>
  <si>
    <t>ACID; ADSORPTION; CONVERSION; GLUCOSE; FRAMEWORK; BIOMASS; MATRIX; LEWIS; CO2</t>
  </si>
  <si>
    <t>5-Hydroxymethylfurfural (HMF) is a well-known platform chemical derivative from biomass. Herein, we described the application of boric acid deposited on hydrotalcite as a catalyst in the Knoevenagel reaction of HMF derivatives and active methylene compounds to afford new HMF derivatives containing an acrylonitrile moiety under solvent-free conditions. The boric acid incorporation method on hydrotalcite conditioned the yields obtained because the aluminum substitution by boron atoms can modify the acidity of these solids. The Knoevenagel adduct structure (3a) was studied and confirmed by X-ray crystallography. This protocol synthesis features operational simplicity, short reaction times, high yields, good to excellent (E)-isomer selectivity, and low catalyst loading. Remarkably, the catalyst could be simply recovered and reused up to five cycles without appreciable loss of catalytic activity.</t>
  </si>
  <si>
    <t>[Mancipe, Sonia; Castillo, Juan-Carlos; Lopez, Viviana P.; Rojas, Hugo; Martinez, Jose J.] Univ Pedag &amp; Tecnol Colombia, Escuela Ciencias Quim, Grp Catalisis, Tunja 150003, Colombia; [Brijaldo, Maria H.] Univ Pedag &amp; Tecnol Colombia, Escuela Ciencias Adm &amp; Econ, Grp Invest Farm &amp; Medio Ambiente FARQUIMA, Tunja 150003, Colombia; [Macias, Mario A.] Univ Andes, Dept Chem, Crystallog &amp; Chem Mat, Bogota 111711, Colombia; [Portilla, Jaime] Univ Andes, Dept Chem, Bioorgan Cpds Res Grp, Bogota 111711, Colombia; [Romanelli, Gustavo P.] Univ Nacl La Plata, Ctr Invest &amp; Desarrollo Ciencias Aplicadas Dr Jor, B1900AJK, La Plata, Argentina; [Romanelli, Gustavo P.] Univ Nacl La Plata, Ctr Invest Sanidad Vegetal CISaV, Catedra Quim Organ, Fac Ciencias Agr &amp; Forestales, B1904AAN, La Plata, Argentina; [Luque, Rafael] Univ Cordoba, Dept Quim Organ, Grp FQM 383, Campus Univ Rabanales, E-14014 Cordoba, Spain; [Luque, Rafael] Peoples Friendship Univ Russia, RUDN Univ, Moscow 117198, Russia</t>
  </si>
  <si>
    <t>Universidad Pedagogica y Tecnologica de Colombia (UPTC); Universidad Pedagogica y Tecnologica de Colombia (UPTC); Universidad de los Andes (Colombia); Universidad de los Andes (Colombia); National University of La Plata; National University of La Plata; Universidad de Cordoba; Peoples Friendship University of Russia</t>
  </si>
  <si>
    <t>Mancipe, S (corresponding author), Univ Pedag &amp; Tecnol Colombia, Escuela Ciencias Quim, Grp Catalisis, Tunja 150003, Colombia.;Luque, R (corresponding author), Univ Cordoba, Dept Quim Organ, Grp FQM 383, Campus Univ Rabanales, E-14014 Cordoba, Spain.;Luque, R (corresponding author), Peoples Friendship Univ Russia, RUDN Univ, Moscow 117198, Russia.</t>
  </si>
  <si>
    <t>sonia.mancipe@uptc.edu.co; rafael.luque@uco.es</t>
  </si>
  <si>
    <t>Macías, Mario Alberto/W-9716-2019; Millán, Juan Castillo/AAM-5433-2020; Luque, Rafael/F-9853-2010; Martinez, Jose J/G-1924-2018</t>
  </si>
  <si>
    <t>Macías, Mario Alberto/0000-0003-2749-8489; Millán, Juan Castillo/0000-0002-6060-2578; Luque, Rafael/0000-0003-4190-1916; Martinez, Jose J/0000-0002-4906-7121</t>
  </si>
  <si>
    <t>Universidad Pedagogica y Tecnologica de Colombia; Universidad de los Andes; Vicerrectoria de Investigaciones-UPTC; Departamento de Quimica and Facultad de Ciencias at the Universidad de los Andes, Colombia [FAPA-P18.160422.043, INV-2019-84-1800]; CONICET [PIP 0111]; Agencia Nacional de Promocion Cientifica y Tecnica ANPCyT [0157]; UNLP; RUDN University Strategic Academic Leadership Program</t>
  </si>
  <si>
    <t>Universidad Pedagogica y Tecnologica de Colombia; Universidad de los Andes; Vicerrectoria de Investigaciones-UPTC; Departamento de Quimica and Facultad de Ciencias at the Universidad de los Andes, Colombia; CONICET(Consejo Nacional de Investigaciones Cientificas y Tecnicas (CONICET)); Agencia Nacional de Promocion Cientifica y Tecnica ANPCyT(ANPCyT); UNLP(National University of La Plata); RUDN University Strategic Academic Leadership Program</t>
  </si>
  <si>
    <t>The authors acknowledge the Universidad Pedagogica y Tecnologica de Colombia and Universidad de los Andes for the financial support. J.J.M. thanks the Vicerrectoria de Investigaciones-UPTC for the financial support. M.A.M. and J.P. thank the support of the Departamento de Quimica and Facultad de Ciencias at the Universidad de los Andes, Colombia (projects FAPA-P18.160422.043 and INV-2019-84-1800, respectively) . Moreover, G.R. is grateful to CONICET (PIP 0111) , Agencia Nacional de Promocion Cientifica y Tecnica ANPCyT (0157) , and UNLP. This publication was also supported by the RUDN University Strategic Academic Leadership Program (R.L.) .</t>
  </si>
  <si>
    <t>AMER CHEMICAL SOC</t>
  </si>
  <si>
    <t>WASHINGTON</t>
  </si>
  <si>
    <t>1155 16TH ST, NW, WASHINGTON, DC 20036 USA</t>
  </si>
  <si>
    <t>2168-0485</t>
  </si>
  <si>
    <t>ACS SUSTAIN CHEM ENG</t>
  </si>
  <si>
    <t>ACS Sustain. Chem. Eng.</t>
  </si>
  <si>
    <t>10.1021/acssuschemeng.2c03209</t>
  </si>
  <si>
    <t>Chemistry, Multidisciplinary; Green &amp; Sustainable Science &amp; Technology; Engineering, Chemical</t>
  </si>
  <si>
    <t>Chemistry; Science &amp; Technology - Other Topics; Engineering</t>
  </si>
  <si>
    <t>4N9VM</t>
  </si>
  <si>
    <t>WOS:000854359500001</t>
  </si>
  <si>
    <t>Roy, S; Maiti, SK; Perez, LM; Silva, JHO; Laroze, D</t>
  </si>
  <si>
    <t>Roy, Souvik; Maiti, Santanu K.; Perez, Laura M.; Silva, Judith Helena Ojeda; Laroze, David</t>
  </si>
  <si>
    <t>Localization Properties of a Quasiperiodic Ladder under Physical Gain and Loss: Tuning of Critical Points, Mixed-Phase Zone and Mobility Edge</t>
  </si>
  <si>
    <t>MATERIALS</t>
  </si>
  <si>
    <t>localization phenomena; AAH ladder; physical gain and loss; inverse participation ratio; mobility edge; mixed phase</t>
  </si>
  <si>
    <t>ANDERSON LOCALIZATION; QUANTUM; TRANSITION; DYNAMICS; WAVES; LIGHT</t>
  </si>
  <si>
    <t>We explore the localization properties of a double-stranded ladder within a tight-binding framework where the site energies of different lattice sites are distributed in the cosine form following the Aubry-Andre-Harper (AAH) model. An imaginary site energy, which can be positive or negative, referred to as physical gain or loss, is included in each of these lattice sites which makes the system a non-Hermitian (NH) one. Depending on the distribution of imaginary site energies, we obtain balanced and imbalanced NH ladders of different types, and for all these cases, we critically investigate localization phenomena. Each ladder can be decoupled into two effective one-dimensional (1D) chains which exhibit two distinct critical points of transition from metallic to insulating (MI) phase. Because of the existence of two distinct critical points, a mixed-phase (MP) zone emerges which yields the possibility of getting a mobility edge (ME). The conducting behaviors of different energy eigenstates are investigated in terms of inverse participation ratio (IPR). The critical points and thus the MP window can be selectively controlled by tuning the strength of the imaginary site energies which brings a new insight into the localization aspect. A brief discussion on phase transition considering a multi-stranded ladder was also given as a general case, to make the present communication a self-contained one. Our theoretical analysis can be utilized to investigate the localization phenomena in different kinds of simple and complex quasicrystals in the presence of physical gain and/or loss.</t>
  </si>
  <si>
    <t>[Roy, Souvik; Maiti, Santanu K.] Indian Stat Inst, Phys &amp; Appl Math Unit, 203 Barrackpore Trunk Rd, Kolkata 700108, India; [Perez, Laura M.] Univ Tarapaca, Dept Fis, FACI, Casilla 7D, Arica 1000000, Chile; [Silva, Judith Helena Ojeda] Univ Pedag &amp; Tecnol Colombia, Grp Fis Mat, Tunja 150003, Colombia; [Silva, Judith Helena Ojeda] Univ Pedag &amp; Tecnol Colombia, Lab Quim Teor &amp; Computac, Grp Invest Quim Fis Mol &amp; Modelamiento Computac Q, Tunja 150003, Colombia; [Laroze, David] Univ Tarapaca, Inst Alta Invest, CEDENNA, Casilla 7D, Arica 1000000, Chile</t>
  </si>
  <si>
    <t>Indian Statistical Institute; Indian Statistical Institute Kolkata; Universidad de Tarapaca; Universidad Pedagogica y Tecnologica de Colombia (UPTC); Universidad Pedagogica y Tecnologica de Colombia (UPTC); Universidad de Tarapaca</t>
  </si>
  <si>
    <t>Maiti, SK (corresponding author), Indian Stat Inst, Phys &amp; Appl Math Unit, 203 Barrackpore Trunk Rd, Kolkata 700108, India.</t>
  </si>
  <si>
    <t>souvikroy138@gmail.com; santanu.maiti@isical.ac.in; lperez@uta.cl; judith.ojeda@uptc.edu.co; dlarozen@uta.cl</t>
  </si>
  <si>
    <t>Pérez, Laura M/AAZ-1995-2020; Laroze, David/Z-2852-2019</t>
  </si>
  <si>
    <t>Pérez, Laura M/0000-0002-2915-309X; Laroze, David/0000-0002-6487-8096; Maiti, Santanu/0000-0003-3979-8606; OJEDA SILVA, JUDITH HELENA/0000-0001-7004-2984</t>
  </si>
  <si>
    <t>CSIR, India [09/093(0178)/2017-EMR-I]; DST-SERB, Government of India [EMR/2017/000504]; ANID through Convocatoria Nacional Subvencion a Instalacion en la Academia Convocatoria Ano [SA77210040]; FONDECYT [1180905]; BASAL/ANID [AFB180001]; Centers of Excellence; Universidad Pedagogica y Tecnologica de Colombia</t>
  </si>
  <si>
    <t>CSIR, India(Council of Scientific &amp; Industrial Research (CSIR) - India); DST-SERB, Government of India; ANID through Convocatoria Nacional Subvencion a Instalacion en la Academia Convocatoria Ano; FONDECYT(Comision Nacional de Investigacion Cientifica y Tecnologica (CONICYT)CONICYT FONDECYT); BASAL/ANID; Centers of Excellence; Universidad Pedagogica y Tecnologica de Colombia</t>
  </si>
  <si>
    <t>S.R. would like to thank CSIR, India (09/093(0178)/2017-EMR-I), for providing their research fellowship. The research of S.K.M. is supported by DST-SERB, Government of India (Project File Number: EMR/2017/000504). L.M.P. acknowledges financial support from ANID through Convocatoria Nacional Subvencion a Instalacion en la Academia Convocatoria Ano 2021, Grant SA77210040. D.L. acknowledges partial financial support from FONDECYT 1180905. D.L. also acknowledges partial financial support from Centers of Excellence with BASAL/ANID financing Grant AFB180001, CEDENNA. J.H.O.S. acknowledges to Universidad Pedagogica y Tecnologica de Colombia.</t>
  </si>
  <si>
    <t>1996-1944</t>
  </si>
  <si>
    <t>Materials</t>
  </si>
  <si>
    <t>10.3390/ma15020597</t>
  </si>
  <si>
    <t>Chemistry, Physical; Materials Science, Multidisciplinary; Metallurgy &amp; Metallurgical Engineering; Physics, Applied; Physics, Condensed Matter</t>
  </si>
  <si>
    <t>Chemistry; Materials Science; Metallurgy &amp; Metallurgical Engineering; Physics</t>
  </si>
  <si>
    <t>ZE3IC</t>
  </si>
  <si>
    <t>WOS:000758779400001</t>
  </si>
  <si>
    <t>Salinas-Torres, A; Jimenez, E; Becerra, D; Martinez, JJ; Rojas, H; Castillo, JC; Macias, MA</t>
  </si>
  <si>
    <t>Salinas-Torres, Angelica; Jimenez, Elizabeth; Becerra, Diana; Martinez, Jose J.; Rojas, Hugo; Castillo, Juan-Carlos; Macias, Mario A.</t>
  </si>
  <si>
    <t>Synthesis, anticancer evaluation, thermal and X-ray crystallographic analysis of 2-oxo-2H-chromen-7-yl 4-chlorobenzoate using a conductively heated sealed-vessel reactor</t>
  </si>
  <si>
    <t>7-Hydroxy-2 H-chromen-2-one; O-acylation reaction; Cancer; Monowave 50 reactor; Hirshfeld surface maps; X-ray crystallography; Sohncke space group</t>
  </si>
  <si>
    <t>CHEMICAL-SYNTHESIS; CRYSTAL-STRUCTURE; COUMARIN; DERIVATIVES; CARCINOMA; ESTERIFICATION; CIMETIDINE</t>
  </si>
  <si>
    <t>We report the synthesis of the 2-oxo-2H-chromen-7-yl 4-chlorobenzoate 3 in 94% yield by an O-acylation reaction of 7-hydroxy-2H-chromen-2-one 1 and 4-chlorobenzoyl chloride 2 using a slight excess of tri-ethylamine in acetonitrile, heating as fast as possible (AFAP mode) to 60 degrees C, hold time 5 min, and 600 rpm stirring speed in the Monowave 50 reactor based on conventional heating principles. The struc-ture of the 2-oxo-2H-chromen-7-yl 4-chlorobenzoate 3 was fully characterized by FT-IR, UV-vis, NMR spectroscopy, mass spectrometry (EI-MS), elemental analysis, thermogravimetry (TG), differential scan-ning calorimetry (DSC), single-crystal and powder X-ray diffraction. X-Ray diffraction analyses show that compound 3 crystallizes in the Monoclinic, P 2 1 space group. Despite the absence of chiral atoms, the structural restrains imposed by the molecular conformation drive these compounds to crystallize in a Sohncke space group. These results are of great importance in crystal engineering and non-linear optics. In the crystal structure, the packing is controlled mainly by C -H middotmiddotmiddotO hydrogen bonds. However, Hirsh-feld surfaces demonstrated that C -H middotmiddotmiddotCl interactions are of great importance. Additionally, electrostatic potentials suggest the formation of Sigma-holes over the Cl atoms, allowing this atom to behave as a Lewis acid-base. The packing is studied in terms of B3LYP/6-31G(d,p) energy frameworks. Finally, compound 3 showed low activity against MCF7 Breast, SNB-19 Central nervous system, and UO-31 Renal cancer cell lines with a growth inhibition percentage (GI%) ranging from 5.98% to 13.33%. (c) 2022 Elsevier B.V. All rights reserved.</t>
  </si>
  <si>
    <t>[Salinas-Torres, Angelica; Becerra, Diana; Martinez, Jose J.; Rojas, Hugo; Castillo, Juan-Carlos] Univ Pedag &amp; Tecnol Colombia, Escuela Ciencias Quim, Ave Cent Norte 39-115, Tunja 150003, Colombia; [Jimenez, Elizabeth] Univ Los Andes, Dept Chem, GIBA, Appl Biochem Res Grp, Carrera 1 18A-10, Bogota 111711, Colombia; [Macias, Mario A.] Univ Los Andes, Dept Chem, CrisQuimMat, Crystallog &amp; Chem Mat, Carrera 1 18A-10, Bogota 111711, Colombia</t>
  </si>
  <si>
    <t>Universidad Pedagogica y Tecnologica de Colombia (UPTC); Universidad de los Andes (Colombia); Universidad de los Andes (Colombia)</t>
  </si>
  <si>
    <t>Castillo, JC (corresponding author), Univ Pedag &amp; Tecnol Colombia, Escuela Ciencias Quim, Ave Cent Norte 39-115, Tunja 150003, Colombia.;Macias, MA (corresponding author), Univ Los Andes, Dept Chem, CrisQuimMat, Crystallog &amp; Chem Mat, Carrera 1 18A-10, Bogota 111711, Colombia.</t>
  </si>
  <si>
    <t>Universidad Pedagogica y Tecnologica de Colombia; Universidad de los Andes; Facultad de Ciencias at the Universidad de los Andes, Colombia [FAPA-P18.160422.043]; Direccin de Investigaciones at Universidad Pedaggica y Tecnolgica de Colombia [SGI-3312]; Departamento de Qumica [FAPA-P17160322012]</t>
  </si>
  <si>
    <t>Universidad Pedagogica y Tecnologica de Colombia; Universidad de los Andes; Facultad de Ciencias at the Universidad de los Andes, Colombia; Direccin de Investigaciones at Universidad Pedaggica y Tecnolgica de Colombia; Departamento de Qumica</t>
  </si>
  <si>
    <t>The authors are grateful for financial support from Universidad Pedagogica y Tecnologica de Colombia and Universidad de los Andes. E.J. and M.A.M. acknowledge support from the Departamento de Qumica and Facultad de Ciencias at the Universidad de los Andes, Colombia, (project numbers FAPA-P17160322012 , and FAPA-P18.160422.043 , respectively) . A.S.-T., D.B., J.J.M., H.R. and J.-C.C. thank to the Direccin de Investigaciones at the Universidad Pedaggica y Tecnolgica de Colombia for financial support (project number SGI-3312) . We are grateful to the National Cancer Institute (NCI, USA) for performing the anticancer evaluation of the compound 3 . The authors thank to Anton Paar Colombia S.A.S. for loaning the reactor Monowave 50 (Anton Paar GmbH) for two weeks to carry out short research projects in our laboratory.</t>
  </si>
  <si>
    <t>FEB 15</t>
  </si>
  <si>
    <t>10.1016/j.molstruc.2022.134414</t>
  </si>
  <si>
    <t>7K0RE</t>
  </si>
  <si>
    <t>WOS:000904993000010</t>
  </si>
  <si>
    <t>Becerra, ML; Lizarazo, LM; Rojas, HA; Prieto, GA; Martinez, JJ</t>
  </si>
  <si>
    <t>Becerra, Monica L.; Lizarazo, Luz M.; Rojas, Hugo A.; Prieto, Gloria A.; Martinez, Jose J.</t>
  </si>
  <si>
    <t>Biotransformation of 5-hydroxymethylfurfural and furfural with bacteria of bacillus genus</t>
  </si>
  <si>
    <t>BIOCATALYSIS AND AGRICULTURAL BIOTECHNOLOGY</t>
  </si>
  <si>
    <t>Biomass; 2-Furoic acid; HMFCA; Furans oxidation; Biodegradation; Inhibitors</t>
  </si>
  <si>
    <t>5-HYDROXYMETHYL-2-FURANCARBOXYLIC ACID; PSEUDOMONAS-PUTIDA; CO-FERMENTATION; 2-FUROIC ACID; IDENTIFICATION; TOLERANCE; OXIDATION; HMF; DETOXIFICATION; HYDROLYSATE</t>
  </si>
  <si>
    <t>Furfural and 5-hydroxymethylfurfural (5-HMF) are considered to be the most toxic compounds among fermentation inhibitors in lignocellulosic hydrolysates. These compounds raise severe problems for the bioproduction of fuels and chemicals. In this study, we describe the detoxification of furfural and 5-HMF using bacterial isolates from residues of sugarcane bagasse, identified as Bacillus pasteuri, Bacillus toyonensis, Bacillus megaterium, Bacillus cereus, Bacillus subtilis, and Bacillus spp. by 16S rDNA sequencing. Under aerobic culture conditions, 2-furoic acid and 5hydroxymethyl-2-furancarboxylic acid (HMFCA) were produced as the main degradation product in the detoxification of furfural and 5-HMF, respectively. In both cases these acids were produced in greater concentrations when bacteria were incubated in nutrient broth. B. toyonensis in nutrient broth with 20 mM of furfural after 120 h produced the highest amount of 2-furoic acid. A concentration of 15.2 mM was achieved using B. toyonensis followed by B. cereus with a concentration of 13.1 mM 2-Furoic acid production for other strains did not exceed 6.8 mM. B. toyonensis was the strain with highest degradation capacity of 5-HMF, following the oxidation pathway to obtain HMFCA and 2,5-furan dicarboxylic acid (FDCA) which rose to a final concentration of 21.3 mM and 1.5 mM, respectively, in a nutrient broth with 25 mM of 5-HMF at 120 h of fermentation. B. toyonensis is a useful strain to detoxify lignocellulosic residues and to produce furans with a high added value.</t>
  </si>
  <si>
    <t>[Becerra, Monica L.; Prieto, Gloria A.] Univ Pedag &amp; Tecnol Colombia, Fac Ciencias, Escuela Posgrad, Doctorado Ciencias Quim, Ave Cent Norte, Tunja, Boyac a, Colombia; [Lizarazo, Luz M.] Univ Pedag &amp; Tecnol Colombia, Fac Ciencias, Grp Invest Biol Ambiental, Escuela Ciencias Biol, Ave Cent Norte, Tunja, Boyac a, Colombia; [Becerra, Monica L.; Rojas, Hugo A.; Martinez, Jose J.] Univ Pedag &amp; Tecnol Colombia UPTC, Fac Ciencias, Escuela Ciencias Quim, Grp Catalisis GC UPTC, Ave Cent Norte, Tunja, Boyaca, Colombia; [Prieto, Gloria A.] Univ Pedag &amp; Tecnol Colombia UPTC, Fac Ciencias, Escuela Ciencias Quim, Grp Invest Quim &amp; Tecnol Alimentos GIQTA UPTC, Ave Cent Norte, Tunja, Boyaca, Colombia</t>
  </si>
  <si>
    <t>Universidad Pedagogica y Tecnologica de Colombia (UPTC); Universidad Pedagogica y Tecnologica de Colombia (UPTC); Universidad Pedagogica y Tecnologica de Colombia (UPTC); Universidad Pedagogica y Tecnologica de Colombia (UPTC)</t>
  </si>
  <si>
    <t>Becerra, ML (corresponding author), Tv 3 60A-41, Tunja 150003, Boyaca, Colombia.</t>
  </si>
  <si>
    <t>monica.becerra@uptc.edu.co</t>
  </si>
  <si>
    <t>Becerra Jimenez, Monica Liliana/0000-0002-0275-9008; Martinez, Jose J/0000-0002-4906-7121</t>
  </si>
  <si>
    <t>1878-8181</t>
  </si>
  <si>
    <t>BIOCATAL AGR BIOTECH</t>
  </si>
  <si>
    <t>Biocatal. Agric. Biotechnol.</t>
  </si>
  <si>
    <t>10.1016/j.bcab.2022.102281</t>
  </si>
  <si>
    <t>Biotechnology &amp; Applied Microbiology</t>
  </si>
  <si>
    <t>ZS9WH</t>
  </si>
  <si>
    <t>WOS:000768808800001</t>
  </si>
  <si>
    <t>Hernandez, OAB; Espitia, DYR; Hernandez, AAR</t>
  </si>
  <si>
    <t>Bellon Hernandez, Oscar Alexander; Riscanevo Espitia, Diana Yanith; Rodriguez Hernandez, Ariel Adolfo</t>
  </si>
  <si>
    <t>A new dynamic model of thermal degradation of polymer binary mixes submitted through pyrolysis</t>
  </si>
  <si>
    <t>polymer thermal degradation; thermogravimetric analysis; dynamic model; polymer pyrolysis simulation</t>
  </si>
  <si>
    <t>PLASTIC WASTE; POLYSTYRENE; RECOVERY; KINETICS; FUEL</t>
  </si>
  <si>
    <t>Introduction: This article is the product of the review A new dynamic model of thermal degradation of polymer binary mixes submitted through pyrolysis, developed in the University Pedagogica y Tecnologica de Colombia - UPTC-, carried out during 2020. This paper shows the validation process of a dynamic model proposed to represent the one-step thermal degradation reaction of individual components in polymer mixtures. Problem: It is complicated to model the process of thermal degradation of polymer mixtures inside pyrolysis reactors. Inside the MPW reactor, the distribution of polymeric components in the mixture is shuffled. Objective: The objective is to validate a proposed dynamic model to represent the thermal degradation of binary polymer mixtures from the thermograms of each individual component. Methodology: A comparison is made between real data provided by TGA of binary mixes of plastic and the result of simulated thermal degradation obtained using a differential equation of the model for thermal degradation of the same plastics. Results: The simulation results showed a reasonable degree of approximation with a mean square error of less than 5%. Conclusion: The results of the simulation provide a good approximation of the loss of mass of the real samples submitted to TGA tests in the entire temperature range of the process. Consequently, it is not necessary to segment the process into sub-ranges to look for parameters in each of them. Originality: The differential equation proposed as a dynamic model for the thermal degradation of a single polymer is extended to also represent the degradation of a mixture composed of two types of plastic for the first time in this paper. Limitations: The number of samples allowed for thermogravimetric analysis was limited to five due to the institutional regulations of the UPTC for research projects attached to doctoral theses.</t>
  </si>
  <si>
    <t>[Bellon Hernandez, Oscar Alexander; Riscanevo Espitia, Diana Yanith; Rodriguez Hernandez, Ariel Adolfo] Univ Pedag &amp; Tecnol Colombia UPTC, Escuela Ciencias Tecnol, Fac Estudios Distancia, Tunja, Colombia</t>
  </si>
  <si>
    <t>Hernandez, OAB (corresponding author), Univ Pedag &amp; Tecnol Colombia UPTC, Escuela Ciencias Tecnol, Fac Estudios Distancia, Tunja, Colombia.</t>
  </si>
  <si>
    <t>oscar.bellon@uptc.edu.co; diana.riscanevo01@uptc.edu.co; ariel.rodriguez@uptc.edu.co</t>
  </si>
  <si>
    <t>10.16925/2357-6014.2022.01.07</t>
  </si>
  <si>
    <t>WOS:000835195900002</t>
  </si>
  <si>
    <t>Suarez, GAP; Galindo, NJP; Cuervo, OHP</t>
  </si>
  <si>
    <t>Prieto Suarez, Gloria Astrid; Puerto Galindo, Nataly Julieth; Pardo Cuervo, Oscar H.</t>
  </si>
  <si>
    <t>Obtaining Colombian propolis extracts using modern methods: A determination of its antioxidant capacity and the identification of its bioactive compounds</t>
  </si>
  <si>
    <t>JOURNAL OF SUPERCRITICAL FLUIDS</t>
  </si>
  <si>
    <t>Propolis; Microwave; Antioxidant capacity; Bioactive compounds; Supercritical CO2</t>
  </si>
  <si>
    <t>SUPERCRITICAL CARBON-DIOXIDE; MICROWAVE-ASSISTED EXTRACTION; GREEN PROPOLIS; SECONDARY METABOLITES; PHENOLIC-COMPOUNDS; FRACTIONATION; PROFILE; CONSTITUENTS; POLYPHENOLS; SAMPLES</t>
  </si>
  <si>
    <t>In order to determine the most efficient method to extract bioactive compounds from Colombian propolis, a comparison was made between Soxhlet extraction (SE) and modern extraction methods. A higher yield was obtained by SE (76.55%), followed by microwave-assisted extraction (MAE) (73.84%), and finally extraction by supercritical CO2 fluid (SCCO2E) (1.32%). The highest amount of total polyphenols expressed as mg of gallic acid equivalent per gram of propolis (mg GAE)/gP) was obtained with the use of MAE (81.78), followed by SE (80.19) and SCCO2E (68.99). The highest flavonoid content expressed in mg of quercetin equivalents per gram of propolis (mg QE/gP) (60.11), was obtained using SCCO2E and 15% ethanol as adjuvant. The antioxidant capacity was higher for the extracts obtained with SCCO2E followed by MAE and SE. Finally, by means of HPLC-DAD, the bioactive flavonoids in the extracts obtained by supercritical CO2 were identified.</t>
  </si>
  <si>
    <t>[Prieto Suarez, Gloria Astrid; Puerto Galindo, Nataly Julieth; Pardo Cuervo, Oscar H.] Univ Pedag &amp; Tecnol Colombia UPTC, Escuela Ciencias Quim, Ave Cent Norte 39-115, Tunja 150003, Colombia</t>
  </si>
  <si>
    <t>Cuervo, OHP (corresponding author), Univ Pedag &amp; Tecnol Colombia UPTC, Escuela Ciencias Quim, Ave Cent Norte 39-115, Tunja 150003, Colombia.</t>
  </si>
  <si>
    <t>oscarhernando.pardo@uptc.edu.co</t>
  </si>
  <si>
    <t>pardo, oscar/AFW-0087-2022</t>
  </si>
  <si>
    <t>Pardo Cuervo, oscar H./0000-0003-4357-404X</t>
  </si>
  <si>
    <t>0896-8446</t>
  </si>
  <si>
    <t>1872-8162</t>
  </si>
  <si>
    <t>J SUPERCRIT FLUID</t>
  </si>
  <si>
    <t>J. Supercrit. Fluids</t>
  </si>
  <si>
    <t>MAR</t>
  </si>
  <si>
    <t>10.1016/j.supflu.2022.105538</t>
  </si>
  <si>
    <t>Chemistry, Physical; Engineering, Chemical</t>
  </si>
  <si>
    <t>0J8ZE</t>
  </si>
  <si>
    <t>WOS:000780387500004</t>
  </si>
  <si>
    <t>Escobar, FAC; Buitrago, GP; Guio, FA</t>
  </si>
  <si>
    <t>Cerquera Escobar, Flor Angela; Perez Buitrago, Gonzalo; Alberto Guio B, Fredy</t>
  </si>
  <si>
    <t>Spatial Analysis with Weighted Kernel Groupings to Determine Risk Sectors Due to Traffic Accidents in Urban Area. Tunja Analysis, Colombia</t>
  </si>
  <si>
    <t>CUADERNOS GEOGRAFICOS</t>
  </si>
  <si>
    <t>Spatial Analysis; Exploratory Data Analysis-EDA; Concentration; weighted kernel clustering; Determination of risks due to traffic accidents</t>
  </si>
  <si>
    <t>VULNERABLE ROAD USERS; DENSITY-ESTIMATION; CRASH; PATTERN; INFORMATION; MORTALITY; HOTSPOTS; ZONES; SPOTS</t>
  </si>
  <si>
    <t>A method is presented to identify and determine groups with risk sectors due to the greater occurrence of traffic accidents in urban areas as an integral component in road safety management. The methodology was framed in Spatial Analysis with geographic statistics based on Exploratory Data Analysis (AED), Kernel Density Estimation (KDE), and the application of correlation and geoprocessing techniques. The accident data collected between 2015 and 2018 from the urban area of Tunja, Boyaca, Colombia, were the basis for the study of the distribution of events, characterization of clusters, occurrence dynamics and pattern modeling. The definition and delimitation of risks depended on the dispersion or grouping (Hotspots) found with weighted Kernel together with the socio-spatial interrelation of underlying processes due to the territorial dynamics of the sector. The results reveal patterns of events in concentration foci with different levels of risk, in which land uses of opposite characteristics coexist according to their activities through the incidence of territorial variables.</t>
  </si>
  <si>
    <t>[Cerquera Escobar, Flor Angela; Perez Buitrago, Gonzalo; Alberto Guio B, Fredy] Univ Pedag &amp; Tecnol Colombia UPTC, Traf Seguridad Vial Infraestruct Vial &amp; Geog Tran, Grp Invest GIDOT, Tunja, Colombia</t>
  </si>
  <si>
    <t>Escobar, FAC (corresponding author), Univ Pedag &amp; Tecnol Colombia UPTC, Traf Seguridad Vial Infraestruct Vial &amp; Geog Tran, Grp Invest GIDOT, Tunja, Colombia.</t>
  </si>
  <si>
    <t>flor.cerquera@uptc.edu.co</t>
  </si>
  <si>
    <t>UNIV GRANADA</t>
  </si>
  <si>
    <t>GRANADA</t>
  </si>
  <si>
    <t>CUESTA DEL HOSPICIO S-N, CAMPUS UNIV, GRANADA, 18071, SPAIN</t>
  </si>
  <si>
    <t>0210-5462</t>
  </si>
  <si>
    <t>2340-0129</t>
  </si>
  <si>
    <t>CUAD GEOGR</t>
  </si>
  <si>
    <t>Cuad. Geogr.</t>
  </si>
  <si>
    <t>10.30827/cuadgeo.v62i1.18025</t>
  </si>
  <si>
    <t>Geography</t>
  </si>
  <si>
    <t>6O5NS</t>
  </si>
  <si>
    <t>WOS:000890288900001</t>
  </si>
  <si>
    <t>Moreno, JHR; Velandia, J; Igua, D</t>
  </si>
  <si>
    <t>Moreno, Jaime Hernan Rodriguez; Velandia, Jesus; Igua, Diana</t>
  </si>
  <si>
    <t>Lessons for the Implement ability and Sustainability of the SURG-Africa Model of Malawi in Colombia; Comment on Improving Access to Surgery Through Surgical Team Mentoring - Policy Lessons From Group Model Building With Local Stakeholders in Malawi</t>
  </si>
  <si>
    <t>INTERNATIONAL JOURNAL OF HEALTH POLICY AND MANAGEMENT</t>
  </si>
  <si>
    <t>Health Management; Implementation; Quality; Healthcare Policies; Sustainability</t>
  </si>
  <si>
    <t>The development of models that allow improving the quality to achieve person-centered care is a challenge for any health system, especially in low-and middle-income countries, due to the economic difficulties inherent to the countries and to the cost involved in its implementation, which should be assumed by the states, avoiding that the economic burden is assumed by the population, and approaching the goal of universal health coverage. The availability of human talent and efficiency in the use of basic and specialized human talent is a necessity to improve safe access to health services, in this sense, the model proposed by SURG-Africa and whose sustainability in Malawi was evaluated, is an important reference for the establishment and sustainability of these models with other specialties and in other countries. Through this article, the elements of education, care model and financing for the implementation of the strategy in Family Medicine in the Colombian Health System are</t>
  </si>
  <si>
    <t>[Moreno, Jaime Hernan Rodriguez; Velandia, Jesus; Igua, Diana] Univ Pedag &amp; Tecnol Colombia UPTC, Family Med Dept, Tunja, Colombia</t>
  </si>
  <si>
    <t>Moreno, JHR (corresponding author), Univ Pedag &amp; Tecnol Colombia UPTC, Family Med Dept, Tunja, Colombia.</t>
  </si>
  <si>
    <t>jaherom@gmail.com</t>
  </si>
  <si>
    <t>IGUA ROPERO, DIANA MARIA/0000-0003-0338-0259</t>
  </si>
  <si>
    <t>KERMAN UNIV MEDICAL SCIENCES</t>
  </si>
  <si>
    <t>KERMAN</t>
  </si>
  <si>
    <t>JAHAD BLVD, KERMAN, 7619813159, IRAN</t>
  </si>
  <si>
    <t>2322-5939</t>
  </si>
  <si>
    <t>INT J HEALTH POLICY</t>
  </si>
  <si>
    <t>Int. J. Health Policy Manag.</t>
  </si>
  <si>
    <t>10.34172/ijhpm.2022.6974</t>
  </si>
  <si>
    <t>Health Care Sciences &amp; Services; Health Policy &amp; Services</t>
  </si>
  <si>
    <t>Health Care Sciences &amp; Services</t>
  </si>
  <si>
    <t>2C1RK</t>
  </si>
  <si>
    <t>WOS:000810653700001</t>
  </si>
  <si>
    <t>Lancheros-Buitrago, DJ; Bulla-Castaneda, DM; Pulido-Medellin, MO; Buitrago, HLA; Diaz-Anaya, AM; Garcia-Corredor, DJ</t>
  </si>
  <si>
    <t>Lancheros-Buitrago, Deisy J.; Bulla-Castaneda, Diana M.; Pulido-Medellin, Martin O.; Lopez Buitrago, Henry A.; Diaz-Anaya, Adriana M.; Garcia-Corredor, Diego J.</t>
  </si>
  <si>
    <t>Serodiagnosis and Risk Factors Associated with Infectious Agents of Reproductive Diseases in Bovines of Chiquinquira, District of Boyaca (Colombia)</t>
  </si>
  <si>
    <t>VETERINARY MEDICINE INTERNATIONAL</t>
  </si>
  <si>
    <t>NEOSPORA-CANINUM; SEROPREVALENCE; RHINOTRACHEITIS; LEPTOSPIROSIS; DISORDERS; DIAGNOSIS; PROVINCE; VIRUS; HERD; COWS</t>
  </si>
  <si>
    <t>The productivity of cattle farms is affected by infectious and noninfectious factors that generate economic losses and cause reproductive failure represented by low conception rates, embryonic mortality, abortions, and fetal mummification. The infectious agents that most impact the reproductive health of the bovine species from conception to birth are bovine herpesvirus type 1 (BoHV-1) causing infectious bovine rhinotracheitis (IBR), bovine viral diarrhea virus (BVDV), bovine parainfluenza virus type 3 (PI3), Neospora caninum and Leptospira spp. The objective of this study was to diagnose the presence of BoHV-1, bovine viral diarrhea (BVD), PI3, Neospora caninum, and Leptospira spp. by serology and identify the risk factors associated with infectious agents of reproductive interest in bovines of Boyaca (Colombia). A descriptive cross-sectional study was developed, with simple random sampling, where a sample size of 601 female cattle of Holstein, Jersey, and Normande breeds of different age groups was determined. Blood samples were taken and processed using the indirect ELISA technique (SYNBIOTICS (R), SERELISA (R) BVD p80 Ab Mono Blocking, Ingezim R.12.NC.K, PRIMACHECK VPI-3 (R)) and the MAT test for the diagnosis of bovine leptospirosis. The data were processed with the statistical program Epi Info (TM). The highest apparent seroprevalence was established for infectious bovine rhinotracheitis (61.1%), followed by BVD (37.6%), PI3 (40.9%), neosporosis (51.1%), and leptospirosis (14.8%). Variables such as age &gt;4 years and Holstein breed for IBR and &gt;4 years for BVD were established risk factors. Considering our results, we suggest implementing prevention and control plans that include vaccination as a prophylactic measure and biosecurity tools that reduce the probability of contagion and transmission of pathogens.</t>
  </si>
  <si>
    <t>[Lancheros-Buitrago, Deisy J.; Bulla-Castaneda, Diana M.; Pulido-Medellin, Martin O.; Lopez Buitrago, Henry A.; Diaz-Anaya, Adriana M.; Garcia-Corredor, Diego J.] Univ Pedag &amp; Tecnol Colombia UPTC, Vet Med &amp; Zootechnol Res Grp GIDIMEVETZ, Tunja 15003, Colombia</t>
  </si>
  <si>
    <t>Bulla-Castaneda, DM (corresponding author), Univ Pedag &amp; Tecnol Colombia UPTC, Vet Med &amp; Zootechnol Res Grp GIDIMEVETZ, Tunja 15003, Colombia.</t>
  </si>
  <si>
    <t>deisy.johana@uptc.edu.co; diana.bulla@uptc.edu.co; martin.pulido@uptc.edu.co; henryalexanderlopez@gmail.com; adrianamaria.diaz@uptc.edu.co; diegojose.garcia@uptc.edu.co</t>
  </si>
  <si>
    <t>Lancheros-Buitrago, Deisy Johana/0000-0002-7984-3881; Pulido-Medellin, Martin Orlando/0000-0003-4989-1476; Garcia Corredor, Diego Jose/0000-0001-5122-5435; Lopez, Henrry/0000-0002-6482-2412; DIAZ ANAYA, ADRIANA MARIA/0000-0002-8192-6379; Bulla-Castaneda, Diana Maria/0000-0002-3740-9454</t>
  </si>
  <si>
    <t>2090-8113</t>
  </si>
  <si>
    <t>2042-0048</t>
  </si>
  <si>
    <t>VET MED INT</t>
  </si>
  <si>
    <t>Vet. Med. Int.</t>
  </si>
  <si>
    <t>JUL 16</t>
  </si>
  <si>
    <t>10.1155/2022/7436651</t>
  </si>
  <si>
    <t>Veterinary Sciences</t>
  </si>
  <si>
    <t>3H2ZL</t>
  </si>
  <si>
    <t>WOS:000831908400001</t>
  </si>
  <si>
    <t>Baron, MJS; Gomez, AL; Diaz, JEE</t>
  </si>
  <si>
    <t>Suarez Baron, Marco Javier; Lizeth Gomez, Angie; Espindola Diaz, Jorge Enrique</t>
  </si>
  <si>
    <t>Supervised Learning-Based Image Classification for the Detection of Late Blight in Potato Crops</t>
  </si>
  <si>
    <t>APPLIED SCIENCES-BASEL</t>
  </si>
  <si>
    <t>classification; image processing; mobile app; precision agriculture; supervised learning</t>
  </si>
  <si>
    <t>This article presents the application of supervised learning and image classification for the early detection of late blight disease in potato using convolutional neural network and support vector machine SVM. The study was realized in the Boyaca department, Colombia. An initial dataset is created with the acquisition of a large number of images directly from the crops. These images are pre-processed in order to extract the main characteristics of the late blight disease. A classification model is developed to identify the potato plants as healthy or infected. Several performance, efficiency, and quality metrics were applied in the learning and classification tasks to determine the best machine learning algorithms. Then, an additional data set was used for validation, image classification, and detection of late blight disease in potato crops in the department of Boyaca, Colombia. The results obtained in the AUC curve show that the CNN trained with the data set obtained an AUC equal to 0.97; and the analysis through SVM obtained an AUC equal to 0.87. Future work requires the development of a mobile application with advanced features as a technological tool for precision agriculture that supports farmers with increased agricultural productivity.</t>
  </si>
  <si>
    <t>[Suarez Baron, Marco Javier; Lizeth Gomez, Angie; Espindola Diaz, Jorge Enrique] Pedag &amp; Technol Univ Colombia, Dept Syst &amp; Comp, Sogamoso 150003, Colombia</t>
  </si>
  <si>
    <t>Baron, MJS (corresponding author), Pedag &amp; Technol Univ Colombia, Dept Syst &amp; Comp, Sogamoso 150003, Colombia.</t>
  </si>
  <si>
    <t>marco.suarez@uptc.edu.co</t>
  </si>
  <si>
    <t>SUAREZ BARON, MARCO JAVIER/0000-0003-1656-4452</t>
  </si>
  <si>
    <t>UPTC, Colombia [SGI Project] [3096]</t>
  </si>
  <si>
    <t>UPTC, Colombia [SGI Project]</t>
  </si>
  <si>
    <t>This study was supported by the UPTC, Colombia [SGI Project 3096].</t>
  </si>
  <si>
    <t>2076-3417</t>
  </si>
  <si>
    <t>APPL SCI-BASEL</t>
  </si>
  <si>
    <t>Appl. Sci.-Basel</t>
  </si>
  <si>
    <t>10.3390/app12189371</t>
  </si>
  <si>
    <t>Chemistry, Multidisciplinary; Engineering, Multidisciplinary; Materials Science, Multidisciplinary; Physics, Applied</t>
  </si>
  <si>
    <t>Chemistry; Engineering; Materials Science; Physics</t>
  </si>
  <si>
    <t>4S7EB</t>
  </si>
  <si>
    <t>WOS:000857598400001</t>
  </si>
  <si>
    <t>Mora, LYC; Tarazona, DYG; Quintero, MDB; Barrera, EJA; Ruiz, JSU; Moreno, DMA; Perez, ZZO</t>
  </si>
  <si>
    <t>Correa Mora, Lenny Yojana; Galvis Tarazona, Daicy Yaneth; Bohorquez Quintero, Maria de los Angeles; Araque Barrera, Eyda Johanna; Urquijo Ruiz, Johan Sebastian; Arias Moreno, Diana Marcela; Ojeda Perez, Zaida Zarely</t>
  </si>
  <si>
    <t>Impact of initial explants on in vitro propagation of native potato (Solanum tuberosum, Andigena group)</t>
  </si>
  <si>
    <t>PLANT CELL TISSUE AND ORGAN CULTURE</t>
  </si>
  <si>
    <t>Native potato; Micropropagation; Morphogenic potential; Germplasm conservation</t>
  </si>
  <si>
    <t>DIVERSITY; CULTURES</t>
  </si>
  <si>
    <t>Key message Distal segments of apical sprouts gave the best in vitro morphogenic responses for sixteen different Andean native potato genotypes. The high nutritional potential of native potatoes makes them an invaluable genetic resource for breeding. However, pathogens have caused both yield and industrial quality losses, and plant tissue culture is a promising alternative to obtain clean plant material. We compared distinct segments excised from apical and lateral sprouts taken from tubers as initial explants for in vitro culture of sixteen native potato genotypes. Thus, apical-distal (AD), mid-apical, lateral-distal, and mid-lateral segments were all grown on Murashige &amp; Skoog medium. These explants were aseptic, reactive, and viable for all genotypes (with a probability greater than 30%), yielding cumulative proliferation rates of up to 1:10 individualizable segments, and about 86% of in vitro plants with 2 to 11 roots of up to 117 mm long. Responses were genotype-dependent during all stages of cultivation, and the best responding genotypes were Maravillosa, Duraznillo and Pepina Rodeo. On the other hand, AD sprouts were the best sprout type and segment for in vitro establishment, regardless of genotype. This is the first study of its kind with such a large range of Andean potato genotypes and should contribute to their germplasm conservation and increased multiplication efficiency.</t>
  </si>
  <si>
    <t>[Correa Mora, Lenny Yojana; Galvis Tarazona, Daicy Yaneth; Bohorquez Quintero, Maria de los Angeles; Araque Barrera, Eyda Johanna; Arias Moreno, Diana Marcela; Ojeda Perez, Zaida Zarely] Univ Pedag &amp; Tecnol Colombia, Fac Ciencias, Grp Invest BIOPLASMA, Ave Cent Norte 39-115, Tunja, Boyaca, Colombia; [Correa Mora, Lenny Yojana] Univ Pedag &amp; Tecnol Colombia, Fac Ciencias, Ciencias Biol, Ave Cent Norte 39-115, Tunja, Boyaca, Colombia; [Urquijo Ruiz, Johan Sebastian] Univ Nacl Colombia, Fac Ciencias Agr, Geomat, Carrera 30 45-03,Bld 500, Bogota, DC, Colombia</t>
  </si>
  <si>
    <t>Universidad Pedagogica y Tecnologica de Colombia (UPTC); Universidad Pedagogica y Tecnologica de Colombia (UPTC); Universidad Nacional de Colombia</t>
  </si>
  <si>
    <t>Moreno, DMA (corresponding author), Univ Pedag &amp; Tecnol Colombia, Fac Ciencias, Grp Invest BIOPLASMA, Ave Cent Norte 39-115, Tunja, Boyaca, Colombia.</t>
  </si>
  <si>
    <t>Boyaca and Colombia Bio Program [794]; Young Researcher Program 2020 of the UPTC, convocation VIE [18]</t>
  </si>
  <si>
    <t>Boyaca and Colombia Bio Program; Young Researcher Program 2020 of the UPTC, convocation VIE</t>
  </si>
  <si>
    <t>The research leading to these results received funding from the Boyaca and Colombia Bio Program, convocation 794 of 2017 I+D projects for the technological development of a biological origin that contribute to the challenges of the Department of Boyaca-2017. Also, partial financial support was received from by Young Researcher Program 2020 of the UPTC, convocation VIE No. 18.</t>
  </si>
  <si>
    <t>DORDRECHT</t>
  </si>
  <si>
    <t>VAN GODEWIJCKSTRAAT 30, 3311 GZ DORDRECHT, NETHERLANDS</t>
  </si>
  <si>
    <t>0167-6857</t>
  </si>
  <si>
    <t>1573-5044</t>
  </si>
  <si>
    <t>PLANT CELL TISS ORG</t>
  </si>
  <si>
    <t>Plant Cell Tissue Organ Cult.</t>
  </si>
  <si>
    <t>10.1007/s11240-022-02317-1</t>
  </si>
  <si>
    <t>MAY 2022</t>
  </si>
  <si>
    <t>Biotechnology &amp; Applied Microbiology; Plant Sciences</t>
  </si>
  <si>
    <t>3S5XY</t>
  </si>
  <si>
    <t>Green Submitted</t>
  </si>
  <si>
    <t>WOS:000800833700001</t>
  </si>
  <si>
    <t>Acuna-Rodriguez, OY; Acuna-Rodriguez, BO; Albesiano-Fernandez, LE; Pinzon-Camargo, LC; Cobo-Mejia, EA</t>
  </si>
  <si>
    <t>Yanet Acuna-Rodriguez, Olga; Ofelia Acuna-Rodriguez, Blanca; Enrique Albesiano-Fernandez, Luis; Carolina Pinzon-Camargo, Libia; Andrea Cobo-Mejia, Elisa</t>
  </si>
  <si>
    <t>Identity and peasant family around cheese production in the municipality of Paipa (Colombia)</t>
  </si>
  <si>
    <t>MUNDO AGRARIO</t>
  </si>
  <si>
    <t>Spanish</t>
  </si>
  <si>
    <t>Identity; Peasant Families; Production; Market; Family Farming</t>
  </si>
  <si>
    <t>The text investigates the identity of peasant families in the rural area of the Municipality of Paipa (Colombia), who, in addition to producing cheese, develop other types of activities: livestock, agricultural, elaboration of doughs, cultivation of fruit trees. From his narratives and stories, scenarios are appreciated referring to the experience lived both in the territory, in his family environment, in the products, in the market and in his habitat. The identity process was analyzed from two perspectives: the peasant family as a tradition and agricultural activity as a way of life and sustenance. The family is the first structure of socialization and constitutes the primary group where the individual interacts from birth; in this context he acquires experiences and values that are important for life. Agricultural activities, in addition to being a learning, provide sustenance to the peasant family and develop values of solidarity, acquire knowledge related to agricultural and livestock production and its relationship with the market, as survival practices.</t>
  </si>
  <si>
    <t>[Yanet Acuna-Rodriguez, Olga; Ofelia Acuna-Rodriguez, Blanca; Carolina Pinzon-Camargo, Libia] Univ Pedag &amp; Tecnol Colombia UPTC, Tunja, Colombia; [Enrique Albesiano-Fernandez, Luis; Andrea Cobo-Mejia, Elisa] Univ Boyaca, Boyaca, Colombia</t>
  </si>
  <si>
    <t>Acuna-Rodriguez, OY (corresponding author), Univ Pedag &amp; Tecnol Colombia UPTC, Tunja, Colombia.</t>
  </si>
  <si>
    <t>olga.acuna@uptc.edu.co; blanca.acuna@uptc.edu.co; lealbesiano@uniboyaca.edu.co; libia.pinzon@uptc.edu.co; eacobo@uniboyaca.edu.com</t>
  </si>
  <si>
    <t>UNIV NACL LA PLATA, FAC HUMANIDADES &amp; CIENCIAS EDUCACION</t>
  </si>
  <si>
    <t>BUENOS AIRES</t>
  </si>
  <si>
    <t>CALLE 48 ENTRE 6 &amp; 7, 1ER SUBSUELO, L APLATA, BUENOS AIRES, 1900, ARGENTINA</t>
  </si>
  <si>
    <t>1515-5994</t>
  </si>
  <si>
    <t>MUNDO AGRAR</t>
  </si>
  <si>
    <t>MUNDO AGRAR.</t>
  </si>
  <si>
    <t>DEC-MAR</t>
  </si>
  <si>
    <t>e177</t>
  </si>
  <si>
    <t>10.24215/15155994e177</t>
  </si>
  <si>
    <t>Sociology</t>
  </si>
  <si>
    <t>1K7AV</t>
  </si>
  <si>
    <t>WOS:000798750000005</t>
  </si>
  <si>
    <t>Garzon-Ospina, D; Buitrago, SP</t>
  </si>
  <si>
    <t>Garzon-Ospina, Diego; Buitrago, Sindy P.</t>
  </si>
  <si>
    <t>Immunoglobulin heavy constant gamma gene evolution is modulated by both the divergent and birth-and-death evolutionary models</t>
  </si>
  <si>
    <t>PRIMATES</t>
  </si>
  <si>
    <t>IgG; IGHG; Primates; Multigene family; Birth-death evolutionary model; Divergent evolutionary model</t>
  </si>
  <si>
    <t>IGG SUBCLASSES; NONHUMAN-PRIMATES; SELECTION; DUPLICATION; ANTIBODY; FAMILY; RECOMBINATION; SIMULATION; ALIGNMENT; ACCURACY</t>
  </si>
  <si>
    <t>Immunoglobulin G (IgG) is one of the five antibody classes produced in mammals as part of the humoral responses accountable for protecting the organisms from infection. Its antibody heavy chain constant region is encoded by the Ig heavy-chain gamma gene (IGHG). In humans, there are four IGHG genes which encode the four subclasses, each with a specialized effector function. Although four subclasses of IgG proteins have also been reported in macaques, this does not appear to be the rule for all primates. In Platyrrhini, IgG has been stated to be encoded by a single-copy gene. To date, it remains unknown how the IGHG has expanded or contracted in the primate order; consequently, we have analyzed data from 38 primate genome sequences to identify IGHG genes and describe the evolution of IGHG genes in primate order. IGHG belongs to a multigene family that evolves by the birth-death evolutionary model in primates. Whereas Strepsirrhini and Platyrrhini have a single-copy gene, in Catarrhini, it has expanded to several paralogs in their genomes; some deleted and others pseudogenized. Furthermore, episodic positive selection may have promoted a species-specific IgG effector function. We propose that IgG evolved to reach an optimal number of copies per genome to adapt their humoral immune responses to different environmental conditions. This study has implications for biomedical trials using non-human primates.</t>
  </si>
  <si>
    <t>[Garzon-Ospina, Diego; Buitrago, Sindy P.] Fdn Scient, PGAME Populat Genet &amp; Mol Evolut, Tunja, Boyaca, Colombia; [Garzon-Ospina, Diego; Buitrago, Sindy P.] Univ Pedag &amp; Tecnol Colombia UPTC, Sch Biol Sci, GEBIMOL, Tunja, Boyaca, Colombia; [Garzon-Ospina, Diego; Buitrago, Sindy P.] Univ Pedag &amp; Tecnol Colombia UPTC, Sch Biol Sci, GEO, Tunja, Boyaca, Colombia</t>
  </si>
  <si>
    <t>Garzon-Ospina, D; Buitrago, SP (corresponding author), Fdn Scient, PGAME Populat Genet &amp; Mol Evolut, Tunja, Boyaca, Colombia.;Garzon-Ospina, D; Buitrago, SP (corresponding author), Univ Pedag &amp; Tecnol Colombia UPTC, Sch Biol Sci, GEBIMOL, Tunja, Boyaca, Colombia.;Garzon-Ospina, D; Buitrago, SP (corresponding author), Univ Pedag &amp; Tecnol Colombia UPTC, Sch Biol Sci, GEO, Tunja, Boyaca, Colombia.</t>
  </si>
  <si>
    <t>degarzon@gmail.com; biopao.k18@gmail.com</t>
  </si>
  <si>
    <t>Garzon-Ospina, Diego/L-8585-2016</t>
  </si>
  <si>
    <t>Garzon-Ospina, Diego/0000-0003-3829-6719</t>
  </si>
  <si>
    <t>Fundacion para la Promocion de la Investigacion y la Tecnologia [202111]</t>
  </si>
  <si>
    <t>Fundacion para la Promocion de la Investigacion y la Tecnologia</t>
  </si>
  <si>
    <t>This work was supported by the Fundacion para la Promocion de la Investigacion y la Tecnologia [cooperation agreement #202111, 2021].</t>
  </si>
  <si>
    <t>SPRINGER JAPAN KK</t>
  </si>
  <si>
    <t>TOKYO</t>
  </si>
  <si>
    <t>SHIROYAMA TRUST TOWER 5F, 4-3-1 TORANOMON, MINATO-KU, TOKYO, 105-6005, JAPAN</t>
  </si>
  <si>
    <t>0032-8332</t>
  </si>
  <si>
    <t>1610-7365</t>
  </si>
  <si>
    <t>Primates</t>
  </si>
  <si>
    <t>10.1007/s10329-022-01019-8</t>
  </si>
  <si>
    <t>Zoology</t>
  </si>
  <si>
    <t>6H0IU</t>
  </si>
  <si>
    <t>WOS:000854422800001</t>
  </si>
  <si>
    <t>Morillo-Coronado, AC; Martinez-Anzola, HG; Velandia-Diaz, JD; Morillo-Coronado, Y</t>
  </si>
  <si>
    <t>Cruz Morillo-Coronado, Ana; Giovanni Martinez-Anzola, Herlyn; David Velandia-Diaz, Julian; Morillo-Coronado, Yacenia</t>
  </si>
  <si>
    <t>Effects of static magnetic fields on onion (Allium cepa L.) seed germination and early seedling growth</t>
  </si>
  <si>
    <t>REVISTA DE CIENCIAS AGRICOLAS</t>
  </si>
  <si>
    <t>Development; exposure time; intensity; liliaceae; vigor</t>
  </si>
  <si>
    <t>PRETREATMENT; PARAMETERS; STRESS</t>
  </si>
  <si>
    <t>In vegetables of economic importance such as onion, one of the main limitations in their production is that their seeds have a relatively short storage life, so their viability decreases rapidly. Research has been carried out on onions to improve seed germination and to extend its use for sowing. The magnetic field is considered a simple, inexpensive, and non-invasive physical method to stimulate the germination process, compared to traditional chemical methods. In this sense the objective of this research were to evaluate the effects of static magnetic fields on Yellow Granex PRR hybrid onion (Allium cepa L.) seed germination, and early growth in the laboratory conditions. Seeds were exposed to 10 and 21mT, (mT=militesla), static magnetic fields induced by magnets for 0.5, 3, 6, 12 and 24h; each treatment had four repetitions. The results showed that the low intensity stationary magnetic fields (10 and 21mT) did not cause significant differences in germination, dry weight, or fresh weight, but for the seedling length. It is necessary to increase the intensity of the magnetic fields and the exposure time to achieve important physiological changes that positively affect the germination and growth of onion seeds, and thus contribute to the improvement of their yield and productivity. The use of physical methods such as magnetism can stimulate different physiological processes in plants and thus contribute to the improvement of characteristics of agronomic interest.</t>
  </si>
  <si>
    <t>[Cruz Morillo-Coronado, Ana] Univ Pedag &amp; Tecnol Colombia UPTC, Tunja, Colombia; [Giovanni Martinez-Anzola, Herlyn; David Velandia-Diaz, Julian] Univ Pedag &amp; Tecnol Colombia, Tunja, Colombia; [Morillo-Coronado, Yacenia] Corp Colombiana Invest AGROSAVIA, Palmira, Colombia</t>
  </si>
  <si>
    <t>Morillo-Coronado, AC (corresponding author), Univ Pedag &amp; Tecnol Colombia UPTC, Tunja, Colombia.</t>
  </si>
  <si>
    <t>ana.morillo@uptc.edu.co; giovannimartinezing@gmail.com; julian.velandia@uptc.edu.co; ymorillo@agrosavia.co</t>
  </si>
  <si>
    <t>Morillo Coronado, Ana Cruz/0000-0003-3125-0697</t>
  </si>
  <si>
    <t>UNIV NARINO</t>
  </si>
  <si>
    <t>NARINO</t>
  </si>
  <si>
    <t>CIUDD UNIV TOROBAJO, CALLE 18 CR 50, SAN JUAN PASTO, NARINO, 00000, COLOMBIA</t>
  </si>
  <si>
    <t>0120-0135</t>
  </si>
  <si>
    <t>2256-2273</t>
  </si>
  <si>
    <t>REV CIENC AGRIC</t>
  </si>
  <si>
    <t>Rev. Cienc. Agric.</t>
  </si>
  <si>
    <t>JAN-JUN</t>
  </si>
  <si>
    <t>10.22267/rcia.223901.169</t>
  </si>
  <si>
    <t>4Y1XF</t>
  </si>
  <si>
    <t>WOS:000861324500003</t>
  </si>
  <si>
    <t>Parra-Montano, JD; Mateus-Rincon, KC; Aranguren-Borras, JV; Medrano-Robayo, M; Figueredo-Lopez, A; Gonzalez-Amaya, LM; Vega-Valderrama, JD; Gonzalez-Bautista, LF; Becerra-Embus, AL; Aponte-Rubio, Y; Alfonso-Gonzalez, H; Buitrago, SP; Garzon-Ospina, D</t>
  </si>
  <si>
    <t>Parra-Montano, Jehymin D.; Mateus-Rincon, Kimberly C.; Aranguren-Borras, Juliana, V; Medrano-Robayo, Mary; Figueredo-Lopez, Alejandro; Gonzalez-Amaya, Laura M.; Vega-Valderrama, Juan D.; Gonzalez-Bautista, Luisa F.; Becerra-Embus, Andrea L.; Aponte-Rubio, Yury; Alfonso-Gonzalez, Heliairis; Buitrago, Sindy P.; Garzon-Ospina, Diego</t>
  </si>
  <si>
    <t>IgG subclasses in New World Monkeys: an issue for debate?</t>
  </si>
  <si>
    <t>IMMUNOGENETICS</t>
  </si>
  <si>
    <t>Immunoglobulin G; New world monkeys; IGHG; IgG subclasses</t>
  </si>
  <si>
    <t>EVOLUTION; GENES</t>
  </si>
  <si>
    <t>Immunoglobulin G (IgG) is an essential antibody in adaptive immunity; a differential expansion of the gene encoding the Fc region (IGHG) of this antibody has been observed in mammals. Like humans, animal biomedical models, such as mice and macaques, have four functional genes encoding 4 IgG subclasses; however, the data for New World monkeys (NWM) seems contentious. Some publications argue for the existence of a single-copy gene for IgG Fc; however, a recent paper has suggested the presence of IgG subclasses in some NWM species. Here, we evaluated the genetic distances and phylogenetic relationships in NWM to assess the presence of IgG subclasses using the sequences of IGHG genes from 13 NWM species recovered from genomic data and lab PCR and cloning-based procedures available in GenBank. The results show that several sequences do not cluster into the expected taxon, probably due to cross-contamination during laboratory procedures, and consequently, they appear to be wrongly assigned. Additionally, several sequences reported as subclasses were shown to be 100% identical in the CH domains. The data presented here suggests that there is not enough evidence to establish the presence of IgG subclasses in NWM.</t>
  </si>
  <si>
    <t>[Parra-Montano, Jehymin D.; Mateus-Rincon, Kimberly C.; Aranguren-Borras, Juliana, V; Medrano-Robayo, Mary; Figueredo-Lopez, Alejandro; Gonzalez-Amaya, Laura M.; Vega-Valderrama, Juan D.; Gonzalez-Bautista, Luisa F.; Becerra-Embus, Andrea L.; Aponte-Rubio, Yury; Alfonso-Gonzalez, Heliairis] Univ Pedag &amp; Tecnol Colombia UPTC, Sch Biol Sci, Biol Program, Lab Genet Course 1, Tunja, Boyaca, Colombia; [Buitrago, Sindy P.; Garzon-Ospina, Diego] Fdn Scient, PGAME Populat Genet &amp; Mol Evolut, Tunja, Boyaca, Colombia; [Buitrago, Sindy P.; Garzon-Ospina, Diego] Univ Pedag &amp; Tecnol Colombia UPTC, Sch Biol Sci, GEBIMOL, Tunja, Boyaca, Colombia; [Buitrago, Sindy P.; Garzon-Ospina, Diego] Univ Pedag &amp; Tecnol Colombia UPTC, Sch Biol Sci, GEO, Tunja, Boyaca, Colombia</t>
  </si>
  <si>
    <t>Garzon-Ospina, D (corresponding author), Fdn Scient, PGAME Populat Genet &amp; Mol Evolut, Tunja, Boyaca, Colombia.;Garzon-Ospina, D (corresponding author), Univ Pedag &amp; Tecnol Colombia UPTC, Sch Biol Sci, GEBIMOL, Tunja, Boyaca, Colombia.;Garzon-Ospina, D (corresponding author), Univ Pedag &amp; Tecnol Colombia UPTC, Sch Biol Sci, GEO, Tunja, Boyaca, Colombia.</t>
  </si>
  <si>
    <t>JehyminParraaus@gmail.com; kimberlycamateus@gmail.com; juliw62001@gmail.com; alejitamar2421@gmail.com; alejandrohide@gmail.com; milenagonzalez595@gmail.com; JuanD.VValderrama@gmail.com; luisa.gb1002@gmail.com; lisethbe07@gmail.com; yumyaru5@gmail.com; 0721heli@gmail.com; biopao.k18@gmail.com; degarzon@gmail.com</t>
  </si>
  <si>
    <t>Garzón-Ospina, Diego/AFS-7704-2022; Garzon-Ospina, Diego/L-8585-2016</t>
  </si>
  <si>
    <t>0093-7711</t>
  </si>
  <si>
    <t>1432-1211</t>
  </si>
  <si>
    <t>Immunogenetics</t>
  </si>
  <si>
    <t>OCT</t>
  </si>
  <si>
    <t>10.1007/s00251-022-01266-5</t>
  </si>
  <si>
    <t>Genetics &amp; Heredity; Immunology</t>
  </si>
  <si>
    <t>4M0VS</t>
  </si>
  <si>
    <t>WOS:000805543500001</t>
  </si>
  <si>
    <t>Salamanca, AMM; Alvarado-Garcia, AM</t>
  </si>
  <si>
    <t>Salamanca, Ana Maria Murillo; Alvarado-Garcia, Alejandra Maria</t>
  </si>
  <si>
    <t>Use of information and communication technologies to promote self-management of diabetic foot ulcers</t>
  </si>
  <si>
    <t>REVISTA CUIDARTE</t>
  </si>
  <si>
    <t>Diabetes Mellitus; Diabetic Foot; Health Promotion; Educational Intervention; Nursing Theory; Information Technology</t>
  </si>
  <si>
    <t>PROGRAM; SUPPORT; ADULTS</t>
  </si>
  <si>
    <t>Introduction: Using information and communication technologies in nursing educational interventions facilitates self-management processes to adapt to chronic health conditions. Objective: To evaluate the effect of a nursing educational intervention to promote self-management and prevent diabetic foot ulcers in Colombian adults with type 2 diabetes mellitus through information and communication technologies. Materials and Methods: A quasi-experimental, pre-and post-intervention study was conducted with 82 adults attending the chronic patient consultation of a second-level hospital in the department of Boyaca, Colombia. Participants were randomly allocated to the experimental and comparison groups. Results:There were no significant differences between the experimental and the comparison groups in terms of preintervention self-management scores. However, the experimental group's mean self-management score was significantly higher than the control group's six weeks after the intervention (p &lt; 0.005); the primary outcome was self-management behaviors from foot care. Nonparametric Wilcoxon and Mann Whitney tests were used. Discussion: nursing interventions should be supported by theoretical approaches specific to the discipline, which allow visualizing specific results, in this case self-management, which requires strategies such as knowledge, skills and social support that will support adaptation to situations of chronic illness. Conclusions: The educational intervention based on the use of information and communication technologies improved self-management for preventing diabetic foot injuries, achieving a change in people's behavior.</t>
  </si>
  <si>
    <t>[Salamanca, Ana Maria Murillo] Univ Pedag &amp; Tecnol Colombia UPTC, Tunja, Colombia; [Alvarado-Garcia, Alejandra Maria] Univ Antioquia Medellin, Univ Antonio Narino, Medellin, Colombia</t>
  </si>
  <si>
    <t>Universidad Pedagogica y Tecnologica de Colombia (UPTC); Universidad Antonio Narino; Universidad de Antioquia</t>
  </si>
  <si>
    <t>Salamanca, AMM (corresponding author), Univ Pedag &amp; Tecnol Colombia UPTC, Tunja, Colombia.</t>
  </si>
  <si>
    <t>anmarmur@hotmail.com; alalvarado@uan.edu.co</t>
  </si>
  <si>
    <t>UNIV SANTANDER</t>
  </si>
  <si>
    <t>BUCARAMANGA</t>
  </si>
  <si>
    <t>CALLE 70 NO 55-210, CAMPUS LAGOS CACIQUE, BUCARAMANGA, 680001, COLOMBIA</t>
  </si>
  <si>
    <t>2216-0973</t>
  </si>
  <si>
    <t>2346-3414</t>
  </si>
  <si>
    <t>REV CUID</t>
  </si>
  <si>
    <t>Rev. Cuid.</t>
  </si>
  <si>
    <t>MAY-AUG</t>
  </si>
  <si>
    <t>e2254</t>
  </si>
  <si>
    <t>10.15649/cuidarte.2254</t>
  </si>
  <si>
    <t>Nursing</t>
  </si>
  <si>
    <t>5A6ES</t>
  </si>
  <si>
    <t>WOS:000862979100004</t>
  </si>
  <si>
    <t>Sarmiento-Garavito, LP; Garcia-Monroy, JS; Carvajal-Cogollo, JE</t>
  </si>
  <si>
    <t>Sarmiento-Garavito, Lina P.; Garcia-Monroy, Juan S.; Carvajal-Cogollo, Juan E.</t>
  </si>
  <si>
    <t>Taxonomic and functional diversity of birds in a rural landscape of high Andean forest, Colombia</t>
  </si>
  <si>
    <t>NEOTROPICAL BIOLOGY AND CONSERVATION</t>
  </si>
  <si>
    <t>Colombian Andes; countryside; functional traits; species composition; species richness; transformed&amp;nbsp; landscape</t>
  </si>
  <si>
    <t>We evaluated the taxonomic and functional diversity of birds in a rural landscape in the north-eastern Andes of Colombia. We carried out seven field trips and used transects of 300 m, separated from each other by 500 m in the dominant plant cover of the rural landscape. We measured alpha (alpha) and beta (beta) diversity at both the taxonomic and functional levels. We registered 10 orders, 21 families, 56 genera and 63 species of birds. In wooded pasture, we recorded 55 species and a relative abundance of 66% and 44 and 34% for an Andean forest fragment. The species that contributed the most to the dissimilarity between the covers were Zonotrichia capensis, Turdus fuscater, Mecocerculus leucophrys, Atlapetes latinuchus and Crotophaga ani. We identified nine functional types, where G1 was made up of small species with anissodactyl and pamprodactyl legs that were insectivorous, frugivorous and nectarivorous as the best represented. The FEve and FDiv were 0.51 and 0.74, respectively in the Andean forest fragment plant cover and, for the wooded pasture, the FEve was 0.45 and the FDiv was 0.81. Both cover types contributed to the diversity of the rural landscape and the dynamics that existed between them formed a complementary factor that favoured the taxonomic and functional richness of the characterised rural landscape.</t>
  </si>
  <si>
    <t>[Sarmiento-Garavito, Lina P.; Garcia-Monroy, Juan S.; Carvajal-Cogollo, Juan E.] Univ Pedag &amp; Tecnol Colombia, Fac Ciencias, Grp Invest Biodiversidad &amp; Conservac, Museo Hist Nat Luis Gonzalo Andrade Nat, Ave Cent Norte 39-115, Tunja 150003, Boyaca, Colombia</t>
  </si>
  <si>
    <t>Carvajal-Cogollo, JE (corresponding author), Univ Pedag &amp; Tecnol Colombia, Fac Ciencias, Grp Invest Biodiversidad &amp; Conservac, Museo Hist Nat Luis Gonzalo Andrade Nat, Ave Cent Norte 39-115, Tunja 150003, Boyaca, Colombia.</t>
  </si>
  <si>
    <t>juancarvajalc@gmail.com</t>
  </si>
  <si>
    <t>Natural Reserve of the Civil Society Rogitama Biodiversidad; Project The biodiversity of Boyaca: Complementation and synthesis through altitudinal gradients and implementa-tions of its incorporation in projects of social appropriation of knowledge and the effects of climate change, Boyaca [BPIN 2020000100003]</t>
  </si>
  <si>
    <t>Natural Reserve of the Civil Society Rogitama Biodiversidad; Project The biodiversity of Boyaca: Complementation and synthesis through altitudinal gradients and implementa-tions of its incorporation in projects of social appropriation of knowledge and the effects of climate change, Boyaca</t>
  </si>
  <si>
    <t>Roberto Chavarro Chavarro, owner of the Natural Reserve of the Civil Society Rogitama Biodiversidad, partially financed this research and provided logistical support for the mobilisation between the different sampling coverages. The Biodi-versity and Conservation research group of the Pedagogical and Technological Uni-versity of Colombia provided tutorials for the statistical analyses of this research. This article is published as a product of the Project The biodiversity of Boyaca: Complementation and synthesis through altitudinal gradients and implementa-tions of its incorporation in projects of social appropriation of knowledge and the effects of climate change, Boyaca BPIN 2020000100003.</t>
  </si>
  <si>
    <t>PENSOFT PUBLISHERS</t>
  </si>
  <si>
    <t>SOFIA</t>
  </si>
  <si>
    <t>12 PROF GEORGI ZLATARSKI ST, SOFIA, 1700, BULGARIA</t>
  </si>
  <si>
    <t>2236-3777</t>
  </si>
  <si>
    <t>NEOTROP BIOL CONSERV</t>
  </si>
  <si>
    <t>Neotrop. Biol. Conserv.</t>
  </si>
  <si>
    <t>10.3897/neotropical.17.e66096</t>
  </si>
  <si>
    <t>Biodiversity Conservation; Biology; Ecology; Zoology</t>
  </si>
  <si>
    <t>Biodiversity &amp; Conservation; Life Sciences &amp; Biomedicine - Other Topics; Environmental Sciences &amp; Ecology; Zoology</t>
  </si>
  <si>
    <t>0A6BP</t>
  </si>
  <si>
    <t>WOS:000774037900001</t>
  </si>
  <si>
    <t>Enciso, AFO</t>
  </si>
  <si>
    <t>Ospina Enciso, Andres Felipe</t>
  </si>
  <si>
    <t>The true spirit and the false enemy. Evangelical and indigenous religious beliefs and ethnic recomposition in Nasa Wesx, south of Tolima</t>
  </si>
  <si>
    <t>REVISTA COLOMBIANA DE SOCIOLOGIA</t>
  </si>
  <si>
    <t>armed conflict; Christian and Missionary Alliance; indigenous spirituality; Nasa people; religiosity; southern Tolima</t>
  </si>
  <si>
    <t>This article aims to give an account, from an anthropological perspective, of the interaction process between the Protestant evangelical creed and the indigenous spiritual tradition of the Nasa Wesx people of Gaitania, in southern Tolima. These belief practices take shape in a region colonized by peasants, indigenous people, institutions, armed groups, and religious communities. These actors have mediated between the armed conflict, divergent political positions and the sense of faith, elements that influence the conformation of an ambivalent collective character, the development of territorial tensions, and also agreements and consensus between the indigenous community that coalesces in their social formation diverse religious motives in commonly accepted forms of belief. The ritual and cult actions of the evangelical creed, in an atmosphere of religious congregation, spirituality and ethnic tradition, produce social and territorial appropriations, as well as balances and exchanges that consecrate spaces of otherness. The article focuses on the role played by the Alianza Cristiana y Misionera de Colombia, an evangelical congregation that has had a long activity in this region, and has developed processes of mission, preaching, but also participation and advocacy in social organization and Nasa Wesx community policy. This does not mean that the indigenous community as a whole bow to the doctrine and provisions of the Church. It suggests more that the practices of faith and worship are incorporated into the ways of interacting with the conflict, generating the processes of colonization and social organization in the region. The research was developed as an ethnographic fieldwork that, through informal dialogues in the situated experience, accounts for the point of view of the actors of these creeds promoting a qualitative analysis around how to believe in a disputed region in politics and religion.</t>
  </si>
  <si>
    <t>[Ospina Enciso, Andres Felipe] Univ Pedag &amp; Tecnol Colombia, Escuela Ciencias Sociales, Tunja, Colombia</t>
  </si>
  <si>
    <t>Enciso, AFO (corresponding author), Univ Pedag &amp; Tecnol Colombia, Escuela Ciencias Sociales, Tunja, Colombia.</t>
  </si>
  <si>
    <t>andres.ospina02@uptc.edu.co</t>
  </si>
  <si>
    <t>UNIV NACL COLOMBIA, DEPT SOCIOLOGIA</t>
  </si>
  <si>
    <t>CIUDAD UNIV, BOGOTA, 00000, COLOMBIA</t>
  </si>
  <si>
    <t>0120-159X</t>
  </si>
  <si>
    <t>2256-5485</t>
  </si>
  <si>
    <t>REV COLOMB SOCIOL</t>
  </si>
  <si>
    <t>Rev. Colomb. Sociol.</t>
  </si>
  <si>
    <t>10.15446/rcs.v45n1.90229</t>
  </si>
  <si>
    <t>YL1KU</t>
  </si>
  <si>
    <t>WOS:000745658900010</t>
  </si>
  <si>
    <t>Balbuena, DH</t>
  </si>
  <si>
    <t>Balbuena, David Hernando</t>
  </si>
  <si>
    <t>Aambiguous love</t>
  </si>
  <si>
    <t>CUESTIONES DE FILOSOFIA</t>
  </si>
  <si>
    <t>Book Review</t>
  </si>
  <si>
    <t>[Balbuena, David Hernando] Univ Pedag Tecnol Colombia, Tunja, Colombia</t>
  </si>
  <si>
    <t>Balbuena, DH (corresponding author), Univ Pedag Tecnol Colombia, Tunja, Colombia.</t>
  </si>
  <si>
    <t>david.balbuena@uptc.edu.co</t>
  </si>
  <si>
    <t>UNIV PEDAGOGICA &amp; TECNOLOGICA COLOMBIA</t>
  </si>
  <si>
    <t>TUNJA</t>
  </si>
  <si>
    <t>AVE CENTRAL NORTE, KM 3 VIA PAIPA, TUNJA, BOYACA 00000, COLOMBIA</t>
  </si>
  <si>
    <t>0123-5095</t>
  </si>
  <si>
    <t>2389-9441</t>
  </si>
  <si>
    <t>CUEST FILOS</t>
  </si>
  <si>
    <t>Cuest. Filos.</t>
  </si>
  <si>
    <t>JUL-DEC</t>
  </si>
  <si>
    <t>10.19053/01235095.v8.n31.2022.15299</t>
  </si>
  <si>
    <t>Philosophy</t>
  </si>
  <si>
    <t>7K5NL</t>
  </si>
  <si>
    <t>WOS:000905329300001</t>
  </si>
  <si>
    <t>Gonzalez, SPE; Gonzalez, MCL</t>
  </si>
  <si>
    <t>Gonzalez, Sandra Paola Espinel; Gonzalez, Myriam Cecilia Leguizamon</t>
  </si>
  <si>
    <t>Internet Addiction in COVID-19 times. Prevention program</t>
  </si>
  <si>
    <t>REVISTA VIRTUAL UNIVERSIDAD CATOLICA DEL NORTE</t>
  </si>
  <si>
    <t>Internet Addiction (IA); Prevention; Prevention program</t>
  </si>
  <si>
    <t>The research arises from the emerging concern about the excessive use of the internet in pandemic ' s time and the harmful effects that may appear. This is how, under the methodological design of action research, the construction of an implementation plan of a primary prevention program, of Internet Addiction, is proposed, oriented to parents and teachers, from which habits and behaviors of responsible and healthy use of the Internet are promoted, in family and educational environments. The results are presented in four research cycles, where the instruments used with their respective design, application and analysis are recognized. It is highlighted that the data was collected virtually during the pandemic, using the Young test, from a group of people who voluntarily accepted the invitation, from which the sample was determined. It is concluded that there is concern about the consequences of hyperconnectivity that increased in pandemic ' s time. In this sense, the proposal contributes to work through information, awareness and training tools, in the teaching and promotion of responsible and positive behaviors around the use of technology as expressed by the participants who validated the program.</t>
  </si>
  <si>
    <t>[Gonzalez, Sandra Paola Espinel] Univ Pedag &amp; Tecnol Colombia, Fac Ciencias Educ, Aprendizaje med TIC, Tunja, Colombia; [Gonzalez, Myriam Cecilia Leguizamon] Univ Pedag &amp; Tecnol Colombia, Fac Ciencias Educ, Aplicadas &amp; Educ TIC, Tunja, Colombia</t>
  </si>
  <si>
    <t>Gonzalez, SPE (corresponding author), Univ Pedag &amp; Tecnol Colombia, Fac Ciencias Educ, Aprendizaje med TIC, Tunja, Colombia.</t>
  </si>
  <si>
    <t>sandra.espinel@uptc.edu.co; myriam.leguizamon@uptc.edu.co</t>
  </si>
  <si>
    <t>FUNDACION UNIV CATOLICA NORTE</t>
  </si>
  <si>
    <t>CAMPUS SANTA ROSA DE OSOS, CARRERA 21 NO 34B-07, MEDELLIN, 00000, COLOMBIA</t>
  </si>
  <si>
    <t>0124-5821</t>
  </si>
  <si>
    <t>2389-7333</t>
  </si>
  <si>
    <t>REV VIRTUAL UNIV CAT</t>
  </si>
  <si>
    <t>Rev. Virtual Univ. Catol. Norte</t>
  </si>
  <si>
    <t>SEP-DEC</t>
  </si>
  <si>
    <t>10.35575/rvucn.n67a8</t>
  </si>
  <si>
    <t>Social Sciences, Interdisciplinary</t>
  </si>
  <si>
    <t>Social Sciences - Other Topics</t>
  </si>
  <si>
    <t>5K1SR</t>
  </si>
  <si>
    <t>WOS:000869513300008</t>
  </si>
  <si>
    <t>Gonzalez-Gamboa, I; Gonzalez-Ruiz, YD; Herrera-Martinez, Y</t>
  </si>
  <si>
    <t>Gonzalez-Gamboa, Isabella; de los Angeles Gonzalez-Ruiz, Yesid; Herrera-Martinez, Yimy</t>
  </si>
  <si>
    <t>First report of Ramphocorixa rontundocephala as a Red swamp crayfish (Procambarus clarkii)epibiont in Colombia</t>
  </si>
  <si>
    <t>ECOSISTEMAS</t>
  </si>
  <si>
    <t>Colombia; Hemiptera; lake; Neotropics; South America</t>
  </si>
  <si>
    <t>PROCAMBARUS-CLARKII GIRARD; WATER BUG; INVASION</t>
  </si>
  <si>
    <t>The aim of this study was to describe an epibiont whose eggs were found on red swamp crayfish (Procambarus clarkii), the egg density and the physicochemical characteristics of the water body where it was found. For this, individuals of P clarkii were captured in Lake Guitoque (Colombia), biometric measurements were taken, the number of epibionts adhered to the carapace were counted. In addition, samples of benthos were taken to the taxonomic determinations of the adults of the hemipterans present in the lake. As a result, the epibiont species was found to be Ramphocorixa rotundocephala of the Corixidae family. On average, the corixids deposited 1007 eggs scattered throughout the body of the red swamp crayfish. The cephalothorax had the highest number of adherent organisms, approximately 70.5% of the total, while the rest was distributed in the abdomen, the telson and the uropods. Crayfish less than 3 cm in length did not have epibionts. This is the first report not only of the presence of epibiont hemipterans on P. clarkii in Colombia and, apparently, in South America; but also, of R. rotundocephala as an epibiont of P. clarkii. This shows that the genus Ramphocorixa is capable of ovipositing on the cuticle of the red crayfish. Research suggests that R. rotundocephala could expand its range in Colombia using the red crayfish as a dispersal vehicle.</t>
  </si>
  <si>
    <t>[Gonzalez-Gamboa, Isabella; de los Angeles Gonzalez-Ruiz, Yesid; Herrera-Martinez, Yimy] Univ Pedag &amp; Tecnol Colombia, Escuela Biol, Grp Invest Manejo Integrado Ecosistemas &amp; Biodive, Ave Cent Norte 39-115, Tunja 150003, Boyaca, Colombia; [de los Angeles Gonzalez-Ruiz, Yesid] Univ Pedag &amp; Tecnol Colombia, Fac Ciencias Agr, Desarrollo Rural, Ave Cent Norte 39-115, Tunja 150003, Boyaca, Colombia</t>
  </si>
  <si>
    <t>Gonzalez-Gamboa, I (corresponding author), Univ Pedag &amp; Tecnol Colombia, Escuela Biol, Grp Invest Manejo Integrado Ecosistemas &amp; Biodive, Ave Cent Norte 39-115, Tunja 150003, Boyaca, Colombia.</t>
  </si>
  <si>
    <t>isabella.gonzalez@uptc.edu.co</t>
  </si>
  <si>
    <t>ASOCIACION ESPANOLA ECOLOGIA TERRESTRE</t>
  </si>
  <si>
    <t>MOSTOLES</t>
  </si>
  <si>
    <t>C/ TULIPSAN S-N, DEPT BIOLOGIA &amp; GEOLOGIA, UNIV REY JUAN CARLOS, MOSTOLES, 28933, SPAIN</t>
  </si>
  <si>
    <t>1697-2473</t>
  </si>
  <si>
    <t>Ecosistemas</t>
  </si>
  <si>
    <t>10.7818/ECOS.2280</t>
  </si>
  <si>
    <t>Ecology</t>
  </si>
  <si>
    <t>Environmental Sciences &amp; Ecology</t>
  </si>
  <si>
    <t>3F8DE</t>
  </si>
  <si>
    <t>WOS:000830892100006</t>
  </si>
  <si>
    <t>Hozman-Mora, J</t>
  </si>
  <si>
    <t>Hozman-Mora, Julian</t>
  </si>
  <si>
    <t>The Useful Female Presence: Political Participation of Literate Women from the Department of Oriente, State of Boyaca during the Second Half of the 19th Century</t>
  </si>
  <si>
    <t>HISTORELO-REVISTA DE HISTORIA REGIONAL Y LOCAL</t>
  </si>
  <si>
    <t>literate women; politics; networks of power; republicanism; State of Boyaca</t>
  </si>
  <si>
    <t>Between 1857 and 1886, the southeastern part of the State of Boyaca was officially nominated as the Department of Oriente, where a provincial elite notablato (group of notable owners holding public offices) operated politically, which was comprised of, in addition to lawyers and rabulas (a sort of pettifogger), literate women who participated in the politics of their community; a female activity that was questioned by conservative sectors of the territory. This argumentative exercise sought to bring this female participation to light and showed the autonomous political exercise of these literate women, who were not subject to the male will. This was possible through the tracing and interpretation of personal correspondence as the main source, addressing the political activity of some women in that territory, approaching their dynamics, languages and relationships. It was concluded that, in addition to the household role, some of them acted as political assistants, producers and diffusers of liberal ideas. In addition, it was evident that, by using their literate capacity, they mediated between the notables and the people; they were vehement defenders of their party, helping to strengthen useful alliances to build networks of power and to strengthen the republican model in the context of small districts.</t>
  </si>
  <si>
    <t>[Hozman-Mora, Julian] Univ Pedag &amp; Tecnol Colombia, Hist, Tunja, Colombia</t>
  </si>
  <si>
    <t>Hozman-Mora, J (corresponding author), Univ Pedag &amp; Tecnol Colombia, Hist, Tunja, Colombia.</t>
  </si>
  <si>
    <t>julian.hozman@uptc.edu.co</t>
  </si>
  <si>
    <t>UNIV NAC COLOMBIA, SEDE MEDELLIN</t>
  </si>
  <si>
    <t>CALLE 59A NO 63-20, BLOQUE 43, OFICINA 450, MEDELLIN, 00000, COLOMBIA</t>
  </si>
  <si>
    <t>2145-132X</t>
  </si>
  <si>
    <t>HISTORELO REV HIST</t>
  </si>
  <si>
    <t>Historelo</t>
  </si>
  <si>
    <t>10.15446/historelo.v14n30.93867</t>
  </si>
  <si>
    <t>History</t>
  </si>
  <si>
    <t>1I4NC</t>
  </si>
  <si>
    <t>WOS:000797205500006</t>
  </si>
  <si>
    <t>Cardenas, LAC; Moreno, KIE; Vega, ERA</t>
  </si>
  <si>
    <t>Caceres Cardenas, Luis Alberto; Eslava Moreno, Karen Ines; Alvarez Vega, Edwin Ricardo</t>
  </si>
  <si>
    <t>Effect of the addition of hemp fiber in the properties of strenght and resistivity in a clayey soil</t>
  </si>
  <si>
    <t>LOGOS CIENCIA &amp; TECNOLOGIA</t>
  </si>
  <si>
    <t>geological engineering; soil mechanics; construction materials; clay; natural fiber</t>
  </si>
  <si>
    <t>MECHANICAL-PROPERTIES; POLYPROPYLENE FIBER</t>
  </si>
  <si>
    <t>The investigation has the aim of finding the effect and adequate proportion of the hemp fiber of 4 cm in length, in the mechanical and resistivity properties of a clayey soil. Properties investi-gated include optimum moisture content (wopt); the maximum dry unit weight, (gamma dmax), cohesion (c); friction angle (Phi), unconfined compressive strength (qu), and electrical resistivity (rho). The modified Proctor compaction tests (ASTM D 1557-12), direct consolidated undrained shear, CU, for cohesive soils (ASTM 6528-17), unconfined compressive strength (ASTM D2166-16) and Wenner's four electrode test (ASTM G57-01l), were applied to three clay samples with different proportions of hemp fiber; standard sample, Ap, of 100 % clay from the city of Tunja, sample with 0.5 % and 0.75 % hemp fiber, A0.5 %, and A0.75 %, in relation to the dry weight of the mate-rial. The results of this study indicate that the optimal percentage of hemp is 0.5 %, showing a decrease in compaction, and an increase in shear strength, electrical resistivity properties and unconfined compression properties; nevertheless, with a greater presence of fiber, there is destruction of the clayey soil.</t>
  </si>
  <si>
    <t>[Caceres Cardenas, Luis Alberto; Eslava Moreno, Karen Ines; Alvarez Vega, Edwin Ricardo] Univ Pedag &amp; Tecnol Colombia, Tunja, Colombia</t>
  </si>
  <si>
    <t>Moreno, KIE (corresponding author), Univ Pedag &amp; Tecnol Colombia, Tunja, Colombia.</t>
  </si>
  <si>
    <t>ingenieraeslava@hotmail.com</t>
  </si>
  <si>
    <t>POLICIA NAC COLOMBIA</t>
  </si>
  <si>
    <t>CENTRO INVESTIGACIONES CRIMINOLOGICAS DIJIN, AVE EL DORADO 75-25, BOGOTA, 00000, COLOMBIA</t>
  </si>
  <si>
    <t>2145-549X</t>
  </si>
  <si>
    <t>2422-4200</t>
  </si>
  <si>
    <t>LOGOS CIENC TECNOL</t>
  </si>
  <si>
    <t>Logos Cienc. Tecnol.</t>
  </si>
  <si>
    <t>10.22335/rlct.v14i3.1650</t>
  </si>
  <si>
    <t>5I6WX</t>
  </si>
  <si>
    <t>WOS:000868495500002</t>
  </si>
  <si>
    <t>Medina-Jaramillo, C; Gomez-Delgado, E; Lopez-Cordoba, A</t>
  </si>
  <si>
    <t>Medina-Jaramillo, Carolina; Gomez-Delgado, Edward; Lopez-Cordoba, Alex</t>
  </si>
  <si>
    <t>Improvement of the Ultrasound-Assisted Extraction of Polyphenols from Welsh Onion (Allium fistulosum) Leaves Using Response Surface Methodology</t>
  </si>
  <si>
    <t>Allium fistulosum L.; antioxidant activity; ultrasound-assisted extraction; response surface methodology; optimization; polyphenols</t>
  </si>
  <si>
    <t>ANTIOXIDANT ACTIVITY; BIOACTIVE COMPOUNDS; PHENOLIC-COMPOUNDS; OPTIMIZATION; FLAVONOIDS; L.</t>
  </si>
  <si>
    <t>Welsh onion (Allium fistulosum) leaves contain several bioactive compounds that can be extracted and used to develop new value-added products (e.g., functional foods and dietary supplements). In the current work, optimal ultrasound-assisted extraction (UAE) conditions to obtain extracts with high polyphenols content and DPPH (1,1-diphenyl-2-picrylhydrazil) scavenging activity were identified using response surface methodology. A complete 3(k) factorial design was used to evaluate the effect of different variables of the UAE (extraction temperature, time, and ethanol concentration) on the polyphenols content and the DPPH scavenging activity of the extracts. The best conditions for UAE to reach both the highest values of total polyphenols content (51.78 mg GAE/100 g) and DPPH scavenging activity (34.07 mg Trolox equivalents/100 g) were an extraction temperature of 60 degrees C, time of 10 min, and ethanol concentration of 70% v/v. The antioxidant activity of the extracts obtained at the optimal conditions was also evaluated by 2,2 '-azino-bis-3-ethylbenzthiazoline-6-sulphonic acid (ABTS) and ferric reducing antioxidant power (FRAP) assays obtaining values of 155.51 +/- 2.80 mu M Trolox/100 g and 1300.21 +/- 65.55 mu M Trolox/100 g, respectively. Moreover, these extracts were characterized by UHPLC-ESI+-Orbitrap-MS analysis finding that cyanidin (6.0 mg/kg) was the phenolic compound found in the highest amount followed by quercetin-3-glucoside (4.4 mg/kg).</t>
  </si>
  <si>
    <t>[Medina-Jaramillo, Carolina; Gomez-Delgado, Edward; Lopez-Cordoba, Alex] Univ Pedag &amp; Tecnol Colombia, Grp Invest Bioecon &amp; Sostenibilidad Agroalimentar, Escuela Adm Empresas Agr, Fac Secc Duitama, Carrera 18 Con Calle 22, Duitama 150461, Colombia</t>
  </si>
  <si>
    <t>Lopez-Cordoba, A (corresponding author), Univ Pedag &amp; Tecnol Colombia, Grp Invest Bioecon &amp; Sostenibilidad Agroalimentar, Escuela Adm Empresas Agr, Fac Secc Duitama, Carrera 18 Con Calle 22, Duitama 150461, Colombia.</t>
  </si>
  <si>
    <t>alex.lopez01@uptc.edu.co</t>
  </si>
  <si>
    <t>Lopez-Cordoba, Alex/A-1368-2015</t>
  </si>
  <si>
    <t>Lopez-Cordoba, Alex/0000-0003-2434-5743; Gomez Delgado, Edward Enrique/0000-0003-1620-5177</t>
  </si>
  <si>
    <t>Gobernacion de Boyaca through the PATRIMONIO AUTONOMO FONDO NACIONAL DE FINANCIAMIENTO PARA LA CIENCIA, LA TECNOLOGIA Y LA INNOVACION FRANCISCO JOSE DE CALDAS [75550]; Minciencias</t>
  </si>
  <si>
    <t>Gobernacion de Boyaca through the PATRIMONIO AUTONOMO FONDO NACIONAL DE FINANCIAMIENTO PARA LA CIENCIA, LA TECNOLOGIA Y LA INNOVACION FRANCISCO JOSE DE CALDAS; Minciencias</t>
  </si>
  <si>
    <t>This research was funded by Minciencias, and the Gobernacion de Boyaca through the PATRIMONIO AUTONOMO FONDO NACIONAL DE FINANCIAMIENTO PARA LA CIENCIA, LA TECNOLOGIA Y LA INNOVACION FRANCISCO JOSE DE CALDAS (project 75550. Conv. 865-2019).</t>
  </si>
  <si>
    <t>10.3390/foods11162425</t>
  </si>
  <si>
    <t>4B7GX</t>
  </si>
  <si>
    <t>WOS:000845942000001</t>
  </si>
  <si>
    <t>de la Torre, AR</t>
  </si>
  <si>
    <t>de la Torre, Alfredo Rocha</t>
  </si>
  <si>
    <t>Editorial</t>
  </si>
  <si>
    <t>Editorial Material</t>
  </si>
  <si>
    <t>[de la Torre, Alfredo Rocha] Univ Pedag &amp; Tecnol Colombia, Tunja, Colombia</t>
  </si>
  <si>
    <t>de la Torre, AR (corresponding author), Univ Pedag &amp; Tecnol Colombia, Tunja, Colombia.</t>
  </si>
  <si>
    <t>5V4VZ</t>
  </si>
  <si>
    <t>WOS:000877229500001</t>
  </si>
  <si>
    <t>Ramos, SP</t>
  </si>
  <si>
    <t>Patino Ramos, Stephanie</t>
  </si>
  <si>
    <t>The Roots of Traditional Literature Interwoven in the Magical Universe of Harry Potter</t>
  </si>
  <si>
    <t>PALABRA</t>
  </si>
  <si>
    <t>fantastic literature; fatality; Harry Potter; the unnamable; traditional literature; traditional stories</t>
  </si>
  <si>
    <t>The purpose of this paper is to highlight both, the validity and importance of traditional literature, in the creation of the diverse imaginary worlds offered by contemporary literature for young people. To this end, some of the topics and motifs of traditional literature that weave the story of Harry Potter are analyzed. The focus is specifically on making an exhaustive comparative review on the appearance of the fatality of death, and the figure of the unnamable in traditional stories compiled by Wilhelm and Jacob Grimm and published in the first edition of Kinder- and Hausmarchen. By relating the stories of the Grimm brothers with some intradiegetic tales of the Harry Potter saga, it is evident how some stories are adapted from mythological tales and updated to a contemporary magical universe.</t>
  </si>
  <si>
    <t>[Patino Ramos, Stephanie] Univ Pedag &amp; Tecnol Colombia, Literatura, Tunja, Colombia</t>
  </si>
  <si>
    <t>Ramos, SP (corresponding author), Univ Pedag &amp; Tecnol Colombia, Literatura, Tunja, Colombia.</t>
  </si>
  <si>
    <t>stephanie.patino@uptc.edu.co</t>
  </si>
  <si>
    <t>UNIV PEDAGOGICA &amp; TECNOLOGICA COLOMBIA, INST INVESTIG &amp; FORMACION AVANZADA</t>
  </si>
  <si>
    <t>CARRETERA CENTRAL DEL NORTE, TUNJA, BOY 00000, COLOMBIA</t>
  </si>
  <si>
    <t>0121-8530</t>
  </si>
  <si>
    <t>2346-3864</t>
  </si>
  <si>
    <t>Palabra</t>
  </si>
  <si>
    <t>e13779</t>
  </si>
  <si>
    <t>10.19053/01218530.n43.2022.13779</t>
  </si>
  <si>
    <t>Literature</t>
  </si>
  <si>
    <t>5D3FG</t>
  </si>
  <si>
    <t>WOS:000864831600004</t>
  </si>
  <si>
    <t>Torres, JDC; Barreto, LCR</t>
  </si>
  <si>
    <t>Chinome Torres, Julian David; Rodriguez Barreto, Lucia Carlota</t>
  </si>
  <si>
    <t>Comparison of the CUMANIN and CUMANES Scales: A psychometric experience</t>
  </si>
  <si>
    <t>REVISTA DE PSICOLOGIA PUCP</t>
  </si>
  <si>
    <t>Neuropsychological assessment; child development; Psychometry</t>
  </si>
  <si>
    <t>EARLY-CHILDHOOD DEVELOPMENT; BRAIN-DEVELOPMENT; CHILDREN; MALNUTRITION; NEURODEVELOPMENT; DEFICITS; MODERATE; OUTCOMES; INCOME; RISK</t>
  </si>
  <si>
    <t>[Chinome Torres, Julian David; Rodriguez Barreto, Lucia Carlota] Univ Pedag &amp; Tecnol Colombia, Sede Cent Tunja Boyaca Colombia Ave Cent Norte, Tunja, Colombia</t>
  </si>
  <si>
    <t>Torres, JDC (corresponding author), Univ Pedag &amp; Tecnol Colombia, Sede Cent Tunja Boyaca Colombia Ave Cent Norte, Tunja, Colombia.</t>
  </si>
  <si>
    <t>juliandavid.chinome@uptc.edu.co; lucia.rodriguezb@uptc.edu.co</t>
  </si>
  <si>
    <t>PONTIFICIA UNIV CATOLICA PERU</t>
  </si>
  <si>
    <t>SAN MIGUEL</t>
  </si>
  <si>
    <t>AV UNIVERSITARIA 1801, SAN MIGUEL, LIMA 32, PERU</t>
  </si>
  <si>
    <t>0254-9247</t>
  </si>
  <si>
    <t>2223-3733</t>
  </si>
  <si>
    <t>REV PSICOL-LIMA</t>
  </si>
  <si>
    <t>Rev. Psicol. PUCP</t>
  </si>
  <si>
    <t>10.18800/psico.202201.013</t>
  </si>
  <si>
    <t>Psychology, Multidisciplinary</t>
  </si>
  <si>
    <t>Psychology</t>
  </si>
  <si>
    <t>XQ9SZ</t>
  </si>
  <si>
    <t>WOS:000731882000014</t>
  </si>
  <si>
    <t>Miguel Angel, R; Vasquez, JLC</t>
  </si>
  <si>
    <t>Castillo-Reina, Miguel Angel; Vasquez, Jose Luis Cruz</t>
  </si>
  <si>
    <t>TOURIST SECTOR INNOVATION: AN APPROACH TO THE SERVICES AND THE CO-CREATION OF EXPERIENCES</t>
  </si>
  <si>
    <t>ANUARIO TURISMO Y SOCIEDAD</t>
  </si>
  <si>
    <t>innovation; tourism; competitiveness; co-creation; experience economy</t>
  </si>
  <si>
    <t>DOMINANT LOGIC; HOSPITALITY; KNOWLEDGE; MANAGEMENT; PATTERNS; ECONOMY; NEED</t>
  </si>
  <si>
    <t>In recent years the term innovation has been widely used to describe the generation of new processes or products in the economy, mainly in capital- and labour-intensive sectors (manufacturing). Given the importance of tourism in the global economy, it is considered appropriate to review how innovation affects its competitiveness. The introduction presents some topics of current interest to the sector. The second section presents some characteristic and distinctive features of the service economy. The third section presents approaches to innovation in services and tourism to conclude with the presentation of the experiential economy and co-creation as a potential tool for innovation. Finally, partial conclusions are presented. It is argued that innovation in tourism must be seen as a co-creation process and that the sector is not simply mimicking but that it requires an analysis framework of its own.</t>
  </si>
  <si>
    <t>[Castillo-Reina, Miguel Angel] Univ Pedag &amp; Tecnol Colombia, Fac Ciencias Econ &amp; Adm, Grp CREPIB, Tunja, Colombia; [Vasquez, Jose Luis Cruz] Univ Pedag &amp; Tecnol Colombia, Escuela Econ, Tunja, Colombia</t>
  </si>
  <si>
    <t>Miguel Angel, R (corresponding author), Univ Pedag &amp; Tecnol Colombia, Fac Ciencias Econ &amp; Adm, Grp CREPIB, Tunja, Colombia.</t>
  </si>
  <si>
    <t>miguelangel.castillo@uptc.edu.co; jose.cruz@uptc.edu.co</t>
  </si>
  <si>
    <t>UNIV EXTERNADO COLOMBIA</t>
  </si>
  <si>
    <t>CALLE 12 NO 1-17 ESTE, BOGOTA, 00000, COLOMBIA</t>
  </si>
  <si>
    <t>0120-7555</t>
  </si>
  <si>
    <t>2346-206X</t>
  </si>
  <si>
    <t>ANU TUR SOC</t>
  </si>
  <si>
    <t>Anu. Tur. Soc.</t>
  </si>
  <si>
    <t>10.18601/01207555.n30.02</t>
  </si>
  <si>
    <t>Hospitality, Leisure, Sport &amp; Tourism</t>
  </si>
  <si>
    <t>YI5ZB</t>
  </si>
  <si>
    <t>WOS:000743925000001</t>
  </si>
  <si>
    <t>Rubio, JJM; Malaver, EFA; Gonzalez, LAL</t>
  </si>
  <si>
    <t>Moreno Rubio, Jorge Julian; Angarita Malaver, Edison Ferney; Lara Gonzalez, Luis Angel</t>
  </si>
  <si>
    <t>Wideband Doherty Power Amplifier: A Design Approach</t>
  </si>
  <si>
    <t>MICROMACHINES</t>
  </si>
  <si>
    <t>GaN-based FETs; wideband Doherty power amplifier; broadband matching networks</t>
  </si>
  <si>
    <t>This paper presents a simple method to design wideband Doherty power amplifiers (DPAs) based on the synthesis of a combiner network which can mimic the response of an ideal compensation of the device reactive output equivalent network and exploit the maximum power capabilities of the device. Using the Wolfspeed's CGH40006 and CG2H40025 GaN HEMT devices, two DPAs were designed and simulated to demonstrate the effectiveness of the proposed approach. In both cases, a 1.4 GHz bandwidth was obtained together with an efficiency higher than 44 and 49% at 6 dB OBO. The saturated output power was higher than 41.2 and 47 dBm over the band, for the DPAs using the CGH40006 and CG2H40025 devices, respectively.</t>
  </si>
  <si>
    <t>[Moreno Rubio, Jorge Julian; Angarita Malaver, Edison Ferney] Univ Pedag &amp; Tecnol Colombia, Grp Invest Telecomunicac GINTEL, Sogamoso 152211, Colombia; [Lara Gonzalez, Luis Angel] Univ Pedag &amp; Tecnol Colombia, Inst Recursos Minero Energet IRME, Sogamoso 152211, Colombia</t>
  </si>
  <si>
    <t>Rubio, JJM (corresponding author), Univ Pedag &amp; Tecnol Colombia, Grp Invest Telecomunicac GINTEL, Sogamoso 152211, Colombia.</t>
  </si>
  <si>
    <t>jorgejulian.moreno@uptc.edu.co; edison.angarita@uptc.edu.co; luisangel.lara@uptc.edu.co</t>
  </si>
  <si>
    <t>LARA GONZALEZ, LUIS ANGEL/0000-0002-2849-0174</t>
  </si>
  <si>
    <t>2072-666X</t>
  </si>
  <si>
    <t>MICROMACHINES-BASEL</t>
  </si>
  <si>
    <t>Micromachines</t>
  </si>
  <si>
    <t>10.3390/mi13040497</t>
  </si>
  <si>
    <t>Chemistry, Analytical; Nanoscience &amp; Nanotechnology; Instruments &amp; Instrumentation; Physics, Applied</t>
  </si>
  <si>
    <t>Chemistry; Science &amp; Technology - Other Topics; Instruments &amp; Instrumentation; Physics</t>
  </si>
  <si>
    <t>0Q6SE</t>
  </si>
  <si>
    <t>WOS:000785045100001</t>
  </si>
  <si>
    <t>Guzman-Vargas, KD; Suarez-Baron, MJ; Torres-Perez, Y; Gonzalez-Sanabria, JS</t>
  </si>
  <si>
    <t>Guzman-Vargas, Karen-Daniela; Suarez-Baron, Marco-Javier; Torres-Perez, Yolanda; Gonzalez-Sanabria, Juan-Sebastian</t>
  </si>
  <si>
    <t>Analysis of sports gestures of volleyball jump service using videometry</t>
  </si>
  <si>
    <t>REVISTA CIENTIFICA</t>
  </si>
  <si>
    <t>biokinematics; predictive modeling; sport gesture; sports biomechanics; videometry; volleyball</t>
  </si>
  <si>
    <t>In the game of volleyball, the technique to execute the serve gesture is essential to be able to hit the ball properly and thus score points against the opposing team. However, this gesture is not always carried out in an efficient biomechanical way, which generates bad shots to the ball and a disadvantage in the game. Therefore, the biokinematics of the technical-sports gesture of some players (experts in jump serve) of the volleyball team of the Universidad Pedagogica y Tecnologica de Colombia (Boyaca - Colombia), was studied and evaluated, using the videometry technique, with the objective of determining (qualitatively and quantitatively) trajectories, speeds, accelerations, and joint angles of joints such as: wrist, elbow, shoulder, hip, knee and ankle of the athletes executing the jump serve gestures, with which they were de-signed and implemented corrective interventions of the athletes' movement in the jump serve gesture to generate a more efficient and ergonomic stroke during the serve.</t>
  </si>
  <si>
    <t>[Guzman-Vargas, Karen-Daniela; Suarez-Baron, Marco-Javier; Torres-Perez, Yolanda; Gonzalez-Sanabria, Juan-Sebastian] Univ Pedag &amp; Tecnol Colombia, Tunja, Colombia</t>
  </si>
  <si>
    <t>Guzman-Vargas, KD (corresponding author), Univ Pedag &amp; Tecnol Colombia, Tunja, Colombia.</t>
  </si>
  <si>
    <t>karen.guzman@uptc.edu.co; marco.suarez@uptc.edu.co; yolandra.torres01@uptc.edu.co; juansebastian.gonzalez@uptc.edu.co</t>
  </si>
  <si>
    <t>UNIV DISTRITAL FRANCISCO JOSE DE CALDAS, CENTRO INVEST &amp; DESARROLLO CIENT</t>
  </si>
  <si>
    <t>CARRERA 7 NO 40-53, BOGOTA, 00000, COLOMBIA</t>
  </si>
  <si>
    <t>0124-2253</t>
  </si>
  <si>
    <t>2344-8350</t>
  </si>
  <si>
    <t>REV CIENT-COLOMBIA</t>
  </si>
  <si>
    <t>Rev. Cient.</t>
  </si>
  <si>
    <t>10.14483/23448350.18329</t>
  </si>
  <si>
    <t>Education, Scientific Disciplines</t>
  </si>
  <si>
    <t>Education &amp; Educational Research</t>
  </si>
  <si>
    <t>YI9NY</t>
  </si>
  <si>
    <t>WOS:000744168900002</t>
  </si>
  <si>
    <t>Benavides-Guerrero, CE; Caro-Caro, LE; Marino-Martinez, JE</t>
  </si>
  <si>
    <t>Esteban Benavides-Guerrero, Carlos; Elizabeth Caro-Caro, Linda; Eliecer Marino-Martinez, Jorge</t>
  </si>
  <si>
    <t>Towards the elaboration of a hydrogeological model of the Guachiria river basin (Colombia)</t>
  </si>
  <si>
    <t>BOLETIN DE GEOLOGIA</t>
  </si>
  <si>
    <t>Hydrogeology; Hydrology; Potential recharge; Hydrogeochemistry; Eastern plains; Orinoquia</t>
  </si>
  <si>
    <t>In recent years, extreme climatic variations have generated obvious effects on natural resources, harming one of the most important: water. A clear example of this is the Guachiria River Basin, located in Colombia, the prolonged dry seasons of the last decade have harmed both the biota and the civilian population, since they depend mainly on this resource. The present study aims to increase the state of the art on hydrometeorological, hydraulic variables and, in general, to understand the hydrogeological conditions of the Guachiria River Basin, this with the purpose of providing information that serves as baseline for the elaboration of a conceptual hydrogeological model (CHM) that helps in decision-making by the entities in charge of water resource management. First, the morphometric and geological conditions of the area were determined, finding that there is a predominance of flat areas with little slope, made up of unconsolidated deposits, extensive flood zones and wind influence on fluvial deposits. Then, starting from a mass balance, a water balance was carried out in the basin to quantify the resource in the area; In turn, favorable recharge zones were identified in several sectors: one part towards the foothills in the area of high slopes and another towards the deposits with eolian influence, made up of sandy and sandy loam soils that overlie the Guayabo Formation. In addition, through pumping tests, different hydraulic parameters were determined, and the aquifers were classified as free, confined, and semi-confined, linked to the lithology of the area, due to their extension and lithological complexity. Finally, a hydrogeochemical sampling was carried out, where mostly relatively young waters, with little transport and high iron content were found.</t>
  </si>
  <si>
    <t>[Esteban Benavides-Guerrero, Carlos; Elizabeth Caro-Caro, Linda; Eliecer Marino-Martinez, Jorge] Univ Pedag &amp; Tecnol Colombia, Escuela Ingn Geol, Sogamoso, Colombia</t>
  </si>
  <si>
    <t>Caro-Caro, LE (corresponding author), Univ Pedag &amp; Tecnol Colombia, Escuela Ingn Geol, Sogamoso, Colombia.</t>
  </si>
  <si>
    <t>carlos.benavides01@uptc.edu.co; linda.caro@uptc.edu.co; jorge.marino@uptc.edu.co</t>
  </si>
  <si>
    <t>UNIV INDUSTRIAL SANTANDER</t>
  </si>
  <si>
    <t>SANTANDER</t>
  </si>
  <si>
    <t>CIUDAD UNIV, CARRERA 27, CALLE 9, SANTANDER, BUCARAMANGA 00000, COLOMBIA</t>
  </si>
  <si>
    <t>0120-0283</t>
  </si>
  <si>
    <t>2145-8553</t>
  </si>
  <si>
    <t>B GEOLOGIA</t>
  </si>
  <si>
    <t>Bol. Geol.</t>
  </si>
  <si>
    <t>10.18273/revbol.v44n2-2022008</t>
  </si>
  <si>
    <t>Geology</t>
  </si>
  <si>
    <t>2Y9QD</t>
  </si>
  <si>
    <t>WOS:000826221200009</t>
  </si>
  <si>
    <t>Pedraza, ML; Espinosa-Ramirez, AJ</t>
  </si>
  <si>
    <t>Luz Pedraza, Mary; Janneth Espinosa-Ramirez, Adriana</t>
  </si>
  <si>
    <t>The legacy of arsenic and mercury in the Ramsar Ayapel wetland complex (Cordoba, Colombia): An approach to the Magdalena- Cauca macro-basin</t>
  </si>
  <si>
    <t>ACTA BIOLOGICA COLOMBIANA</t>
  </si>
  <si>
    <t>Bioaccumulation; ecotoxicology; environmental health; ichthyofauna; mining</t>
  </si>
  <si>
    <t>ENDOCRINE-DISRUPTING CHEMICALS; MOJANA REGION; FISH; EXPOSURE; METALS; STATE; RICE</t>
  </si>
  <si>
    <t>Located in the northern extreme of South America, Colombia is one of the most mercury contaminated countries in the world, a situation that threatens its natural wealth and highly endemic neotropical biodiversity and adds to its multiple environmental and social conflicts. Internationally designated as a Ramsar site, the Ayapel wetland complex registers the catching of 23 % of the fish production of the Magdalena-Cauca macro-basin, while at the same time is under intense alluvial mining pressure. Exposure to two endocrine disruptors [mercury (Hg) and arsenic (As)] was traced in fish for human consumption, water and sediments collected in the central marshes of Ayapel, Escobillas and Paticos. Previously unreported concentrations of arsenic were found in sediments and water. This is quite a relevant finding, since it is a carcinogen and because local rice crops are supplied by the water of the marsh system, which may increase toxicological risk for the people of the region. In addition, 96 % of the fish registered statistically significant contents of both Hg and As. The fish blanquillo (Sorubim cuspicaudus) was found to contain the highest levels of both pollutants, while the bocachico (Prochilodus magdalenae) registered the highest level of Hg in the last 15 years for the studied area. Framed in mercury variation in the macro-basin's ichthyofauna (1993-2020), a warning is issued about unmonitored impacts on food webs and the urgency of intersectoral actions to protect biodiversity and human health.</t>
  </si>
  <si>
    <t>[Luz Pedraza, Mary] Univ Pedag &amp; Tecnol Colombia, Grp Invest Unidad Ecol Sistemas Acuat UDESA, Ciencias Biol, Escuela Biol,Fac Ciencias, Tunja, Colombia; [Janneth Espinosa-Ramirez, Adriana] Univ Pedag &amp; Tecnol Colombia, Grp Invest Unidad Ecol Sistemas Acuat UDESA, Fac Ciencias, Escuela Biol, Tunja, Colombia</t>
  </si>
  <si>
    <t>Espinosa-Ramirez, AJ (corresponding author), Univ Pedag &amp; Tecnol Colombia, Grp Invest Unidad Ecol Sistemas Acuat UDESA, Fac Ciencias, Escuela Biol, Tunja, Colombia.</t>
  </si>
  <si>
    <t>adriana.espinosa@uptc.edu.co</t>
  </si>
  <si>
    <t>UNIV NAC COLOMBIA, FAC CIENCIAS, DEPT BIOL</t>
  </si>
  <si>
    <t>APARTADO AEREO 14490, BOGOTA, 00000, COLOMBIA</t>
  </si>
  <si>
    <t>0120-548X</t>
  </si>
  <si>
    <t>1900-1649</t>
  </si>
  <si>
    <t>ACTA BIOL COLOMB</t>
  </si>
  <si>
    <t>Acta Biol. Colomb.</t>
  </si>
  <si>
    <t>10.15446/abc.v27n2.89084</t>
  </si>
  <si>
    <t>Plant Sciences; Zoology</t>
  </si>
  <si>
    <t>3V8PV</t>
  </si>
  <si>
    <t>WOS:000841922300002</t>
  </si>
  <si>
    <t>De la Cruz, R; Juajibioy, J</t>
  </si>
  <si>
    <t>De la Cruz, Richard; Juajibioy, Juan</t>
  </si>
  <si>
    <t>Delta Shock Solution for a Generalized Zero-Pressure Gas Dynamics System with Linear Damping</t>
  </si>
  <si>
    <t>ACTA APPLICANDAE MATHEMATICAE</t>
  </si>
  <si>
    <t>Nonstrictly hyperbolic system; Generalized zero-pressure gas dynamics system; Linear damping; Time-dependent viscous system; Delta shock wave solution</t>
  </si>
  <si>
    <t>HYPERBOLIC SYSTEMS; VANISHING VISCOSITY; CONSERVATION-LAWS; WEAK SOLUTIONS; WAVES; EQUATIONS; LIMITS</t>
  </si>
  <si>
    <t>In this paper, we propose a time-dependent viscous system and by using the vanishing viscosity method we show the existence of delta shock solutions for a generalized zero-pressure gas dynamics system with linear damping.</t>
  </si>
  <si>
    <t>[De la Cruz, Richard; Juajibioy, Juan] Univ Pedag &amp; Tecnol Colombia, Sch Math &amp; Stat, Av Cent Norte 39-115 Of M-101, Tunja 150003, Boy, Colombia</t>
  </si>
  <si>
    <t>De la Cruz, R (corresponding author), Univ Pedag &amp; Tecnol Colombia, Sch Math &amp; Stat, Av Cent Norte 39-115 Of M-101, Tunja 150003, Boy, Colombia.</t>
  </si>
  <si>
    <t>richard.delacruz@uptc.edu.co; juan.juajibioy@uptc.edu.co</t>
  </si>
  <si>
    <t>De la cruz Guerrero, Richard Alexander/G-4674-2014</t>
  </si>
  <si>
    <t>De la cruz Guerrero, Richard Alexander/0000-0003-1342-7946</t>
  </si>
  <si>
    <t>0167-8019</t>
  </si>
  <si>
    <t>1572-9036</t>
  </si>
  <si>
    <t>ACTA APPL MATH</t>
  </si>
  <si>
    <t>Acta Appl. Math.</t>
  </si>
  <si>
    <t>10.1007/s10440-021-00463-w</t>
  </si>
  <si>
    <t>Mathematics, Applied</t>
  </si>
  <si>
    <t>XV2HV</t>
  </si>
  <si>
    <t>WOS:000734770500001</t>
  </si>
  <si>
    <t>Manjarres-Hernandez, EH; Morillo-Coronado, AC</t>
  </si>
  <si>
    <t>Helena Manjarres-Hernandez, Elsa; Cruz Morillo-Coronado, Ana</t>
  </si>
  <si>
    <t>Genetic diversity of Colombian quinoa (Chenopodium quinoa Willd.): implications for breeding programs</t>
  </si>
  <si>
    <t>GENETIC RESOURCES AND CROP EVOLUTION</t>
  </si>
  <si>
    <t>Genetic diversity; Microsatellites; Chenopodium quinoa; Genetic improvement</t>
  </si>
  <si>
    <t>MARKERS</t>
  </si>
  <si>
    <t>Chenopodium quinoa Willd. is a species of great interest for global food security because of its ability to adapt to different environmental conditions and its nutritional quality. In Colombia, there are few studies on the genetic diversity of quinoa, and there are no certified seed or registered varieties. Therefore, farmers plant a mixture of genotypes, which is why maximum yield and production are not achieved. The objective of this research was to characterize the genetic diversity in Colombian quinoa crops, for which 30 accessions were evaluated using 27 microsatellite markers. A total of 144 alleles were obtained, with a range of 2-7 alleles per locus (mean = 5.33). The average Polymorphic Information Content (PIC) was 0.60, where QAAT100 (0.80), QAAT112 (0.78), QAAT076 (0.78) and QCA088 (0.77) were the most informative. The expected heterozygosity index (He = 0.69) showed high genetic diversity for the analyzed individuals. Three population groups were detected (K1, K2, K3), whose genetic distances were less than 0.33. The individuals were not grouped according to their geographical origin. The low rates of genetic differentiation in the populations may have been due to the lack of certified seeds, to non-directional selection, and to constant exchange of seeds between farmers in the main producing areas of the Andean region. This study provided preliminary information for the high genetic diversity in Colombian quinoa that can be used for the development of genetic improvement programs for this species.</t>
  </si>
  <si>
    <t>[Helena Manjarres-Hernandez, Elsa; Cruz Morillo-Coronado, Ana] Univ Pedag &amp; Tecnol Colombia, Fac Ciencias Agr, Grp CIDE Competitividad Innovac &amp; Desarrollo Empr, Tunja, Colombia</t>
  </si>
  <si>
    <t>Manjarres-Hernandez, EH (corresponding author), Univ Pedag &amp; Tecnol Colombia, Fac Ciencias Agr, Grp CIDE Competitividad Innovac &amp; Desarrollo Empr, Tunja, Colombia.</t>
  </si>
  <si>
    <t>elsa.manjarres@uptc.edu.co</t>
  </si>
  <si>
    <t>Morillo Coronado, Ana Cruz/GLV-1980-2022; Manjarres Hernández, Elsa Helena/HHN-6350-2022</t>
  </si>
  <si>
    <t>Manjarres Hernández, Elsa Helena/0000-0001-6221-8636; Morillo Coronado, Ana Cruz/0000-0003-3125-0697</t>
  </si>
  <si>
    <t>Patrimonio Autonomo Fondo Nacional de Financiamiento para la Ciencia, la Tecnologia y la Innovacion Francisco Jose de Caldas-MinCiencias [63924]</t>
  </si>
  <si>
    <t>Patrimonio Autonomo Fondo Nacional de Financiamiento para la Ciencia, la Tecnologia y la Innovacion Francisco Jose de Caldas-MinCiencias</t>
  </si>
  <si>
    <t>To the Patrimonio Autonomo Fondo Nacional de Financiamiento para la Ciencia, la Tecnologia y la Innovacion Francisco Jose de Caldas-MinCiencias. Cod. 63924.</t>
  </si>
  <si>
    <t>0925-9864</t>
  </si>
  <si>
    <t>1573-5109</t>
  </si>
  <si>
    <t>GENET RESOUR CROP EV</t>
  </si>
  <si>
    <t>Genet. Resour. Crop Evol.</t>
  </si>
  <si>
    <t>10.1007/s10722-022-01383-w</t>
  </si>
  <si>
    <t>Agronomy; Plant Sciences</t>
  </si>
  <si>
    <t>Agriculture; Plant Sciences</t>
  </si>
  <si>
    <t>3W6KX</t>
  </si>
  <si>
    <t>WOS:000782884800001</t>
  </si>
  <si>
    <t>Rubio, JJM; Malaver, EFA; Lara, JAM</t>
  </si>
  <si>
    <t>Moreno Rubio, Jorge Julian; Angarita Malaver, Edison Ferney; Mesa Lara, Jairo Alonso</t>
  </si>
  <si>
    <t>Ultra-Wideband Power Amplifier Design Strategy for 5G Sub-6-GHz Applications</t>
  </si>
  <si>
    <t>GaN-based FETs; ultrawideband power amplifiers; broadband matching networks</t>
  </si>
  <si>
    <t>This paper presents a strategy to design ultrawideband power amplifiers with a fractional bandwidth of approximately 200%. It exploits a simple output matching network, which consists of a series transmission line together with a shunt stub, to compensate the output parasitic network of the device. Following this, a multisection transformer is implemented to obtain the optimal load at the intrinsic drain plane. As design examples, several output matching networks were designed for two different size GaN HEMT devices. One of these examples was implemented and characterized, and a drain efficiency from 52% to 70% and an output power between 40 dBm and 42.5 dBm were obtained, over 67% of the 5G sub-6-GHz band (i.e., 0.1 to 4 GHz). The aforementioned results, to the best of the authors' knowledge, represent the state of the art in broadband power amplifiers.</t>
  </si>
  <si>
    <t>[Moreno Rubio, Jorge Julian; Angarita Malaver, Edison Ferney; Mesa Lara, Jairo Alonso] Univ Pedag &amp; Tecnol Colombia, Grp Invest Telecomunicac GINTEL, Sogamoso 152211, Colombia</t>
  </si>
  <si>
    <t>jorgejulian.moreno@uptc.edu.co</t>
  </si>
  <si>
    <t>10.3390/mi13091541</t>
  </si>
  <si>
    <t>4V7HN</t>
  </si>
  <si>
    <t>WOS:000859645300001</t>
  </si>
  <si>
    <t>Quiroz, WOL; Murcia, EVC</t>
  </si>
  <si>
    <t>Quiroz, Wilson Orlando Ladino; Murcia, Erika Viviana Castellanos</t>
  </si>
  <si>
    <t>philosophical camp: playful experience of thinking with childhood</t>
  </si>
  <si>
    <t>CHILDHOOD AND PHILOSOPHY</t>
  </si>
  <si>
    <t>philosophical camp; philosophy and childhood; playfulness; self-care; experience</t>
  </si>
  <si>
    <t>The article presents some of the results of the research project Ludica y juego en la educacion infantil: construccion conceptual-Play and Games in Early Childhood Education: A Conceptual Construct-financed by the Vicerrectoria de Investigaciones of the Universidad Pedagogica y Tecnologica de Colombia, Tunja, Boyaca, Colombia. The aim was to identify and explore the conceptions of what the Campamento Filosofico (Philosophy Camp) represents for its participants within the framework of the project Filosofia e infancia (Philosophy and Childhood). This study takes a qualitative approach, for which semi-structured interviews were used as an instrument for data collection. Also, Atlas.ti 8 (R) software was used for data analysis. An open, axial and selective coding was carried out, in which the emerging categories of the analysis were experience, encounter, learning, self-care and body. As a result of this conceptualization, it was found that philosophy camps are scenarios that make possible a relationship between university learning environments and primary, elementary and middle school educational contexts. They also enable an experience of the dialogic encounter between different perspectives on the same philosophical topic. Through the Philosophy Camp, philosophy is brought to the school, and the encounter with childhood -as a state, attitude and possibility -fosters spaces for thought, friendship and interaction.</t>
  </si>
  <si>
    <t>[Quiroz, Wilson Orlando Ladino; Murcia, Erika Viviana Castellanos] Univ pedag &amp; tecnol colombia, Tunja, Colombia</t>
  </si>
  <si>
    <t>Quiroz, WOL (corresponding author), Univ pedag &amp; tecnol colombia, Tunja, Colombia.</t>
  </si>
  <si>
    <t>ladinoqui@hotmail.com; erika.castellanos02@uptc.edu.co</t>
  </si>
  <si>
    <t>STATE UNIV RIO DE JANEIRO</t>
  </si>
  <si>
    <t>RIO DE JANEIRO</t>
  </si>
  <si>
    <t>NEFI-CENTER PHILOSOPHICAL &amp; CHILDHOOD STUDIES, RIO DE JANEIRO, 00000, BRAZIL</t>
  </si>
  <si>
    <t>2525-5061</t>
  </si>
  <si>
    <t>1984-5987</t>
  </si>
  <si>
    <t>CHILD PHILOS</t>
  </si>
  <si>
    <t>Child. Philos.</t>
  </si>
  <si>
    <t>10.12957/childphilo.2022.67275</t>
  </si>
  <si>
    <t>Education &amp; Educational Research; Philosophy</t>
  </si>
  <si>
    <t>5V8MW</t>
  </si>
  <si>
    <t>WOS:000877479200001</t>
  </si>
  <si>
    <t>Araujo, ER</t>
  </si>
  <si>
    <t>Rodriguez Araujo, Edilberto</t>
  </si>
  <si>
    <t>The Contours of Economic Sciences Teaching in Eastern Colombia</t>
  </si>
  <si>
    <t>APUNTES DEL CENES</t>
  </si>
  <si>
    <t>economic sciences; academic programs; Business Administration; Public Accountancy; Economics; academic offer; Colombian eastern region; public and private universities; curricular structure; training areas</t>
  </si>
  <si>
    <t>The academic programs that are part of the economic sciences emerged in Colombia in the mid-twentieth century. The relative weight of the existing programs in the academic offer and the student population grew in the last decade to reach 16% and 29%, on average, in 2020. The analysis in this text focuses on a sample of 13 programs from eight universities with high quality accreditation, belonging to the eastern region of the country, made up of the departments (states) of Boyaca, Cundinamarca, Meta, Santander, and Norte de Santander. Business Administration, Public Accounting and Economics are the three academic programs included in this article, offered by both public and private universities, in which the curriculum structure and duration of studies have notably similarities, but also visible differences in terms of the weighting of the different training areas (basic, professional, socio-humanistic and elective) as well as in the tuition fees. It is observed that the professional area with the highest relative participation is Business Administration, which is reflected in the orientation of the program, followed by the Public Accountancy program. A lower proportion was found in Economics. In the concrete case of Economics, in recent years there has been an intense debate about mathematical formalization and curricular standardization, as well as training by results, a strategy brokered by the Ministry of National Education.</t>
  </si>
  <si>
    <t>[Rodriguez Araujo, Edilberto] Univ Pedag &amp; Tecnol Colombia, Escuela Econ, Tunja, Colombia</t>
  </si>
  <si>
    <t>Araujo, ER (corresponding author), Univ Pedag &amp; Tecnol Colombia, Escuela Econ, Tunja, Colombia.</t>
  </si>
  <si>
    <t>edilberto.rodriguez@uptc.edu.co</t>
  </si>
  <si>
    <t>0120-3053</t>
  </si>
  <si>
    <t>2256-5779</t>
  </si>
  <si>
    <t>APUNT CENES</t>
  </si>
  <si>
    <t>Apunt. CENES</t>
  </si>
  <si>
    <t>10.19053/01203053.v41.n74.2022.14683</t>
  </si>
  <si>
    <t>Economics</t>
  </si>
  <si>
    <t>3X9TJ</t>
  </si>
  <si>
    <t>WOS:000843374600010</t>
  </si>
  <si>
    <t>Morales-Alba, AF; Carvajal-Cogollo, JE; Morales, I</t>
  </si>
  <si>
    <t>Morales-Alba, Andres F.; Carvajal-Cogollo, Juan E.; Morales, Irina</t>
  </si>
  <si>
    <t>Bees in agricultural systems: taxonomic and functional diversity review and research perspectives</t>
  </si>
  <si>
    <t>Agroecology; Colombia; Crops; Pollination</t>
  </si>
  <si>
    <t>FRUIT PASSIFLORA-EDULIS; HYMENOPTERA APIDAE; POLLINATION; ARECACEAE; ECOLOGY; CROPS</t>
  </si>
  <si>
    <t>Bees are insects of great ecological importance since they are responsible for processes such as pollination in natural and agricultural environments, contributing to the health and resilience of ecosystems. We conducted a review to address the taxonomic and functional dimensions of the bees??? diversity in palm, potato, coffee, granadilla, gulupa and passion fruit crops. Using keywords and Boolean operators we searched for information in databases. Curves analogous of species accumulation were constructed and a complementarity analysis was carried out to assess taxonomic diversity. We used a cluster analysis to identify functional types and evaluate the functional richness of each crop. Nineteen publications of bees associated with crops, with records of 116 species, were found. Palm cultivation presented the highest richness with 48 species, followed by potato (44) and coffee (41). We identified 11 functional types, where the most representative was bees with corbicula, eusocial, that nest in any cavity (ScEuCc). Functional richness was higher in coffee (3.33), followed by potato (2.83) and gulupa (2.00). The high diversity of bees in agroecosystems seems to be related to the proximity of each crop to forest fragments, according to what could be analyzed from the publications. Agroecosystems could offer an alternative resource to bees by allowing them to combat the decline of their habitats, so we suggest expanding research on the benefits of agricultural crops on the bee community.</t>
  </si>
  <si>
    <t>[Morales-Alba, Andres F.; Carvajal-Cogollo, Juan E.; Morales, Irina] Univ Pedag &amp; Tecnol Colombia, Programa Biol, Lab Entomol, Grp Sistemat Biol SisBio, Av Cent Norte 39-115, Tunja, Boyaca, Colombia; [Morales-Alba, Andres F.; Morales, Irina] Univ Pedag &amp; Tecnol Colombia, Programa Biol, Museo Hist Nat Luis Gonzalo Andrade, Grp Invest Biodiversidad &amp; Conservac, Tunja, Boyaca, Colombia</t>
  </si>
  <si>
    <t>Morales, I (corresponding author), Univ Pedag &amp; Tecnol Colombia, Programa Biol, Lab Entomol, Grp Sistemat Biol SisBio, Av Cent Norte 39-115, Tunja, Boyaca, Colombia.;Morales, I (corresponding author), Univ Pedag &amp; Tecnol Colombia, Programa Biol, Museo Hist Nat Luis Gonzalo Andrade, Grp Invest Biodiversidad &amp; Conservac, Tunja, Boyaca, Colombia.</t>
  </si>
  <si>
    <t>10.15446/abc.v27n2.92192</t>
  </si>
  <si>
    <t>WOS:000841922300013</t>
  </si>
  <si>
    <t>EDITORIAL</t>
  </si>
  <si>
    <t>7M3JA</t>
  </si>
  <si>
    <t>WOS:000906552800001</t>
  </si>
  <si>
    <t>Gomez, SAS</t>
  </si>
  <si>
    <t>Sanabria Gomez, Segundo Abrahan</t>
  </si>
  <si>
    <t>Technological Progress and Economic Inequalities: An Empirical Approach for Colombia (1974-2015)</t>
  </si>
  <si>
    <t>technological progress; structural change; economic dynamics; productivity; economic inequality</t>
  </si>
  <si>
    <t>STRUCTURAL-CHANGE; INCREASING RETURNS; LATIN-AMERICA; INNOVATION; GROWTH; HETEROGENEITY; PERFORMANCE; DIRECTIONS; INDUSTRY; IMPACT</t>
  </si>
  <si>
    <t>As developing economies move towards modernization, they progressively incorporate new technologies into production processes. However, the incorporation of technological progress is not homogeneous among the different branches of economic activity; therefore, their productivity gains are unequally distributed. This article provides explanatory elements on the relationship between technological progress and structural heterogeneity. The question guiding the research is: how does structural heterogeneity induce asymmetries in the exploitation of technological progress? The statistical and econometric results show that the incorporation of technological progress in the Colombian manufacturing industry is uneven, since the knowledge-intensive branches of activity have different productive capacities from those of the low knowledge-intensive industry. These capacities follow patterns associated with a factorial intensity in favor of fixed capital, which offers better possibilities for incorporating new knowledge.</t>
  </si>
  <si>
    <t>[Sanabria Gomez, Segundo Abrahan] Univ Pedag &amp; Tecnol Colombia, Escuela Econ, Tunja, Colombia</t>
  </si>
  <si>
    <t>Gomez, SAS (corresponding author), Univ Pedag &amp; Tecnol Colombia, Escuela Econ, Tunja, Colombia.</t>
  </si>
  <si>
    <t>segundo.sanabria@uptc.edu.co</t>
  </si>
  <si>
    <t>La investigacion para este articulo</t>
  </si>
  <si>
    <t>La investigacion para este articulo no recibio financiacion de ninguna institucion publica ni privada.</t>
  </si>
  <si>
    <t>10.19053/01203053.v41.n73.2022.13524</t>
  </si>
  <si>
    <t>0F6VA</t>
  </si>
  <si>
    <t>WOS:000777493700006</t>
  </si>
  <si>
    <t>Poveda-Sotelo, Y; Bermudez-Cella, MA; Gil-Leguizamon, P</t>
  </si>
  <si>
    <t>Poveda-Sotelo, Yoan; Bermudez-Cella, Mauricio A.; Gil-Leguizamon, Pablo</t>
  </si>
  <si>
    <t>Evaluation of supervised classification methods for the estimation of spatiotemporal changes in the Merchan and Telecom paramos, Colombia</t>
  </si>
  <si>
    <t>Supervised classification; Kappa Index; Machine Learning; Paramo; Remote sensing</t>
  </si>
  <si>
    <t>VEGETATION; COVER</t>
  </si>
  <si>
    <t>In recent years there has been significant progress in Geographic Information Systems (GIS) and the development of supervised classification methods, but until now these had not been used to accurately calculate the surface extent of paramos in sectors of the Eastern Cordillera of Colombia. Furthermore, these methods had not been used to estimate the distance between the boundaries of these moors and major geological features. For this reason, in the present research, five different supervised classification methods were evaluated, with the purpose of determining which of them has a higher resolution in order to reproduce the extension and surface distribution of the paramos of Merchan and Telecom in Saboya, Boyaca, belonging to the Merchan - Iguaque complex in the Eastern Cordillera of Colombia. For this purpose, satellite images of the study area by Landsat 8 for the year 2018 were chosen and classified into some algorithms based on Machine Learning (SVM, RF, DT, BC and ANN). To establish the accuracy and reliability of the classification data of the terrain features, the Kappa Index was calculated, which allowed determining that the most accurate method for this case was Random Forest. In addition, since the boundaries of the moorlands coincide with geological structures or contacts between formations, the distance between the edge of the moorlands and these features was estimated. The results obtained in this research are considered as an important input for future multitemporal analysis as in landscape metrics, which serve as a tool for the development and decision making in the management of natural resources, biodiversity, provision of ecosystem services, as in the land use planning for the municipality of Saboya-Boyaca.</t>
  </si>
  <si>
    <t>[Poveda-Sotelo, Yoan] Univ Pedag &amp; Tecnol Colombia, Ciencias Tierra, Sogamoso, Colombia; [Bermudez-Cella, Mauricio A.] Univ Pedag &amp; Tecnol Colombia, Escuela Ingn Geol, Sogamoso, Colombia; [Gil-Leguizamon, Pablo] Univ Pedag &amp; Tecnol Colombia, Escuela Ingn Ambiental, Tunja, Colombia</t>
  </si>
  <si>
    <t>Poveda-Sotelo, Y (corresponding author), Univ Pedag &amp; Tecnol Colombia, Ciencias Tierra, Sogamoso, Colombia.</t>
  </si>
  <si>
    <t>yoan.poveda@uptc.edu.co; mauricio.bermudez@uptc.edu.co; pablo.gil@uptc.edu.co</t>
  </si>
  <si>
    <t>Bermudez, Mauricio A/0000-0003-0584-4790</t>
  </si>
  <si>
    <t>10.18273/revbol.v44n2-2022002</t>
  </si>
  <si>
    <t>WOS:000826221200002</t>
  </si>
  <si>
    <t>Martin, AFM; Cascante, ARO</t>
  </si>
  <si>
    <t>Martinez Martin, Abel Fernando; Otalora Cascante, Andres Ricardo</t>
  </si>
  <si>
    <t>Litle by little The church of the Society of Jesus in Tunja, 1611-1986</t>
  </si>
  <si>
    <t>IHS ANTIGUOS JESUITAS EN IBEROAMERICA</t>
  </si>
  <si>
    <t>New Granada architecture; American Church History; Urban history; Church of the Society of Jesus; Tunja</t>
  </si>
  <si>
    <t>This paper explores the origins of the church of the Society of Jesus in Tunja dated from the beginning of the 17th century, when the temple was start inside a house half a block from the main square, acquired by the Jesuits to stablish their school-novitiate, which grew with many difficulties until it was completed on the site of the original house. For a century, the church served as the college-novitiate, without direct access from the outside. The facade can only be seen from the street in the middle of the 18th century. After the expulsion, the change of uses of the temple began, which would become a convent-hospital and college-university. In the seventies of the 20th century, an intervention was carried out for tourist purposes that disfigured its spatiality and turned it into a concert hall. Today it is used again as a temple.</t>
  </si>
  <si>
    <t>[Martinez Martin, Abel Fernando] Hosp San Rafael Tunja, Museo Hist Med &amp; Salud, Fac Ciencias Salud UPTC, Tunja, Colombia; [Otalora Cascante, Andres Ricardo] Univ Pedag &amp; Tecnol Colombia UPTC, Grp Hist Salud Boyaca, Tunja, Colombia</t>
  </si>
  <si>
    <t>Martin, AFM (corresponding author), Hosp San Rafael Tunja, Museo Hist Med &amp; Salud, Fac Ciencias Salud UPTC, Tunja, Colombia.</t>
  </si>
  <si>
    <t>abelfmartinez@gmail.com; arotalorac@unal.edu.co</t>
  </si>
  <si>
    <t>CENTRO INVESTIGACIONES SOC &amp; CULTURA</t>
  </si>
  <si>
    <t>CORDOBA</t>
  </si>
  <si>
    <t>ROUNDEAU 471, NUEVA CORDOBA, CORDOBA, 5000, ARGENTINA</t>
  </si>
  <si>
    <t>2314-3908</t>
  </si>
  <si>
    <t>IHS ANTIG JESUITAS I</t>
  </si>
  <si>
    <t>IHS Antig. Jesuitas Iberoam.</t>
  </si>
  <si>
    <t>10.31057/2314.3908.v10.37312</t>
  </si>
  <si>
    <t>1K2JM</t>
  </si>
  <si>
    <t>WOS:000798433700001</t>
  </si>
  <si>
    <t>Useche, IV</t>
  </si>
  <si>
    <t>Vanegas Useche, Isidro</t>
  </si>
  <si>
    <t>The dagger at the throat of the oppressor. Intellectuals and political violence in Colombia today</t>
  </si>
  <si>
    <t>HISTORIA CARIBE</t>
  </si>
  <si>
    <t>Portuguese</t>
  </si>
  <si>
    <t>Colombia; intellectuals; violence; guerrillas; memory</t>
  </si>
  <si>
    <t>This article rebuilds the place that a group of Colombian intellectuals, who could be called progressives, gave to violence the meaning of a political action instrument, between 1985 and the present time. It confirms how, among that group, the apologists for violence as a creative agent of a new order decreased. However, it also presents how that attitude did not lead to an absolute rejection of violence, since it gave grounds as a guarantor of some essential changes, which that were supposedly not possible through the usual channels.</t>
  </si>
  <si>
    <t>[Vanegas Useche, Isidro] Univ Pedag &amp; Tecnol Colombia, Tunja, Colombia</t>
  </si>
  <si>
    <t>Useche, IV (corresponding author), Univ Pedag &amp; Tecnol Colombia, Tunja, Colombia.</t>
  </si>
  <si>
    <t>isidrovanegas@yahoo.fr</t>
  </si>
  <si>
    <t>UNIV ATLANTICO, CENTRO INVESTIGACIONES HISTORICAS EDUCACION &amp; IDENTIDAD</t>
  </si>
  <si>
    <t>BARRANQUILLA</t>
  </si>
  <si>
    <t>CARRERA 43 NO 50-53, BARRANQUILLA, 00000, COLOMBIA</t>
  </si>
  <si>
    <t>0122-8803</t>
  </si>
  <si>
    <t>2322-6889</t>
  </si>
  <si>
    <t>HIST CARIBE</t>
  </si>
  <si>
    <t>Hist. Caribe</t>
  </si>
  <si>
    <t>10.15648/hc.40.2022.3208</t>
  </si>
  <si>
    <t>1X5RK</t>
  </si>
  <si>
    <t>WOS:000807510600010</t>
  </si>
  <si>
    <t>Useche, LSV; Useche, CV</t>
  </si>
  <si>
    <t>Vega Useche, Leonel Santiago; Vega Useche, Camilo</t>
  </si>
  <si>
    <t>How long should the pre-operative fasting time be in patients with enteral tube nutrition?</t>
  </si>
  <si>
    <t>ANAESTHESIA PAIN &amp; INTENSIVE CARE</t>
  </si>
  <si>
    <t>Letter</t>
  </si>
  <si>
    <t>Adult; Elective Surgical Procedures; Enteral nutrition; Fasting; Humans; Intensive Care Units; Nutritional Status; Practice Guidelines as Topic; Preoperative Care; methods; Preoperative Period; Critical Illness; therapy; Patient Safety; Risk Management</t>
  </si>
  <si>
    <t>The authors have touched a very important aspect of anesthesia and surgical practice, regarding the period of preoperative fasting for patients who are on enteral feeding. The authors recommend a fasting time between 45 min and 4 h (if the airway is to be manipulated during the procedure), is adequate to perform surgical procedures in patients with enteral tube nutrition. In other patients gastric suctioning before the procedure might be adequate.</t>
  </si>
  <si>
    <t>[Vega Useche, Leonel Santiago; Vega Useche, Camilo] Univ Pedag &amp; Tecnol Colombia, Clin Reina Sofia, Boyaca, Colombia</t>
  </si>
  <si>
    <t>Useche, LSV (corresponding author), Univ Pedag &amp; Tecnol Colombia, Clin Reina Sofia, Boyaca, Colombia.</t>
  </si>
  <si>
    <t>leonelvegau@gmail.com; acamilovega@gmail.com</t>
  </si>
  <si>
    <t>ISLAMABAD</t>
  </si>
  <si>
    <t>C/O TARIQ HAYAT KHAN, ED, 60-A, NAZIM-UD-DIN RD, ISLAMABAD, 00000, PAKISTAN</t>
  </si>
  <si>
    <t>1607-8322</t>
  </si>
  <si>
    <t>2220-5799</t>
  </si>
  <si>
    <t>ANAESTH PAIN INTENSI</t>
  </si>
  <si>
    <t>Anaesth. Pain Intensive Care</t>
  </si>
  <si>
    <t>10.35975/apic.v26i4.1970</t>
  </si>
  <si>
    <t>Anesthesiology</t>
  </si>
  <si>
    <t>4X7XA</t>
  </si>
  <si>
    <t>WOS:000861049300025</t>
  </si>
  <si>
    <t>Torres, MM; Mayorga, FN</t>
  </si>
  <si>
    <t>Macias Torres, M.; Naranjo Mayorga, F.</t>
  </si>
  <si>
    <t>Characterization of resilience in Aedes aegypti mosquito networks</t>
  </si>
  <si>
    <t>PHYSICA A-STATISTICAL MECHANICS AND ITS APPLICATIONS</t>
  </si>
  <si>
    <t>Resilience; Ecological network; Migration probability; Aedes aegypti; Critical parameters; Dynamic modeling</t>
  </si>
  <si>
    <t>In this work, the resilience study of the Aedes aegypti mosquito network built in urban areas of Colombia is presented. We define the network based on the Skeeter-Buster model, where each node is represented by a mosquito habitat in each zone. The state that defines the population of each node depends on the gonotrophic cycle of the species and the environmental conditions. Interactions between nodes are defined by the probability that mosquitoes migrate from one node to another (P (d(ij))). The topology of the network is evaluated and the dynamic equation of the system is defined, through which the universal resilience function is obtained in the A. aegypti mosquito network. We found that the more heterogeneous networks are more likely to be resilient, so a strategy could be sought to manipulate this property in A. aegypti networks. The phase transitions have been located for each constructed network and the fixed points in the phase space were characterized. One of the most important contributions is the migration probability of the vector P (d(ij)), which offers a good approximation to the migratory behavior of the vector as a function of the mean flight distance and the distance between habitats. Finally, it is observed in the dynamics of the network that the population growth presents different values of effective mean degree (beta(eff)), with values between 1.6 and 5.57, highlighting the case of Villavicencio with a value of 1.6309. (C) 2022 Elsevier B.V. All rights reserved.</t>
  </si>
  <si>
    <t>[Macias Torres, M.; Naranjo Mayorga, F.] Univ Pedag &amp; Tecnol Colombia, Grp Fis Teor &amp; Computac, Tunja, Colombia</t>
  </si>
  <si>
    <t>Torres, MM (corresponding author), Univ Pedag &amp; Tecnol Colombia, Grp Fis Teor &amp; Computac, Tunja, Colombia.</t>
  </si>
  <si>
    <t>maikol.macias@uptc.edu.co</t>
  </si>
  <si>
    <t>0378-4371</t>
  </si>
  <si>
    <t>1873-2119</t>
  </si>
  <si>
    <t>PHYSICA A</t>
  </si>
  <si>
    <t>Physica A</t>
  </si>
  <si>
    <t>JUN 15</t>
  </si>
  <si>
    <t>10.1016/j.physa.2022.127114</t>
  </si>
  <si>
    <t>1V5WT</t>
  </si>
  <si>
    <t>WOS:000806160300016</t>
  </si>
  <si>
    <t>Marquez, L; Pineda, LX; Poveda, JC</t>
  </si>
  <si>
    <t>Marquez, Luis; Pineda, Laura X.; Poveda, Juan C.</t>
  </si>
  <si>
    <t>Mobility-impaired people's preferences for a specialized paratransit service as BRT's feeder: The role of autonomy, relatedness, and competence</t>
  </si>
  <si>
    <t>TRANSPORTATION RESEARCH PART A-POLICY AND PRACTICE</t>
  </si>
  <si>
    <t>Self-determination theory; Autonomy; Hybrid discrete choice model; Mobility-impaired people; Transportation feeder services</t>
  </si>
  <si>
    <t>SELF-DETERMINATION THEORY; PUBLIC TRANSPORT; BEHAVIOR; CHOICE; MODEL; SATISFACTION; ENVIRONMENT; MOTIVATION; ATTITUDES; TRIPS</t>
  </si>
  <si>
    <t>Transportation is a very important element in the well-being of mobility-impaired people. However, people with disabilities often struggle to access transportation services at all, especially if they live in mountain areas. This study is aimed at better understanding the main factors that affect the preferences for a new specialized paratransit service as BRT's feeder to serve the portion of the trip that mobility-impaired people cannot manage. We hypothesized that in addition to some observable attributes of the transportation services, such as time and travel cost, mobility-impaired people's preferences for a specialized paratransit service as BRT's feeder could be better explained by using a hybrid discrete choice model based on the Self-Determination Theory (SDT). We gathered responses through a stated-preference survey (N = 350), in which respondents faced a series of choice situations among three BRT feeder alternatives: bus, cable car and a new specialized service. We also obtained indicator ratings through a basic psychological needs satisfaction scale to identify the latent variables in relation to the SDT. Modeling results supported our hypothesis that the preferences of mobility-impaired people are better explained by considering the three innate psychological needs. We found empirical evidence linking the components of the SDT, i.e. Autonomy, Relatedness, and Competence, with preferences for the specialized transportation service as BRT's feeder in the study context. The multipliers of values of time savings derived from the model showed that mobility-impaired people place access time four times more important than travel time. We accounted for the heterogeneity in value of travel time savings and found that the greater the autonomy in mobility-impaired people the greater their sensitivity to the specialized transportation service's fare. We concluded that Autonomy, Relatedness, and Competence play an important role in the preferences of mobility-impaired people. Autonomy is a determining factor in perception of alternative fares. Competence motivates mobility-impaired people to use the specialized paratransit service as BRT's feeder, while Relatedness motivates mobility-impaired people to use the same transportation alternatives used by others.</t>
  </si>
  <si>
    <t>[Marquez, Luis; Pineda, Laura X.; Poveda, Juan C.] Univ Pedag &amp; Tecnol Colombia, Ave Cent Norte 39-115, Tunja, Colombia</t>
  </si>
  <si>
    <t>Marquez, L (corresponding author), Univ Pedag &amp; Tecnol Colombia, Ave Cent Norte 39-115, Tunja, Colombia.</t>
  </si>
  <si>
    <t>luis.marquez@uptc.edu.co; laura.pineda02@uptc.edu.co; juan.poveda@uptc.edu.co</t>
  </si>
  <si>
    <t>PERGAMON-ELSEVIER SCIENCE LTD</t>
  </si>
  <si>
    <t>THE BOULEVARD, LANGFORD LANE, KIDLINGTON, OXFORD OX5 1GB, ENGLAND</t>
  </si>
  <si>
    <t>0965-8564</t>
  </si>
  <si>
    <t>1879-2375</t>
  </si>
  <si>
    <t>TRANSPORT RES A-POL</t>
  </si>
  <si>
    <t>Transp. Res. Pt. A-Policy Pract.</t>
  </si>
  <si>
    <t>10.1016/j.tra.2022.09.008</t>
  </si>
  <si>
    <t>Economics; Transportation; Transportation Science &amp; Technology</t>
  </si>
  <si>
    <t>Business &amp; Economics; Transportation</t>
  </si>
  <si>
    <t>5D9YH</t>
  </si>
  <si>
    <t>WOS:000865288200004</t>
  </si>
  <si>
    <t>Funeme, C; Lopez, L</t>
  </si>
  <si>
    <t>Funeme, Cristian; Lopez, Luz</t>
  </si>
  <si>
    <t>Didactic-mathematical knowledge of some teachers about prime numbers</t>
  </si>
  <si>
    <t>ALTERIDAD-REVISTA DE EDUCACION</t>
  </si>
  <si>
    <t>Knowledge; didactics; onto-semiotic approach; educational indicator; prime number; mathematical object</t>
  </si>
  <si>
    <t>The study of the teacher's knowledge has become one of the most relevant lines of research nowadays, considering that it encompasses different factors that have a direct implication in the teaching and learning processes. Considering the above, the objective was to establish the mathematics teacher's knowledge of prime numbers through the Didactic-Mathematical Knowledge Model (CDM). For this purpose, a case study was carried out in which five teachers who work in basic secondary education in different educational institutions in Colombia were taken as the unit of analysis. For the design of instruments and the analysis of the information, the indicators of didactic-mathematical knowledge of the CDM were taken and three situations related to epistemic, cognitive, affective, interactional, mediational, and ecological elements of prime numbers were designed. From the analysis made by the teachers to the situations, concrete elements emerged that revealed the teachers' knowledge regarding prime numbers and some factors that evidence their difficulty in handling the connection of this type of numbers with other objects of mathematics. In addition, it is concluded that teachers do not manage to give students a broad vision of the meaning of these numbers by not knowing cognitive and epistemic elements that make possible their management in the classroom.</t>
  </si>
  <si>
    <t>[Funeme, Cristian; Lopez, Luz] Univ Pedag &amp; Tecnol Colombia, Tunja, Colombia</t>
  </si>
  <si>
    <t>Funeme, C (corresponding author), Univ Pedag &amp; Tecnol Colombia, Tunja, Colombia.</t>
  </si>
  <si>
    <t>cristian.funeme@uptc.edu.co; luz.lopez01@uptc.edu.co</t>
  </si>
  <si>
    <t>UNIV POLITECNICA SALESIANA ECUADOR-SALESIAN POLYTECNIC UNIV</t>
  </si>
  <si>
    <t>CUENCA</t>
  </si>
  <si>
    <t>CALLE TURUHUAYO 3-69 &amp; CALLE VIEJA, CUENCA, 00000, ECUADOR</t>
  </si>
  <si>
    <t>1390-325X</t>
  </si>
  <si>
    <t>1390-8642</t>
  </si>
  <si>
    <t>ALTERIDAD</t>
  </si>
  <si>
    <t>Alteridad</t>
  </si>
  <si>
    <t>10.17163/alt.v17n2.2022.04</t>
  </si>
  <si>
    <t>2V3DV</t>
  </si>
  <si>
    <t>WOS:000823732000005</t>
  </si>
  <si>
    <t>Meneses, TA; Casas, NMM; Puertas, JAV</t>
  </si>
  <si>
    <t>Alvarez Meneses, Tannia; Murcia Casas, Nancy Margot; Vega Puertas, Judith Alexandra</t>
  </si>
  <si>
    <t>Emerald corridor at the west of Colombia. A starting point for the development of tourism</t>
  </si>
  <si>
    <t>PERIPLO SUSTENTABLE</t>
  </si>
  <si>
    <t>Emerald corridor; geo-referencing and tourist attractions'inventory</t>
  </si>
  <si>
    <t>The article presents the result of the inventory survey of the tourist attractions of the emerald corridor formed by the municipalities of Muzo, Ouipama, Coper and Otanche of the Western Province of the Department of Boyaca in Colombia. The inventory includes the georeferencing of each of the resources and attractions, as well as the description and assessment. Information, that allows to establish the potential of the region for tourism as an alternative for local development and its projection as a safe and favorable region for the arrival of national and international visitors and tourists. The survey was carried out taking into account the methodology established by the Ministry of Industry, Commerce and Tourism in 2010, which presents the criteria for the classification and assessment of each of the resources and attractions that are identified in a geographical space. Also, based on the georeferencing obtained, maps were created which will be used in the future for the design of tourist routes and the planning of the territory in the field of tourism.</t>
  </si>
  <si>
    <t>[Alvarez Meneses, Tannia; Murcia Casas, Nancy Margot; Vega Puertas, Judith Alexandra] Univ Pedag &amp; Tecnol Colombia, Tunja, Colombia</t>
  </si>
  <si>
    <t>Meneses, TA (corresponding author), Univ Pedag &amp; Tecnol Colombia, Tunja, Colombia.</t>
  </si>
  <si>
    <t>tannia.alvarez@uptc.edu.co</t>
  </si>
  <si>
    <t>UNIV AUTONOMA ESTADO MEXICO, FAC TURISMO GASTRONOMIA</t>
  </si>
  <si>
    <t>TOLUCA</t>
  </si>
  <si>
    <t>INSTITUTO LITERARIO NO 100, TOLUCA, 50000, MEXICO</t>
  </si>
  <si>
    <t>1870-9036</t>
  </si>
  <si>
    <t>Periplo Sustentable</t>
  </si>
  <si>
    <t>1V3HT</t>
  </si>
  <si>
    <t>WOS:000805986000001</t>
  </si>
  <si>
    <t>Romero-Cuervo, WA; Pinzon-Sandoval, EH; Luis-Ayala, MA</t>
  </si>
  <si>
    <t>Andres Romero-Cuervo, Wilmar; Hernando Pinzon-Sandoval, Elberth; Alexander Luis-Ayala, Marco</t>
  </si>
  <si>
    <t>Phenology and growth flower of Dianthus caryophyllus L. cv. 'MOON LIGHT' under greenhouse</t>
  </si>
  <si>
    <t>Phenological stages; growing degree days; growth rates; logistic model</t>
  </si>
  <si>
    <t>THERMAL TIME</t>
  </si>
  <si>
    <t>Carnation crop in Colombia is one of the main income generating activities in Colombian floriculture. However, the growth dynamics and its relationship with thermal time are unknown. For this reason, the objective of this research was to determine the growth and development of carnation (Dianthus caryophyllus L.) cv. 'Moon Light' in thermal time when grown in a greenhouse in Bogota savanna. This research was developed based on the phenological stages and accumulation of Growing Degree Days (GDD). Fresh and dry weight accumulation is fitted to a logistic model that generated a sigmoid type curve. The carnation flower cv. 'Moon light' presented a constant accumulation of dry weight from 15.3 GDD (stage 0 rice) to 777.6 GDD (cut point). The Absolute Growth Rate (AGR) increased slowly during phase I. It presents a rapid and constant gain until reaching the cut-off point with a value of 0.035 g per GDC and an accumulation of 777.6 GDC. The Relative Growth Rate (RGR) presented a continuous decrease with an initial value of 0.0049 g g(-1) per GDD in the bullet stage and a value of 0.0024 g g(-1) per GDD at the cut-off point. Through the results obtained, the floriculture sector will have a technical tool within the productive projection of the carnation variety 'Moon Light' grown in a greenhouse.</t>
  </si>
  <si>
    <t>[Andres Romero-Cuervo, Wilmar; Hernando Pinzon-Sandoval, Elberth; Alexander Luis-Ayala, Marco] Univ Pedag &amp; Tecnol Colombia, Tunja, Colombia</t>
  </si>
  <si>
    <t>Romero-Cuervo, WA (corresponding author), Univ Pedag &amp; Tecnol Colombia, Tunja, Colombia.</t>
  </si>
  <si>
    <t>romerow_91@hotmall.com; elberth.pinzon@uptc.edu.co; marco.luis@uptc.edu.co</t>
  </si>
  <si>
    <t>10.22267/rcia.213802.166</t>
  </si>
  <si>
    <t>WOS:000861324500001</t>
  </si>
  <si>
    <t>Vanishing viscosity limit for Riemann solutions to a 2 x 2 hyperbolic system with linear damping</t>
  </si>
  <si>
    <t>ASYMPTOTIC ANALYSIS</t>
  </si>
  <si>
    <t>Nonstrictly hyperbolic system; linear damping; Riemann problem; time-dependent viscous system; delta shock wave solution</t>
  </si>
  <si>
    <t>DELTA-SHOCK-WAVES; MODEL-EQUATIONS; EXISTENCE; BEHAVIOR; DYNAMICS</t>
  </si>
  <si>
    <t>In this paper, we propose a time-dependent viscous system and by using the vanishing viscosity method we show the existence of solutions for the Riemann problem to a particular 2 x 2 system of conservation laws with linear damping.</t>
  </si>
  <si>
    <t>[De la Cruz, Richard; Juajibioy, Juan] Univ Pedag &amp; Tecnol Colombia, Sch Math &amp; Stat, Av Cent Norte 39-115 M-101, Tunja 150003, Boyaca, Colombia</t>
  </si>
  <si>
    <t>De la Cruz, R (corresponding author), Univ Pedag &amp; Tecnol Colombia, Sch Math &amp; Stat, Av Cent Norte 39-115 M-101, Tunja 150003, Boyaca, Colombia.</t>
  </si>
  <si>
    <t>IOS PRESS</t>
  </si>
  <si>
    <t>NIEUWE HEMWEG 6B, 1013 BG AMSTERDAM, NETHERLANDS</t>
  </si>
  <si>
    <t>0921-7134</t>
  </si>
  <si>
    <t>1875-8576</t>
  </si>
  <si>
    <t>ASYMPTOTIC ANAL</t>
  </si>
  <si>
    <t>Asymptotic Anal.</t>
  </si>
  <si>
    <t>10.3233/ASY-211690</t>
  </si>
  <si>
    <t>YV0NZ</t>
  </si>
  <si>
    <t>WOS:000752432000004</t>
  </si>
  <si>
    <t>Lagos, JIB; Mayorga, WB</t>
  </si>
  <si>
    <t>Becerra Lagos, Jose Inocencio; Becerra Mayorga, Witton</t>
  </si>
  <si>
    <t>PLANTS, ANIMALS AND ROADS IN THE POETRY OF HUGO JAMIOY</t>
  </si>
  <si>
    <t>ACTA POETICA</t>
  </si>
  <si>
    <t>Indigenous Oralitures; Hugo Jamioy; Camentsa Poetry; Nature; Ecocriticism</t>
  </si>
  <si>
    <t>Several works of contemporary indigenous literature from Latin America can be read as a scenario of lyrical and narrative proposal of a harmonious relationship between human beings and nature. Almost always in their own language, each poet criticizes, describes and proposes variants of this relationship, born from the way their people live with nature. In the collection of poems Binybe oboyejuayeng (Dancers of the Wind), by Hugo Jamioy, we have found three thematic axes in which this relationship unfolds: the presence of plants, animals and roads. In this article, we will interpret these presences in some poems, complementing the analysis with the place they have in Camentsa culture.</t>
  </si>
  <si>
    <t>[Becerra Lagos, Jose Inocencio; Becerra Mayorga, Witton] Univ Pedag &amp; Tecnol Colombia, Bogota, Colombia</t>
  </si>
  <si>
    <t>Lagos, JIB (corresponding author), Univ Pedag &amp; Tecnol Colombia, Bogota, Colombia.</t>
  </si>
  <si>
    <t>jose.becerra01@uptc.edu.co; witton.becerra@uptc.edu.co</t>
  </si>
  <si>
    <t>UNIV NAC AUTONOMA MEXICO, INST INVESTIGACIONES FILOLOGICAS</t>
  </si>
  <si>
    <t>MEXICO CITY</t>
  </si>
  <si>
    <t>CIRCUITO MARIO CUEVA, ZONA CULTURAL, MEXICO CITY, DF 04510, MEXICO</t>
  </si>
  <si>
    <t>0185-3082</t>
  </si>
  <si>
    <t>2448-735X</t>
  </si>
  <si>
    <t>Acta Poetica</t>
  </si>
  <si>
    <t>10.19130/iifl.ap.2022.2.178x270s5</t>
  </si>
  <si>
    <t>Literary Theory &amp; Criticism; Literature</t>
  </si>
  <si>
    <t>4L5YG</t>
  </si>
  <si>
    <t>WOS:000852706100005</t>
  </si>
  <si>
    <t>Boyaca-Munoz, M; Diaz-Medina, AV; Gonzalez-Rodriguez, AM</t>
  </si>
  <si>
    <t>Boyaca-Munoz, Maribel; Valentina Diaz-Medina, Andrea; Mireya Gonzalez-Rodriguez, Angela</t>
  </si>
  <si>
    <t>Territory in transit. A meeting of subjectivities located within the creative act</t>
  </si>
  <si>
    <t>CALLE 14-REVISTA DE INVESTIGACION EN EL CAMPO DEL ARTE</t>
  </si>
  <si>
    <t>Art; artistic creation; identities; territories</t>
  </si>
  <si>
    <t>This manifesto of territorial subjectivities offers three views on territory, which imply a relationship of reciprocity. The first view will be referred to as art-territory. Secondly, we postulate the construction of a category that we define as transit territory. This is a category that is represented both physically and symbolically. Thirdly, in recent times, a dialogue has been developing around the drift from the urban to the rural, and from this conversation has arisen the constant search to understand the symbiosis located within inhabit-becoming-identity. Thus, within this exploration the act of creating and being created emerges. This article claims that this act can be understood as a declaration of a territory that immerses us in the subjective formation of bodies, as forms of malleable matter. Thus, the article argues that the natural habitat was questioned when art became the interpreter of life and territories as a dynamic construction in society were defined.</t>
  </si>
  <si>
    <t>[Boyaca-Munoz, Maribel; Valentina Diaz-Medina, Andrea; Mireya Gonzalez-Rodriguez, Angela] Univ Pedag &amp; Tecnol Colombia, Tunja, Boyaca, Colombia</t>
  </si>
  <si>
    <t>Boyaca-Munoz, M (corresponding author), Univ Pedag &amp; Tecnol Colombia, Tunja, Boyaca, Colombia.</t>
  </si>
  <si>
    <t>maribel.boyaca@uptc.edu.co; andrea.diaz02@uptc.edu.co; angela.gonzalez06@uptc.edu.co</t>
  </si>
  <si>
    <t>UNIV DISTRITAL FRANCISCO JOSE DE CALDAS, FAC ARTES ASAB</t>
  </si>
  <si>
    <t>CRA 13 NO 14-69, BOGOTA, 00000, COLOMBIA</t>
  </si>
  <si>
    <t>2011-3757</t>
  </si>
  <si>
    <t>2145-0706</t>
  </si>
  <si>
    <t>CALLE 14</t>
  </si>
  <si>
    <t>Calle 14</t>
  </si>
  <si>
    <t>10.14483/21450706.19627</t>
  </si>
  <si>
    <t>Art</t>
  </si>
  <si>
    <t>3F2ZZ</t>
  </si>
  <si>
    <t>WOS:000830540200009</t>
  </si>
  <si>
    <t>Sanchez, JAJ; Bulla-Castaneda, DM; Diaz-Anaya, AM; Garcia-Corredor, DJ; Pulido-Medellin, MO</t>
  </si>
  <si>
    <t>Jimenez Sanchez, Jorge Alejandro; Maria Bulla-Castaneda, Diana; Maria Diaz-Anaya, Adriana; Jose Garcia-Corredor, Diego; Orlando Pulido-Medellin, Martin</t>
  </si>
  <si>
    <t>Serological determination of enzootic bovine leukosis virus (EBLV) in the municipality of Paipa, Boyaca (Colombia)</t>
  </si>
  <si>
    <t>REVISTA MEXICANA DE CIENCIAS PECUARIAS</t>
  </si>
  <si>
    <t>Bovine diseases; Leukosis; Seroprevalence; ELISA</t>
  </si>
  <si>
    <t>LEUKEMIA-VIRUS; INFECTION; SEROPREVALENCE; POPULATION; ANIMALS</t>
  </si>
  <si>
    <t>Enzootic Bovine Leukosis (EBL) is an economically important infection of dairy cattle, caused by the Enzootic Bovine Leukemia Virus (EBLV). The usual method of spread of EBLV infection is horizontal transmission, through direct and indirect exposure of susceptible animals to infected lymphocytes from blood or milk. After infection, animals appear to be clinically healthy during the first years after infection, but between 30 and 70 % of animals may develop persistent lymphocytosis and 0.1 to 10 % of cattle suffer from lymphosarcoma. This infection is detected by serological tests, usually by the enzyme-linked immunosorbent assay (ELISA). The objective of this research was to determine the seroprevalence of EBLV in bovine females from the municipality of Paipa (Boyaca). The epidemiological study was Descriptive Observational (Cross-sectional) with simple random sampling, where 1000 serum samples were collected, which were processed using the indirect ELISA technique implementing the commercial kit SERELISA (R) BLV Ab Mono Blocking. A seroprevalence of 31.1 % (311/1000) was determined, finding a statistically significant association between breed, age and seropositivity for the virus.</t>
  </si>
  <si>
    <t>[Jimenez Sanchez, Jorge Alejandro; Maria Bulla-Castaneda, Diana; Maria Diaz-Anaya, Adriana; Jose Garcia-Corredor, Diego; Orlando Pulido-Medellin, Martin] Univ Pedag &amp; Tecnol Colombia, Fac Ciencias Agr, Grp Invest Med Vet &amp; Zootecnia GIDIMEVETZ, Ave Cent Norte 39-115, Tunja, Boyaca, Colombia</t>
  </si>
  <si>
    <t>Pulido-Medellin, MO (corresponding author), Univ Pedag &amp; Tecnol Colombia, Fac Ciencias Agr, Grp Invest Med Vet &amp; Zootecnia GIDIMEVETZ, Ave Cent Norte 39-115, Tunja, Boyaca, Colombia.</t>
  </si>
  <si>
    <t>martin.pulido@uptc.edu.co</t>
  </si>
  <si>
    <t>INIFAP-CENID PARASITOLOGIA VETERINARIA</t>
  </si>
  <si>
    <t>JIUTEPEC C P</t>
  </si>
  <si>
    <t>CARRETERA FEDERAL CUERNAVACA-CUAUTIA NO 8534, COL PROGRESSO, JIUTEPEC C P, 06300 D F, MEXICO</t>
  </si>
  <si>
    <t>2007-1124</t>
  </si>
  <si>
    <t>2448-6698</t>
  </si>
  <si>
    <t>REV MEX CIENC PECU</t>
  </si>
  <si>
    <t>Rev. Mex. Cienc. Pecu.</t>
  </si>
  <si>
    <t>JAN-MAR</t>
  </si>
  <si>
    <t>10.22319/rmcp.v13i1.5675</t>
  </si>
  <si>
    <t>Agriculture, Dairy &amp; Animal Science</t>
  </si>
  <si>
    <t>2P8AF</t>
  </si>
  <si>
    <t>WOS:000819955900014</t>
  </si>
  <si>
    <t>Montenegro, IRM; Castaneda, AF</t>
  </si>
  <si>
    <t>Miranda Montenegro, Ivan Ricardo; Fajardo Castaneda, Alberto</t>
  </si>
  <si>
    <t>Bilingualism Policy: Discursive Reconfiguration of the Concept of Bilingual Nation and Citizen</t>
  </si>
  <si>
    <t>CUADERNOS DE LINGUISTICA HISPANICA</t>
  </si>
  <si>
    <t>bilingual nation; bilingualism policy; critical discourse analysis</t>
  </si>
  <si>
    <t>The article presents preliminary results in the discursive reconfiguration of the concepts of nation and citizen within the framework of a research study that explores social representations and identities based on the circulating discourses of the educational policy of bilingualism in Colombia. The postulates of the Critical Discourse Analysis (CDA) allow to undertake a conceptual and methodological approach from a corpus which incorporates sections from some editions of the Altablero newspaper and from documents related to the subject of bilingualism policy that have been published online by the Colombian Ministry of Education (MEN). The paper especially analyses textual fragments that promote a socio-cultural assimilation that is discursively represented in the conception of the bilingual nation as a legitimate aspiration and a cultural asset that requires bilingual citizens as a fundamental condition of belonging and acceptance both in the projected nation and in the global community.</t>
  </si>
  <si>
    <t>[Miranda Montenegro, Ivan Ricardo] Univ Pedag &amp; Tecnol Colombia, Inst Int Idiomas, Tunja, Colombia; [Fajardo Castaneda, Alberto] Univ Pedag &amp; Tecnol Colombia, Escuela Idiomas, Tunja, Colombia</t>
  </si>
  <si>
    <t>Montenegro, IRM (corresponding author), Univ Pedag &amp; Tecnol Colombia, Inst Int Idiomas, Tunja, Colombia.</t>
  </si>
  <si>
    <t>ivan.miranda@uptc.edu.co; albertofajardocas@hotmail.com</t>
  </si>
  <si>
    <t>0121-053X</t>
  </si>
  <si>
    <t>2346-1829</t>
  </si>
  <si>
    <t>CUAD LINGUIST HISP</t>
  </si>
  <si>
    <t>Cuad. Linguist. Hisp.</t>
  </si>
  <si>
    <t>e11739</t>
  </si>
  <si>
    <t>10.19053/0121053X.n39.2022.11739</t>
  </si>
  <si>
    <t>Linguistics</t>
  </si>
  <si>
    <t>ZC3UK</t>
  </si>
  <si>
    <t>WOS:000757448900002</t>
  </si>
  <si>
    <t>Rodriguez, A</t>
  </si>
  <si>
    <t>Rodriguez, Angela</t>
  </si>
  <si>
    <t>EFL Teachers' Gendered Identity Constructions in their Doings, Sayings, and Relatings</t>
  </si>
  <si>
    <t>COLOMBIAN APPLIED LINGUISTICS JOURNAL</t>
  </si>
  <si>
    <t>femininities; feminist poststructuralist discourse analysis; gender identities; femininities; masculinities; pedagogical practices; teaching practice architectures; doings; sayings; relatings</t>
  </si>
  <si>
    <t>MASCULINITY; DISCOURSE; CLASSROOM; LANGUAGE; POWER</t>
  </si>
  <si>
    <t>This article explores a feminist poststructuralist discourse analysis study carried out in a private University in Tunja, Boyaca, Colombia. This study intended to explore the relationship between two EFL university teachers' pedagogical practices and their gendered identity constructions. Said practices were framed in the practice architectures of doings, sayings and relatings proposed by Kemmis at al. Some classes of the aforementioned teachers were video recorded within a period of two months. Subsequently significant moments framed by the research inquiry were identified from the transcripts of the videoed classes and fragmented in excerpts that were examined using the feminist poststructuralist discourse analysis framework. It was revealed that the practice architectures of doings, sayings, and relatings were sites for and outcomes of teachers' gendered identity construction. Additionally, teachers' gendered sayings, doings, and relatings were interweaved, juxtaposed, complemented, and contrasted sites where teachers performed different masculinities and femininities based on their capacities to adapt, resist, contest, and oppose to heteronormative and patriarchal discourses such as gender roles and normative masculine and feminine features. Those gendered constructions were identified as having possible consequences upon students' English language leaning and gendered identity construction.</t>
  </si>
  <si>
    <t>[Rodriguez, Angela] Univ Pedag &amp; Tecnol Colombia, Int Language Inst, Tunja, Colombia</t>
  </si>
  <si>
    <t>Rodriguez, A (corresponding author), Univ Pedag &amp; Tecnol Colombia, Int Language Inst, Tunja, Colombia.</t>
  </si>
  <si>
    <t>angelamilena.rodriguez@uptc.edu.co</t>
  </si>
  <si>
    <t>UNIV DISTRITAL FRANCISCO JOSE DE CALDAS</t>
  </si>
  <si>
    <t>FAC CIENCIAS &amp; EDUC, AVDA CIUDAD QUITO NO 64 81 OF 704NIV DISTRITAL,, BOGOTA, 00000, COLOMBIA</t>
  </si>
  <si>
    <t>0123-4641</t>
  </si>
  <si>
    <t>2248-7085</t>
  </si>
  <si>
    <t>COLOMB APPL LINGUIST</t>
  </si>
  <si>
    <t>Colomb. Appl. Linguist. J.</t>
  </si>
  <si>
    <t>10.14483/22487085.17903</t>
  </si>
  <si>
    <t>1S8UT</t>
  </si>
  <si>
    <t>WOS:000804320200008</t>
  </si>
  <si>
    <t>Ruiz, DM; Pasquale, GA; Martinez, JJ; Romanelli, GP</t>
  </si>
  <si>
    <t>Ruiz, Diego M.; Pasquale, Gustavo A.; Martinez, Jose J.; Romanelli, Gustavo P.</t>
  </si>
  <si>
    <t>Advances in novel activation methods to perform green organic synthesis using recyclable heteropolyacid catalysis</t>
  </si>
  <si>
    <t>GREEN PROCESSING AND SYNTHESIS</t>
  </si>
  <si>
    <t>green chemistry; novel chemical activation methods; heteropolyacids; organic transformations</t>
  </si>
  <si>
    <t>ONE-POT SYNTHESIS; CRUDE JATROPHA OIL; ULTRASOUND-ASSISTED TRANSESTERIFICATION; LIQUID-PHASE OXIDATION; SOLVENT-FREE SYNTHESIS; ECO-FRIENDLY CATALYST; SELECTIVE OXIDATION; EFFICIENT CATALYST; HYDROGEN-PEROXIDE; PHOTOCATALYTIC OXIDATION</t>
  </si>
  <si>
    <t>Highly functionalized, high value added bioactive molecules are generally obtained by synthetic procedures that are highly selective, economical, with high atom economy, and environmentally friendly. Following these guidelines, the use of recoverable solid catalysts, nonpolluting substrates, or toxic organic solvent contributes greatly to these demands. In the last three decades, heteropolyacids (HPAs) and its derivatives have received great attention as recyclable solid catalysts, due to their strong Bronsted acidity, excellent oxidizing capacity under mild conditions, and various reuse cycles without appreciable loss of their catalytic activity. However, new activation methods should be investigated to improve the sustainability of a process using HPAs. In this review, we report the latest advances associated with the synthesis of potentially bioactive molecules using more energy efficient alternatives such as microwaves, ultrasound, mechanochemistry, and photochemistry to minimize the energy consumption associated with organic synthesis. The transformations studied include construction reaction, heterocycle synthesis, selective oxidation, and biomass recovery.</t>
  </si>
  <si>
    <t>[Ruiz, Diego M.; Pasquale, Gustavo A.; Romanelli, Gustavo P.] Univ Nacl La Plata, Fac Ciencias Agr &amp; Forestales, Catedra Quim Organ, CISAV, Calles 60 &amp; 119 S-N B1904AAN, La Plata, Argentina; [Romanelli, Gustavo P.] Univ Nacl La Plata, CINDECA CCT La Plata CONICET, Ctr Invest &amp; Desarrollo Ciencias Aplicadas Dr Jor, Calle 47 257,B1900AJK, La Plata, Argentina; [Martinez, Jose J.] Univ Pedag &amp; Tecnol Colombia UPTC, Fac Ciencias, Escuela Ciencias Quim, Ave Cent Norte,Via Paipa, Tunja, Boyaca, Colombia</t>
  </si>
  <si>
    <t>National University of La Plata; National University of La Plata; Universidad Pedagogica y Tecnologica de Colombia (UPTC)</t>
  </si>
  <si>
    <t>Romanelli, GP (corresponding author), Univ Nacl La Plata, Fac Ciencias Agr &amp; Forestales, Catedra Quim Organ, CISAV, Calles 60 &amp; 119 S-N B1904AAN, La Plata, Argentina.;Romanelli, GP (corresponding author), Univ Nacl La Plata, CINDECA CCT La Plata CONICET, Ctr Invest &amp; Desarrollo Ciencias Aplicadas Dr Jor, Calle 47 257,B1900AJK, La Plata, Argentina.</t>
  </si>
  <si>
    <t>romanelli@agro.unlp.edu.ar</t>
  </si>
  <si>
    <t>CONICET [PIP 0084]; Agencia Nacional de Promocion Cientifica y Tecnica ANPCyT [0157]; UNLP; Comision de Investigaciones Cientificas Provincia de Buenos Aires CICPBA</t>
  </si>
  <si>
    <t>CONICET(Consejo Nacional de Investigaciones Cientificas y Tecnicas (CONICET)); Agencia Nacional de Promocion Cientifica y Tecnica ANPCyT(ANPCyT); UNLP(National University of La Plata); Comision de Investigaciones Cientificas Provincia de Buenos Aires CICPBA</t>
  </si>
  <si>
    <t>This research work was supported by CONICET (PIP 0084), Agencia Nacional de Promocion Cientifica y Tecnica ANPCyT (0157), UNLP, and Comision de Investigaciones Cientificas Provincia de Buenos Aires CICPBA.</t>
  </si>
  <si>
    <t>DE GRUYTER POLAND SP Z O O</t>
  </si>
  <si>
    <t>WARSAW</t>
  </si>
  <si>
    <t>BOGUMILA ZUGA 32A STR, 01-811 WARSAW, MAZOVIA, POLAND</t>
  </si>
  <si>
    <t>2191-9542</t>
  </si>
  <si>
    <t>2191-9550</t>
  </si>
  <si>
    <t>GREEN PROCESS SYNTH</t>
  </si>
  <si>
    <t>Green Process. Synth.</t>
  </si>
  <si>
    <t>AUG 16</t>
  </si>
  <si>
    <t>10.1515/gps-2022-0068</t>
  </si>
  <si>
    <t>3U3LY</t>
  </si>
  <si>
    <t>WOS:000840875600002</t>
  </si>
  <si>
    <t>Martinez-Ovalle, SA; Sajo-Bohus, L; Sajo-Castelli, AM</t>
  </si>
  <si>
    <t>Martinez-Ovalle, S. A.; Sajo-Bohus, L.; Sajo-Castelli, A. M.</t>
  </si>
  <si>
    <t>Linac W-nat target close-in geometry photoneutron study by nuclear track distribution function</t>
  </si>
  <si>
    <t>APPLIED RADIATION AND ISOTOPES</t>
  </si>
  <si>
    <t>Photoneutron; Close-in target geometry; Boron converter; PADC; Histogram unfolding; Radiotherapy</t>
  </si>
  <si>
    <t>NEUTRON; CR-39; DOSIMETRY</t>
  </si>
  <si>
    <t>During electron beam stopping on W-nat target in a linear accelerator, photonuclear (gamma, xn) reactions occur; the tungsten converter provides a non-negligible neutron yield with an energy spectrum that significantly depends on surrounding mass nuclei. Reduction of the neutron radiation field is convenient to limit the side-effects that accompany the tumor or cancer radiotherapy. A close-in irradiation geometry is proposed to improve therapy effectiveness. The convenience of the proposed experimental arrangement is assessed using Monte Carlo simu-lation and experimental results based on nuclear track-etch methodology. Photoneutron yield for two energy groups (thermal and epithermal) are determined experimentally via boron (98%) converter and cadmium-filter employing a passive detector (poly allyl diglicol carbonate polimer). Etched track diameter histograms are described by distribution functions to determine the ratio between thermal and higher energy neutrons. New insights are given into therapy beam quality and radiotherapy dose delivery based on bar histograms unfolding.</t>
  </si>
  <si>
    <t>[Martinez-Ovalle, S. A.] Univ Pedag &amp; Tecnol Colombia, Tunja 150003, Boyaca, Colombia; [Sajo-Bohus, L.] Univ Simon Bolivar, Baruta Ap Do 89000, YV-1080A Caracas, Venezuela; [Sajo-Castelli, A. M.] Numer Algorithms Grp Ltd, 30 St Giles, Oxford OX1 3LE, England; [Martinez-Ovalle, S. A.] Ctr Cancerol Boyaca, Tunja 150003, Boyaca, Colombia</t>
  </si>
  <si>
    <t>Universidad Pedagogica y Tecnologica de Colombia (UPTC); Simon Bolivar University</t>
  </si>
  <si>
    <t>Martinez-Ovalle, SA (corresponding author), Univ Pedag &amp; Tecnol Colombia, Tunja 150003, Boyaca, Colombia.</t>
  </si>
  <si>
    <t>s.agustin.martinez@uptc.edu.co</t>
  </si>
  <si>
    <t>Martinez Ovalle, Segundo Agustin/0000-0003-3044-3008</t>
  </si>
  <si>
    <t>UPTC of Tunja, Colombia</t>
  </si>
  <si>
    <t>We would like to acknowledge Dra Maria Eugenia Morales who kindly supplied track analysis equipment and the Centro de Cancer-ologia de Boyaca which provided the LINAC irradiation facility. In particular, one of the authors (L. S-B) acknowledges the financial support provided during his visit by the UPTC of Tunja, Colombia.</t>
  </si>
  <si>
    <t>0969-8043</t>
  </si>
  <si>
    <t>1872-9800</t>
  </si>
  <si>
    <t>APPL RADIAT ISOTOPES</t>
  </si>
  <si>
    <t>Appl. Radiat. Isot.</t>
  </si>
  <si>
    <t>10.1016/j.apradiso.2022.110360</t>
  </si>
  <si>
    <t>Chemistry, Inorganic &amp; Nuclear; Nuclear Science &amp; Technology; Radiology, Nuclear Medicine &amp; Medical Imaging</t>
  </si>
  <si>
    <t>Chemistry; Nuclear Science &amp; Technology; Radiology, Nuclear Medicine &amp; Medical Imaging</t>
  </si>
  <si>
    <t>4Y1AU</t>
  </si>
  <si>
    <t>WOS:000861265900001</t>
  </si>
  <si>
    <t>Salamanca-Neita, LH; Carvajal, O; Carvajal, JP; Forero-Castro, M; Segura, NA</t>
  </si>
  <si>
    <t>Salamanca-Neita, Lorenzo H.; Carvajal, Oscar; Pablo Carvajal, Juan; Forero-Castro, Maribel; Alexandra Segura, Nidya</t>
  </si>
  <si>
    <t>Comparison of Four Real-Time Polymerase Chain Reaction Assays for the Detection of SARS-CoV-2 in Respiratory Samples from Tunja, Boyaci, Colombia</t>
  </si>
  <si>
    <t>TROPICAL MEDICINE AND INFECTIOUS DISEASE</t>
  </si>
  <si>
    <t>severe acute respiratory syndrome coronavirus 2 (SARS-CoV2); COVID-19; molecular diagnostics; real-time polymerase chain reaction (RT-qPCR)</t>
  </si>
  <si>
    <t>Coronavirus disease (COVID-19) is an infectious disease caused by SARS-CoV-2. In Colombia, many commercial methods are now available to perform the RT-qPCR assays, and laboratories must evaluate their diagnostic accuracy to ensure reliable results for patients suspected of being positive for COVID-19. The purpose of this study was to compare four commercial RT-qPCR assays with respect to their ability to detect the SARS-CoV2 virus from nasopharyngeal swab samples referred to Laboratorio Carvajal IPS, SAS in Tunja, Boyaca, Colombia. We utilized 152 respiratory tract samples (Nasopharyngeal Swabs) from patients suspected of having SARS-CoV-2. The diagnostic accuracy of GeneFinder (TM) COVID-19 Plus RealAmp (In Vitro Diagnostics) (GF-TM), One-Step Real-Time RT-PCR (Vitro Master Diagnostica) (O-S RT-qPCR), and the Berlin modified protocol (BM) were assessed using the gold-standard Berlin protocol (Berlin Charite Probe One-Step RT-qPCR Kit, New England Biolabs) (BR) as a reference. Operational characteristics were estimated in terms of sensitivity, specificity, agreement, and predictive values. Using the gold-standard BR as a reference, the sensitivity/specificity of the diagnostic tests was found to be 100%/92.7% for GF-TM, 92.75%/67.47% for O-S RT-qPCR, and 100%/96.39% for the BM protocol. Using BR as a reference, the sensitivity/specificity for the diagnostic tests were found to be 100%/92.7% for the GF-TM assay, 92.72%/67.47% for the O-S RT-qPCR, and 100%/96.39% for BM. Relative to the BR reference protocol, the GF-TM and BM RT-PCR assays obtained similar results (k = 0.92 and k = 0.96, respectively), whereas the results obtained by O-S-RT-qPCR were only moderately similar. We conclude that the GF-TM and BM protocols offer the best sensitivity and specificity, with similar results in comparison to the gold-standard BR protocol. We recommend evaluating the diagnostic accuracy of the OS-RT-qPCR protocol in future studies with a larger number of samples.</t>
  </si>
  <si>
    <t>[Salamanca-Neita, Lorenzo H.; Carvajal, Oscar; Pablo Carvajal, Juan] SAS, Lab Carvajal IPS, Tunja 150003, Colombia; [Salamanca-Neita, Lorenzo H.; Forero-Castro, Maribel; Alexandra Segura, Nidya] Univ Pedag &amp; Tecnol Colombia, Fac Ciencias, Grp Invest Ciencias Biomed, Tunja 150003, Colombia</t>
  </si>
  <si>
    <t>Salamanca-Neita, LH (corresponding author), SAS, Lab Carvajal IPS, Tunja 150003, Colombia.;Salamanca-Neita, LH; Segura, NA (corresponding author), Univ Pedag &amp; Tecnol Colombia, Fac Ciencias, Grp Invest Ciencias Biomed, Tunja 150003, Colombia.</t>
  </si>
  <si>
    <t>lhsalamanca@uniboyaca.edu.co; nidya.segura@uptc.edu.co</t>
  </si>
  <si>
    <t>segura, alexandra/J-2783-2016</t>
  </si>
  <si>
    <t>segura, alexandra/0000-0001-5810-4847</t>
  </si>
  <si>
    <t>Ministerio de Ciencia Tecnologia e Innovacion (Minciencias) [78326, BPIN: 2020000100102]</t>
  </si>
  <si>
    <t>Ministerio de Ciencia Tecnologia e Innovacion (Minciencias)</t>
  </si>
  <si>
    <t>This study was derived from the research study entitled: Fortalecimiento de capacidades instaladas de Ciencia y Tecnologia de Carvajal Laboratorios IPS SAS para atender problematicas asociadas con agentes biologicos de alto riesgo para la salud humana en el Departamento de Boyaca, funded by the Ministerio de Ciencia Tecnologia e Innovacion (Minciencias) (SIGP CODE: 78326; BPIN: 2020000100102).</t>
  </si>
  <si>
    <t>2414-6366</t>
  </si>
  <si>
    <t>TROP MED INFECT DIS</t>
  </si>
  <si>
    <t>Trop. Med. Infect. Dis.</t>
  </si>
  <si>
    <t>10.3390/tropicalmed7090240</t>
  </si>
  <si>
    <t>Infectious Diseases; Parasitology; Tropical Medicine</t>
  </si>
  <si>
    <t>4U5WJ</t>
  </si>
  <si>
    <t>Green Submitted, gold, Green Published</t>
  </si>
  <si>
    <t>WOS:000858863600001</t>
  </si>
  <si>
    <t>Montiel-Jarillo, G; Morales-Urrea, DA; Contreras, EM; Lopez-Cordoba, A; Gomez-Pachon, EY; Carrera, J; Suarez-Ojeda, ME</t>
  </si>
  <si>
    <t>Montiel-Jarillo, Gabriela; Morales-Urrea, Diego A.; Contreras, Edgardo M.; Lopez-Cordoba, Alex; Yesid Gomez-Pachon, Edwin; Carrera, Julian; Eugenia Suarez-Ojeda, Maria</t>
  </si>
  <si>
    <t>Improvement of the Polyhydroxyalkanoates Recovery from Mixed Microbial Cultures Using Sodium Hypochlorite Pre-Treatment Coupled with Solvent Extraction</t>
  </si>
  <si>
    <t>polyhydroxyalkanoates; mixed microbial cultures; extraction; sodium hypochlorite; dimethyl carbonate; chloroform</t>
  </si>
  <si>
    <t>CUPRIAVIDUS-NECATOR; NMR; POLY(3-HYDROXYBUTYRATE); MICROSTRUCTURE; IMPACT; SLUDGE; PHAS</t>
  </si>
  <si>
    <t>The use of mixed microbial cultures (MMC) and organic wastes and wastewaters as feed sources is considered an appealing approach to reduce the current polyhydroxyalkanoates (PHAs) production costs. However, this method entails an additional hurdle to the PHAs downstream processing (recovery and purification). In the current work, the effect of a sodium hypochlorite (NaClO) pre-treatment coupled with dimethyl carbonate (DMC) or chloroform (CF) as extraction solvents on the PHAs recovery efficiency (RE) from MMC was evaluated. MMC were harvested from a sequencing batch reactor (SBR) fed with a synthetic prefermented olive mill wastewaster. Two different carbon-sources (acetic acid and acetic/propionic acids) were employed during the batch accumulation of polyhydroxybutyrate (PHB) and poly(3-hydroxybutyrate-co-3-hydroxyvalerate) (PHBV) from MMC. Obtained PHAs were characterized by H-1 and C-13 nuclear magnetic resonance, gel-permeation chromatography, differential scanning calorimetry, and thermal gravimetric analysis. The results showed that when a NaClO pre-treatment is not added, the use of DMC allows to obtain higher RE of both biopolymers (PHB and PHBV), in comparison with CF. In contrast, the use of CF as extraction solvent required a pre-treatment step to improve the PHB and PHBV recovery. In all cases, RE values were higher for PHBV than for PHB.</t>
  </si>
  <si>
    <t>[Montiel-Jarillo, Gabriela; Carrera, Julian; Eugenia Suarez-Ojeda, Maria] Univ Autonoma Barcelona, GENOCOV Res Grp, Sch Engn, Escola Engn,Dept Chem Biol &amp; Environm Engn, Edifici Q Campus UAB, Barcelona 08193, Spain; [Morales-Urrea, Diego A.; Contreras, Edgardo M.] Inst Invest Ciencia &amp; Tecnol Mat INTEMA CONICET, Div Catalizadores &amp; Superficies, Av Colon 10850, RA-7600 Mar Del Plata, Argentina; [Lopez-Cordoba, Alex] Univ Pedag &amp; Tecnol Colombia, Fac Secc Duitama, Escuela Adm Empresas Agr, Grp Invest Bioecon &amp; Sostenibilidad Agroalimentar, Carrera 18 Calle 22, Duitama 150461, Colombia; [Yesid Gomez-Pachon, Edwin] Univ Pedag &amp; Tecnol Colombia UPTC, Escuela Diseno Ind, Innovac &amp; Asistencia Tecn Mat Avanzados DITMAV, Grp Invest Diseno, Duitama 150461, Colombia</t>
  </si>
  <si>
    <t>Autonomous University of Barcelona; Universidad Pedagogica y Tecnologica de Colombia (UPTC); Universidad Pedagogica y Tecnologica de Colombia (UPTC)</t>
  </si>
  <si>
    <t>Suarez-Ojeda, ME (corresponding author), Univ Autonoma Barcelona, GENOCOV Res Grp, Sch Engn, Escola Engn,Dept Chem Biol &amp; Environm Engn, Edifici Q Campus UAB, Barcelona 08193, Spain.;Morales-Urrea, DA (corresponding author), Inst Invest Ciencia &amp; Tecnol Mat INTEMA CONICET, Div Catalizadores &amp; Superficies, Av Colon 10850, RA-7600 Mar Del Plata, Argentina.</t>
  </si>
  <si>
    <t>dmoralesurrea@gmail.com; mariaeugenia.suarez@uab.cat</t>
  </si>
  <si>
    <t>Suárez-Ojeda, María Eugenia/B-6247-2008; Carrera, Julian/B-2581-2009; Lopez-Cordoba, Alex/A-1368-2015</t>
  </si>
  <si>
    <t>Suárez-Ojeda, María Eugenia/0000-0003-2520-2701; Carrera, Julian/0000-0002-2599-2312; Lopez-Cordoba, Alex/0000-0003-2434-5743; Gomez-Pachon, Edwin Yesid/0000-0002-2733-5252; Contreras, Edgardo/0000-0003-0546-1095</t>
  </si>
  <si>
    <t>Programa Iberoamericano de Ciencia y Tecnologia para el Desarrollo (CYTED) [316RT0508]; Minciencias, and the Gobernacion de Boyaca through the PATRIMONIO AUTONOMO FONDO NACIONAL DE FINANCIAMIENTO PARA LA CIENCIA, LA TECNOLOGIA Y LA INNOVACION FRANCISCO JOSE DE CALDAS [110986575000-Conv. 865-2019]; Consejo Nacional de Ciencia y Tecnologia de Mexico (CONACyT); Consejo Nacional de Investigaciones Cientificas y Tecnicas (CONICET) de Argentina</t>
  </si>
  <si>
    <t>Programa Iberoamericano de Ciencia y Tecnologia para el Desarrollo (CYTED); Minciencias, and the Gobernacion de Boyaca through the PATRIMONIO AUTONOMO FONDO NACIONAL DE FINANCIAMIENTO PARA LA CIENCIA, LA TECNOLOGIA Y LA INNOVACION FRANCISCO JOSE DE CALDAS; Consejo Nacional de Ciencia y Tecnologia de Mexico (CONACyT)(Consejo Nacional de Ciencia y Tecnologia (CONACyT)); Consejo Nacional de Investigaciones Cientificas y Tecnicas (CONICET) de Argentina(Consejo Nacional de Investigaciones Cientificas y Tecnicas (CONICET))</t>
  </si>
  <si>
    <t>This research was funded by: TRITON thematic network (316RT0508) from the Programa Iberoamericano de Ciencia y Tecnologia para el Desarrollo (CYTED); Minciencias, and the Gobernacion de Boyaca through the PATRIMONIO AUTONOMO FONDO NACIONAL DE FINANCIAMIENTO PARA LA CIENCIA, LA TECNOLOGIA Y LA INNOVACION FRANCISCO JOSE DE CALDAS (project 110986575000-Conv. 865-2019); Consejo Nacional de Ciencia y Tecnologia de Mexico (CONACyT) and Consejo Nacional de Investigaciones Cientificas y Tecnicas (CONICET) de Argentina.</t>
  </si>
  <si>
    <t>10.3390/polym14193938</t>
  </si>
  <si>
    <t>5H8KO</t>
  </si>
  <si>
    <t>WOS:000867922100001</t>
  </si>
  <si>
    <t>Ghias, M; Ahmed, MN; Sajjad, B; Ibrahim, MAA; Rashid, U; Shah, SWA; Shoaib, M; Madni, M; Tahir, MN; Macias, MA</t>
  </si>
  <si>
    <t>Ghias, Mehreen; Ahmed, Muhammad Naeem; Sajjad, Bakhtawar; Ibrahim, Mahmoud A. A.; Rashid, Umer; Shah, Syed Wadood Ali; Shoaib, Mohammad; Madni, Murtaza; Tahir, Muhammad Nawaz; Macias, Mario A.</t>
  </si>
  <si>
    <t>1-Hydroxynaphthalene-4-trifluoromethylphenyl chalcone and 3-hydroxy-4-trifluoromethylphenyl flavone: A combined experimental, structural, in vitro AChE, BChE and in silico studies</t>
  </si>
  <si>
    <t>Flavone; Chalcone; AChe; BChe; Hirshfeld surface maps; Molecular packing; Structural energy</t>
  </si>
  <si>
    <t>CARBONIC-ANHYDRASE; ANTICHOLINERGIC PROPERTIES; MODEL ENERGIES; ACETYLCHOLINESTERASE; BUTYRYLCHOLINESTERASE; IDENTIFICATION; ANTIOXIDANT; DERIVATIVES; SYSTEM</t>
  </si>
  <si>
    <t>The synthesis, X-ray characterization, in vitro AChE, BChE and in silico studies of (E)-1-(1-hydroxynaphthalen-2-yl)-3-(4-(trifluoromethyl)phenyl)prop-2-en-1-one (1) and 3-hydroxy-2-(4(trifluoromethyl)phenyl)-4H-chromen-4-one (2) are reported in this manuscript. Both compounds are obtained in good yield (64-70%). The crystal structures of 1, and 2 are affected by the strength of intramolecular O-H center dot center dot center dot O hydrogen bonds altering the proportion of electrostatic and dispersion forces participating in the solid. Moderate to good activities against AChE and BChE were shown by the target compounds in comparison to reference drug galantamine. Molecular modeling studies via docking simulations indicated that compounds showed binding to the catalytic active site and mid-gorge residues of acetylcholinesterase. (c) 2021 Elsevier B.V. All rights reserved.</t>
  </si>
  <si>
    <t>[Ghias, Mehreen; Shah, Syed Wadood Ali; Shoaib, Mohammad] Univ Malakand, Dept Pharm, Dir Lower, Khyber Pakhtunk, Pakistan; [Ahmed, Muhammad Naeem; Sajjad, Bakhtawar] Univ Azaz Jammu &amp; Kashmir, Dept Chem, Muzaffarabad 13100, Pakistan; [Ibrahim, Mahmoud A. A.] Minia Univ, Fac Sci, Chem Dept, Computat Chem Lab, Al Minya 61519, Egypt; [Rashid, Umer] COMSATS Univ Islamabad, Dept Chem, Abbottabad Campus, Abbottabad 22060, Pakistan; [Madni, Murtaza] Quaid I Azam Univ, Dept Chem, Islamabad, Pakistan; [Tahir, Muhammad Nawaz] Univ Sargodha, Dept Phys, Sargodha, Pakistan; [Macias, Mario A.] Univ los Andes, Dept Chem, CrisQuimMat, Crystallog &amp; Chem Mat, Carrera 1 18A 10, Bogota 111711, Colombia</t>
  </si>
  <si>
    <t>University of Malakand; Egyptian Knowledge Bank (EKB); Minia University; COMSATS University Islamabad (CUI); Quaid I Azam University; University of Sargodha; Universidad de los Andes (Colombia)</t>
  </si>
  <si>
    <t>Macias, MA (corresponding author), Univ los Andes, Dept Chem, CrisQuimMat, Crystallog &amp; Chem Mat, Carrera 1 18A 10, Bogota 111711, Colombia.</t>
  </si>
  <si>
    <t>drnaeem@ajku.edu.pk; ma.maciasl@uniandes.edu.co</t>
  </si>
  <si>
    <t>Ibrahim, Mahmoud A. A./J-2936-2014; Macías, Mario Alberto/W-9716-2019</t>
  </si>
  <si>
    <t>Ibrahim, Mahmoud A. A./0000-0003-4819-2040; Macías, Mario Alberto/0000-0003-2749-8489</t>
  </si>
  <si>
    <t>University of Malakand; UAJK Muzaffarabad; Departamento de Quimica and Facultad de Ciencias at the Universidad de los Andes, Colombia [FAPAP18.160422.043]</t>
  </si>
  <si>
    <t>University of Malakand; UAJK Muzaffarabad; Departamento de Quimica and Facultad de Ciencias at the Universidad de los Andes, Colombia</t>
  </si>
  <si>
    <t>M.G and M.N.A. are thankful to the University of Malakand and UAJ&amp;K Muzaffarabad for financial support, similarly thanks to the University of Sargodha Pakistan for XRD studies. M.A.M. thanks the support from the Departamento de Quimica and Facultad de Ciencias at the Universidad de los Andes, Colombia, (project FAPAP18.160422.043). M.A.M. also thanks Professor Juan Carlos Castillo from Universidad Pedagogica y Tecnologica de Colombia for his invaluable support and scientific discussion.</t>
  </si>
  <si>
    <t>APR 5</t>
  </si>
  <si>
    <t>10.1016/j.molstruc.2021.132253</t>
  </si>
  <si>
    <t>0K6RO</t>
  </si>
  <si>
    <t>WOS:000780918500024</t>
  </si>
  <si>
    <t>Valderrama, NM; Varassin, IG; Passos, LS; Puentes, MEM</t>
  </si>
  <si>
    <t>Valderrama, Naisla Manrique; Varassin, Isabela Galarda; Passos, Luan Salles; Morales Puentes, Maria Eugenia</t>
  </si>
  <si>
    <t>First report on generalized pollination systems in Melastomataceae for the Andean paramos</t>
  </si>
  <si>
    <t>PLANT SPECIES BIOLOGY</t>
  </si>
  <si>
    <t>anther; buzz pollination; Colombia; Miconieae; pollen</t>
  </si>
  <si>
    <t>HIGH TEMPERATE ANDES; REPRODUCTIVE-BIOLOGY; BREEDING SYSTEMS; MICONIA MELASTOMATACEAE; DECIDUOUS FOREST; CENTRAL CHILE; EVOLUTION; COMMUNITY; ECOLOGY; VISITATION</t>
  </si>
  <si>
    <t>Melastomataceae is a megadiverse family with records of transitions from specialized to generalized pollination systems for several species. These transitions are associated with the colonization of new, unpredictable and/or impoverished pollinator habitats or habitats where specialized pollinators are scarce (e.g., in highland environments). The bee species diversity is low in highlands. Therefore, autonomous breeding systems such as apomixis and self-pollination emerge in these environments. In this paper, we studied the floral traits associated with the generalization of pollination systems and registered the floral visitors of two species in the Colombian Andes: Miconia cataractae and M. elaeoides. We investigated the breeding system of M. elaeoides. Both species presented small flowers, short anthers of medium pore size, and nectar-producing stomata on the base of the anthers. Miconia cataractae produced an average of 1.62 mu l nectar/flower, a sugar concentration of 6.78%, whereas M. elaeoides produced 0.09 mu l nectar/flower, a sugar concentration of 6.13%. We recorded a wide diversity of pollinators for both species, mainly insects from the orders Hymenoptera and Diptera. Miconia elaeoides presented a mixed breeding system and was also capable of setting fruits by apomixis. We conclude that flower and anther morphology, combined with nectar production, thus represent convergent traits resulting in a generalist pollination system shared by M. cataractae and M. elaeoides. Here, we presented the first generalist pollination system recorded for Miconia (and the Melastomataceae) in the Andes, the first report for a species from the small-pored section Amblyarrhena, and the first report for a species from the large-pored section Cremanium in Colombia.</t>
  </si>
  <si>
    <t>[Valderrama, Naisla Manrique] Univ Pedagog &amp; Tecnol Colombia, Ciencias Biol, Escuela Posgrad Ciencias, Tunja, Colombia; [Valderrama, Naisla Manrique; Morales Puentes, Maria Eugenia] Univ Pedagog &amp; Tecnol Colombia, Grp Sistemat Biol, Herbario UPTC, Tunja, Colombia; [Varassin, Isabela Galarda; Passos, Luan Salles] Univ Fed Parana, Ctr Politecn, Programa Posgrad Bot, Curitiba, Parana, Brazil; [Varassin, Isabela Galarda; Passos, Luan Salles] Univ Fed Parana, Ctr Politecn, Lab Interacoes &amp; Biol Reprod, Curitiba, Parana, Brazil</t>
  </si>
  <si>
    <t>Universidad Pedagogica y Tecnologica de Colombia (UPTC); Universidad Pedagogica y Tecnologica de Colombia (UPTC); Universidade Federal do Parana; Universidade Federal do Parana</t>
  </si>
  <si>
    <t>Valderrama, NM (corresponding author), Univ Pedag &amp; Tecnol Colombia, Herbario UPTC, Ave Cent Norte,39-115,Edificio Ctr Labs LS-109, Tunja, Boyaca, Colombia.</t>
  </si>
  <si>
    <t>naislamanrique@gmail.com</t>
  </si>
  <si>
    <t>Varassin, Isabela/0000-0001-9189-8765; Manrique Valderrama, Naisla/0000-0002-8925-8395; Morales Puentes, Maria Eugenia/0000-0002-5332-9956</t>
  </si>
  <si>
    <t>Brazilian Coordination for the Improvement of Higher Education Personnel [88882.382585/2019-01]; National Council for Scientific and Technological Development [313801/2017-7]</t>
  </si>
  <si>
    <t>Brazilian Coordination for the Improvement of Higher Education Personnel; National Council for Scientific and Technological Development(Conselho Nacional de Desenvolvimento Cientifico e Tecnologico (CNPQ))</t>
  </si>
  <si>
    <t>Brazilian Coordination for the Improvement of Higher Education Personnel, Grant/Award Number: 88882.382585/2019-01; National Council for Scientific and Technological Development, Grant/Award Number: 313801/2017-7</t>
  </si>
  <si>
    <t>0913-557X</t>
  </si>
  <si>
    <t>1442-1984</t>
  </si>
  <si>
    <t>PLANT SPEC BIOL</t>
  </si>
  <si>
    <t>Plant Spec. Biol.</t>
  </si>
  <si>
    <t>10.1111/1442-1984.12364</t>
  </si>
  <si>
    <t>Plant Sciences; Ecology</t>
  </si>
  <si>
    <t>Plant Sciences; Environmental Sciences &amp; Ecology</t>
  </si>
  <si>
    <t>ZO8DD</t>
  </si>
  <si>
    <t>WOS:000742865300001</t>
  </si>
  <si>
    <t>Escobar, JW; Duque, JLR; Garcia-Caceres, R</t>
  </si>
  <si>
    <t>Willmer Escobar, John; Ramirez Duque, Jose Luis; Garcia-Caceres, Rafael</t>
  </si>
  <si>
    <t>A granular tabu search for the refrigerated vehicle routing problem with homogeneous fleet</t>
  </si>
  <si>
    <t>INTERNATIONAL JOURNAL OF INDUSTRIAL ENGINEERING COMPUTATIONS</t>
  </si>
  <si>
    <t>Granular Tabu Search (GTS); Refrigerated Capacitated Vehicle; Routing Problem (RCVRP); Metaheuristic Algorithms; Refrigerated Systems; Vehicle Routing Problems; COVID-19</t>
  </si>
  <si>
    <t>FOOD TRANSPORT; ENVIRONMENTAL IMPACTS; HETEROGENEOUS FLEET; GENETIC ALGORITHM; OPTIMIZATION; CHAIN; CONSUMPTION; FROZEN; MODEL</t>
  </si>
  <si>
    <t>The Refrigerated Capacitated Vehicle Routing Problem (RCVRP) considers a homogeneous fleet with a refrigerated system to decide the selection of routes to be performed according to customers' requirements. The aim is to keep the energy consumption of the routes as low as possible. We use a thermodynamic model to understand the unloading of products from trucks and the variables' efficiency, such as the temperature during the day influencing energy consumption. By considering various neighborhoods and a shaking procedure, this paper proposes a Granular Tabu Search scheme to solve the RCVRP. Computational tests using adapted benchmark instances from the literature demonstrate that the suggested method delivers high-quality solutions within short computing times, illustrating the refrigeration system's effect on routing decisions. (c) 2022 by the authors; licensee Growing Science, Canada</t>
  </si>
  <si>
    <t>[Willmer Escobar, John] Univ Valle, Dept Accounting &amp; Finance, Cali 760001, Valle Del Cauca, Colombia; [Ramirez Duque, Jose Luis] Pontificia Univ Javeriana Cali, Dept Ind &amp; Civil Engn, Cali 760001, Valle Del Cauca, Colombia; [Garcia-Caceres, Rafael] Univ Pedag &amp; Tecnol Colombia UPTC, Sch Ind Engn, Sogamoso, Colombia</t>
  </si>
  <si>
    <t>Universidad del Valle; Pontificia Universidad Javeriana; Universidad Pedagogica y Tecnologica de Colombia (UPTC)</t>
  </si>
  <si>
    <t>Escobar, JW (corresponding author), Univ Valle, Dept Accounting &amp; Finance, Cali 760001, Valle Del Cauca, Colombia.</t>
  </si>
  <si>
    <t>john.willmer.escobar@correounivalle.edu.co</t>
  </si>
  <si>
    <t>García-Cáceres, Rafael/T-1725-2019</t>
  </si>
  <si>
    <t>García-Cáceres, Rafael/0000-0003-0902-1038</t>
  </si>
  <si>
    <t>GROWING SCIENCE</t>
  </si>
  <si>
    <t>TORONTO</t>
  </si>
  <si>
    <t>611, 141 DAVISVILLE AVE, TORONTO, ON M4S 1G7, CANADA</t>
  </si>
  <si>
    <t>1923-2926</t>
  </si>
  <si>
    <t>1923-2934</t>
  </si>
  <si>
    <t>INT J IND ENG COMP</t>
  </si>
  <si>
    <t>Int. J. Ind. Eng. Comput.</t>
  </si>
  <si>
    <t>WIN</t>
  </si>
  <si>
    <t>10.5267/j.ijiec.2021.6.001</t>
  </si>
  <si>
    <t>Engineering, Industrial; Operations Research &amp; Management Science</t>
  </si>
  <si>
    <t>Engineering; Operations Research &amp; Management Science</t>
  </si>
  <si>
    <t>WY6PP</t>
  </si>
  <si>
    <t>WOS:000719401500010</t>
  </si>
  <si>
    <t>Villa, CCC; Ortega-Toro, R; Ahmed, S; Gutierrez, TJJ; Valencia, GA; Cordoba, AL</t>
  </si>
  <si>
    <t>Villa, Cristian C. C.; Ortega-Toro, Rodrigo; Ahmed, Shakeel; Gutierrez, Tomy J. J.; Valencia, German Ayala; Cordoba, Alex Lopez</t>
  </si>
  <si>
    <t>Zeolites for food applications: A review</t>
  </si>
  <si>
    <t>FOOD BIOSCIENCE</t>
  </si>
  <si>
    <t>Adsorbers; Active substance carriers; Ethylene scavengers; Food nanoreactors; Food substance sensors; Food wastes; Moisture sorbents; Molecular sieves; Porous materials; Solid phase extraction</t>
  </si>
  <si>
    <t>SOLID-PHASE EXTRACTION; IN-SITU GROWTH; METAL-ORGANIC FRAMEWORKS; BAR SORPTIVE EXTRACTION; THIN-FILM MICROEXTRACTION; IMIDAZOLATE FRAMEWORK-8; LIQUID-CHROMATOGRAPHY; ANTIMICROBIAL PROPERTIES; LACTOBACILLUS-PLANTARUM; CHEMICAL CONTAMINANTS</t>
  </si>
  <si>
    <t>Zeolites have been little investigated for food applications, despite their chemical composition is similar to clays and clay minerals, which have been extensively analyzed for various applications, including food. Zeolites can be distinguished from clay materials, since the former have a porous microstructure characterized by intracrystalline cavities and channels, while the latter have a laminar microstructure. The goal of this review paper was to give a comprehensive perspective in terms of the different food applications found so far for zeolites, namely: antimicrobial materials, ethylene scavengers, fillers for food packaging materials, food nanoreactors, food substance sensors, immobilizers and stabilizers of active compounds and enzymes, molecular sieves for the pretreatment of food samples, as well as intelligent food contact materials. The main food applications from zeolites are related to their good properties as adsorbent materials, and these properties can be altered and tuned by ion exchange, surface organo-modification, among others, for a specific designed application. Zeolites for food applications have been investigated primarily as antimicrobial materials, concentrators of target analytes and sensors for food substances. However, the other potential food applications indicated above from zeolites are booming, since they are harmless materials recognized by various organizations.</t>
  </si>
  <si>
    <t>[Villa, Cristian C. C.] Univ Quindio, Fac Ciencias Bas &amp; Tecnol, Programa Quim, Quindio, Colombia; [Valencia, German Ayala] Univ Fed Santa Catarina, Dept Chem &amp; Food Engn, BR-88040900 Florianopolis, SC, Brazil; [Cordoba, Alex Lopez] Univ Pedagog &amp; Tecnol Colombia, Fac Secc Duitama, Escuela Admon Empresas Agr, Carrera 18 Con Calle 22 Duitama, Boyaca, Colombia; [Ortega-Toro, Rodrigo] Univ Cartagena, Fac Ingn, Food Packaging &amp; Shelf Life Res Grp FP&amp;SL, Ave Consulado Calle 30, Bolivar, Colombia; [Ahmed, Shakeel] Govt Degree Coll Mendhar, Dept Chem, Jammu 185211, India; [Ahmed, Shakeel] Govt Jammu &amp; Kashmir, Higher Educ Dept, Jammu 180001, India; [Gutierrez, Tomy J. J.] Univ Nacl Mar Del Plata UNMdP, Fac Ingn, Inst Invest Ciencia &amp; Tecnol Mat INTE, Grp Mat Compuestos Termoplast CoMP, Colon 10850,B7608FLC, Mar Del Plata, Argentina; [Gutierrez, Tomy J. J.] Consejo Nacl Invest Cient &amp; Tecn CONICET, Colon 10850,B7608FLC, Mar Del Plata, Argentina</t>
  </si>
  <si>
    <t>Universidad del Quindio; Universidade Federal de Santa Catarina (UFSC); Universidad Pedagogica y Tecnologica de Colombia (UPTC); Universidad de Cartagena; National University of Mar del Plata; Consejo Nacional de Investigaciones Cientificas y Tecnicas (CONICET)</t>
  </si>
  <si>
    <t>Gutierrez, TJJ (corresponding author), Natl Univ Mar Del Plata UNMdP, Fac Engn, Res Inst Mat Sci &amp; Technol INTEMA, POB B7608FLC,Col, Mar Del Plata, Buenos Aires, Argentina.;Gutierrez, TJJ (corresponding author), Natl Sci &amp; Tech Res Council CONICET, POB B7608FLC,Col on 10850, Mar Del Plata, Buenos Aires, Argentina.</t>
  </si>
  <si>
    <t>tomy.gutierrez@fi.mdp.edu.ar</t>
  </si>
  <si>
    <t>Gutiérrez, Tomy J./ABH-2638-2020; Villa, Cristian C C/AAF-3021-2019; Ahmed, Shakeel/P-1509-2016</t>
  </si>
  <si>
    <t>Gutiérrez, Tomy J./0000-0001-9968-7778; Villa, Cristian C C/0000-0001-6530-2569; Ahmed, Shakeel/0000-0001-5410-2975</t>
  </si>
  <si>
    <t>Federal University of Santa Catarina (UFSC); National Council for Scientific and Technological Development (CNPq) [405432/2018-6]; Universidad Pedagogica y Tecnologica de Colombia (UPTC); University of Cartagena; Consejo Nacional de Investigaciones Cientificas y T 'ecnicas (CONICET); Universidad Nacional de Mar del Plata (UNMdP); Agencia Nacional de Promoci 'on Cientifica y Tecnol 'ogica (ANPCyT) [PICT-2020-SERIEA-03137]</t>
  </si>
  <si>
    <t>Federal University of Santa Catarina (UFSC); National Council for Scientific and Technological Development (CNPq)(Conselho Nacional de Desenvolvimento Cientifico e Tecnologico (CNPQ)); Universidad Pedagogica y Tecnologica de Colombia (UPTC); University of Cartagena; Consejo Nacional de Investigaciones Cientificas y T 'ecnicas (CONICET)(Consejo Nacional de Investigaciones Cientificas y Tecnicas (CONICET)); Universidad Nacional de Mar del Plata (UNMdP)(National University of La Plata); Agencia Nacional de Promoci 'on Cientifica y Tecnol 'ogica (ANPCyT)(ANPCyT)</t>
  </si>
  <si>
    <t>C. C. Villa would like to thank Vicerrectoria de Investigaciones, Facultad de Ciencias B ' asicas y Tecnologias, Facultad de Ciencias Agroindustriales, Programa de Ingenieria de Alimentos and Programa de Quimica from Universidad del Quindio. G. A. Valencia would like to thank the Federal University of Santa Catarina (UFSC) and National Council for Scientific and Technological Development (CNPq) (grant 405432/2018-6) for financial support. A. Lopez Cordoba would like to thank the Universidad Pedagogica y Tecnologica de Colombia (UPTC) for their financial support. R. Ortega-Toro thanks the University of Cartagena for its support in the time granted to carry out this review work. S. Ahmed is thankful to Government Degree College Mendhar and Higher Education Department, Government of Jammu and Kashmir for providing facilities. T. J. Gutierrez would like to thank the Consejo Nacional de Investigaciones Cientificas y T ' ecnicas (CONICET), Universidad Nacional de Mar del Plata (UNMdP) and Agencia Nacional de Promoci ' on Cientifica y Tecnol ' ogica (ANPCyT) (grant PICT-2020-SERIEA-03137) for financial support. Dr. Mirian Carmona-Rodriguez for their valuable contribution.</t>
  </si>
  <si>
    <t>2212-4292</t>
  </si>
  <si>
    <t>2212-4306</t>
  </si>
  <si>
    <t>FOOD BIOSCI</t>
  </si>
  <si>
    <t>Food Biosci.</t>
  </si>
  <si>
    <t>10.1016/j.fbio.2022.101577</t>
  </si>
  <si>
    <t>ZV7DD</t>
  </si>
  <si>
    <t>WOS:000770685300005</t>
  </si>
  <si>
    <t>Perez-Escobar, OA; Zizka, A; Bermudez, MA; Meseguer, AS; Condamine, FL; Hoorn, C; Hooghiemstra, H; Pu, YS; Bogarin, D; Boschman, LM; Pennington, RT; Antonelli, A; Chomicki, G</t>
  </si>
  <si>
    <t>Perez-Escobar, Oscar Alejandro; Zizka, Alexander; Bermudez, Mauricio A.; Meseguer, Andrea S.; Condamine, Fabien L.; Hoorn, Carina; Hooghiemstra, Henry; Pu, Yuanshu; Bogarin, Diego; Boschman, Lydian M.; Pennington, R. Toby; Antonelli, Alexandre; Chomicki, Guillaume</t>
  </si>
  <si>
    <t>The Andes through time: evolution and distribution of Andean floras</t>
  </si>
  <si>
    <t>TRENDS IN PLANT SCIENCE</t>
  </si>
  <si>
    <t>LATE MIOCENE RISE; SURFACE UPLIFT; NORTHERN ANDES; CLIMATE-CHANGE; PLANT DIVERSIFICATION; RAPID DIVERSIFICATION; BOLIVIAN ALTIPLANO; EASTERN CORDILLERA; ADAPTIVE RADIATION; CONTINENTAL-SCALE</t>
  </si>
  <si>
    <t>The Andes are the world's most biodiverse mountain chain, encompassing a complex array of ecosystems from tropical rainforests to alpine habitats. We pro-vide a synthesis of Andean vascular plant diversity by estimating a list of all spe-cies with publicly available records, which we integrate with a phylogenetic dataset of 14 501 Neotropical plant species in 194 clades. We find that (i) the An-dean flora comprises at least 28 691 georeferenced species documented to date, (ii) Northern Andean mid-elevation cloud forests are the most species-rich An-dean ecosystems, (iii) the Andes are a key source and sink of Neotropical plant diversity, and (iv) the Andes, Amazonia, and other Neotropical biomes have had a considerable amount of biotic interchange through time.</t>
  </si>
  <si>
    <t>[Perez-Escobar, Oscar Alejandro; Antonelli, Alexandre] Royal Bot Gardens, Richmond TW9 3AB, Surrey, England; [Zizka, Alexander] Philipps Univ Marburg, Biodivers Plants, D-35043 Marburg, Germany; [Zizka, Alexander; Pu, Yuanshu] German Ctr Integrat Biodivers Res Halle Jena Leip, D-04103 Leipzig, Germany; [Bermudez, Mauricio A.] Univ Pedag &amp; Tecnol Colombia, Escuela Ingn Geol, Tunja, Colombia; [Meseguer, Andrea S.] CSIC, Real Jardin Bot Madrid RJB, Madrid, Spain; [Condamine, Fabien L.] Univ Montpellier, Ctr Natl Rech Sci CNRS, Inst Sci Evolut Montpellier, F-34095 Montpellier, France; [Hoorn, Carina; Hooghiemstra, Henry] Univ Amsterdam, Inst Biodivers &amp; Ecosyst Dynam IBED, NL-1098 XH Amsterdam, Netherlands; [Bogarin, Diego] Univ Costa Rica, Jardin Bot Lankester, Cartago, Costa Rica; [Bogarin, Diego] Nat Biodivers Ctr, NL-2333 CR Leiden, Netherlands; [Boschman, Lydian M.] Eidgenoss TH ETH Zurich, Dept Environm Syst Sci, CH-8092 Zurich, Switzerland; [Pennington, R. Toby] Univ Exeter, Dept Geog, Exeter EX4 4RJ, Devon, England; [Pennington, R. Toby] Royal Bot Garden, Edinburgh EH3 5LR, Midlothian, Scotland; [Antonelli, Alexandre] Univ Gothenburg, Gothenburg Global Biodivers Ctr, Dept Biol &amp; Environm Sci, Gothenburg, Sweden; [Antonelli, Alexandre] Univ Oxford, Dept Plant Sci, Oxford OX1 3RB, England; [Chomicki, Guillaume] Univ Sheffield, Ecol &amp; Evolutionary Biol, Sheffield S10 2TN, S Yorkshire, England</t>
  </si>
  <si>
    <t>Royal Botanic Gardens, Kew; Philipps University Marburg; Universidad Pedagogica y Tecnologica de Colombia (UPTC); Consejo Superior de Investigaciones Cientificas (CSIC); CSIC - Real Jardin Botanico de Madrid; Centre National de la Recherche Scientifique (CNRS); Institut de Recherche pour le Developpement (IRD); Universite de Montpellier; University of Amsterdam; Universidad Costa Rica; Naturalis Biodiversity Center; University of Exeter; University of Gothenburg; University of Oxford; University of Sheffield</t>
  </si>
  <si>
    <t>Perez-Escobar, OA (corresponding author), Royal Bot Gardens, Richmond TW9 3AB, Surrey, England.;Chomicki, G (corresponding author), Univ Sheffield, Ecol &amp; Evolutionary Biol, Sheffield S10 2TN, S Yorkshire, England.</t>
  </si>
  <si>
    <t>O.PerezEscobar@kew.org; g.chomicki@sheffield.ac.uk</t>
  </si>
  <si>
    <t>Meseguer, Andrea/H-8593-2019; Pérez-Escobar, Oscar Alejandro/G-6882-2012; Hoorn, Carina/A-9372-2015</t>
  </si>
  <si>
    <t>Meseguer, Andrea/0000-0003-0743-404X; Pérez-Escobar, Oscar Alejandro/0000-0001-9166-2410; Boschman, Lydian/0000-0002-1802-0187; Chomicki, Guillaume/0000-0003-4547-6195; Bermudez, Mauricio A/0000-0003-0584-4790; Zizka, Alexander/0000-0002-1680-9192; Hoorn, Carina/0000-0001-5402-6191</t>
  </si>
  <si>
    <t>Sainsbury Orchid Fellowship at the Royal Botanic Gardens Kew; Swiss Orchid Foundation; iDiv via the German Research Foundation through sDiv, the Synthesis Centre of iDiv [FZT-118]; Investissements d'Avenir grant [ANR-10-LABX-25-01]; ANR GAARAnti project [ANR-17-CE31-0009]; Universidad Pedagogica y Tecnologica de Colombia (UPTC) [3104]; Erasmus+ scholarship from the European Commission; Swedish Research Council; Swedish Foundation for Strategic Research; Royal Botanic Gardens, Kew; UK Natural Environment Research Council Independent Research Fellowship [NE/S014470/1]</t>
  </si>
  <si>
    <t>Sainsbury Orchid Fellowship at the Royal Botanic Gardens Kew; Swiss Orchid Foundation; iDiv via the German Research Foundation through sDiv, the Synthesis Centre of iDiv; Investissements d'Avenir grant(French National Research Agency (ANR)); ANR GAARAnti project(French National Research Agency (ANR)); Universidad Pedagogica y Tecnologica de Colombia (UPTC); Erasmus+ scholarship from the European Commission; Swedish Research Council(Swedish Research CouncilEuropean Commission); Swedish Foundation for Strategic Research(Swedish Foundation for Strategic Research); Royal Botanic Gardens, Kew; UK Natural Environment Research Council Independent Research Fellowship(UK Research &amp; Innovation (UKRI)Natural Environment Research Council (NERC))</t>
  </si>
  <si>
    <t>We thank Victor Alberto Ramos for permission to reuse the map in Figure 1A, Mario Coiro for help with plant fossil records curation, and Colin Hughes, two anonymous reviewers, and the editor Susanne Brink for comments that helped to improve the manuscript. Eve J. Lucas and Gwilym P. Lewis are thanked for providing useful insights into the taxonomy of the Andean plant list. O.A.P-E is funded by a Sainsbury Orchid Fellowship at the Royal Botanic Gardens Kew and the Swiss Orchid Foundation. A.Z. acknowledges funding by iDiv via the German Research Foundation (FZT-118, DGF) , specifically through sDiv, the Synthesis Centre of iDiv. F.L.C. is supported by an Investissements d'Avenir grant managed by the Agence Nationale de la Recherche [ANR; Center for the Study of Biodiversity in Amazonia (CEBA) grant ANR-10-LABX-25-01] and by the ANR GAARAnti project (ANR-17-CE31-0009) . M.A.B. thanks the Universidad Pedagogica y Tecnologica de Colombia (UPTC) for support via Direccion de Investigaciones (DIN) SGI Project 3104. Y.P. was funded by an Erasmus+ scholarship from the European Commission. A.A. is funded by the Swedish Research Council, the Swedish Foundation for Strategic Research, and the Royal Botanic Gardens, Kew. G.C. is funded by a UK Natural Environment Research Council Independent Research Fellowship (NE/S014470/1) .</t>
  </si>
  <si>
    <t>ELSEVIER SCIENCE LONDON</t>
  </si>
  <si>
    <t>84 THEOBALDS RD, LONDON WC1X 8RR, ENGLAND</t>
  </si>
  <si>
    <t>1360-1385</t>
  </si>
  <si>
    <t>1878-4372</t>
  </si>
  <si>
    <t>TRENDS PLANT SCI</t>
  </si>
  <si>
    <t>Trends Plant Sci.</t>
  </si>
  <si>
    <t>10.1016/j.tplants.2021.09.010</t>
  </si>
  <si>
    <t>Plant Sciences</t>
  </si>
  <si>
    <t>ZR7ND</t>
  </si>
  <si>
    <t>Green Published, hybrid, Green Accepted</t>
  </si>
  <si>
    <t>Y</t>
  </si>
  <si>
    <t>N</t>
  </si>
  <si>
    <t>WOS:000767964800009</t>
  </si>
  <si>
    <t>Galindo-Malagon, XA; Morales, I; Ospina-Garces, SM</t>
  </si>
  <si>
    <t>Galindo-Malagon, Ximena Alejandra; Morales, Irina; Ospina-Garces, Sandra M.</t>
  </si>
  <si>
    <t>Morphometric tools to solve species complexes: The case of Rhagovelia angustipes (Hemiptera: Veliidae)</t>
  </si>
  <si>
    <t>ARTHROPOD STRUCTURE &amp; DEVELOPMENT</t>
  </si>
  <si>
    <t>Integrative taxonomy; Traditional morphometrics; Geometric morphometrics; Bugs; Gerromorpha</t>
  </si>
  <si>
    <t>HETEROPTERA VELIIDAE; GEOMETRIC MORPHOMETRICS; SALINA GROUP; R PACKAGE; SHAPE; COLOMBIA; GERROMORPHA; MORPHOLOGY; DIVERSITY; MAYR</t>
  </si>
  <si>
    <t>The riffle bugs of the Rhagovelia angustipes complex have presented problems in taxonomy due to high intra-specific variability. Here we identified variation in the complex with morphometric techniques. We analyzed variation of the characters and performed a phylogenetic analysis of a combined matrix of linear measurements, geometric configurations, and discrete characters. We found that characters such as head length, metanotum length, femur width, and the evaluated shape of four characters (head, abdomen, fore tibia, hind femur) were important for the delimitation of species. In particular, we identified the metanotum length as a character that had not been previously considered in the taxonomy of the complex. The phylogenetic reconstruction allowed us to recover some relationships established for the taxonomy of the complex for the salina group, except for the species R. colombiana that was closer to R. calceola and R. calopa. This may be due to a similar natural history, since they share areas of distri-bution, while the R. bisignata and R. hambletoni groups could not be recovered, showing their low morphological support. In general, the geometric morphometric characters showed high levels of ho-mology, with the head and the anterior tibia being the ones that had the best performance in the tree. Finally, the use of morphometric tools proved to be a powerful input for the taxonomic resolution of species complexes that have problems in their delimitation.(c) 2022 Elsevier Ltd. All rights reserved.</t>
  </si>
  <si>
    <t>[Galindo-Malagon, Ximena Alejandra; Morales, Irina] Univ Pedag &amp; Tecnol Colombia, Ctr Labs LS214, Lab Entomol, Ave Cent Norte 39-115, Tunja, Colombia; [Ospina-Garces, Sandra M.] Univ Veracruzana, Ctr Invest Trop, Jose Maria Morelos No 44 &amp; 46 Col Ctr, CP, Xalapa 91000, Veracruz, Mexico</t>
  </si>
  <si>
    <t>Universidad Pedagogica y Tecnologica de Colombia (UPTC); Universidad Veracruzana</t>
  </si>
  <si>
    <t>Ospina-Garces, SM (corresponding author), Univ Veracruzana, Ctr Invest Trop, Jose Maria Morelos No 44 &amp; 46 Col Ctr, CP, Xalapa 91000, Veracruz, Mexico.</t>
  </si>
  <si>
    <t>ospinagarcess@gmail.com</t>
  </si>
  <si>
    <t>MORALES, IRINA/0000-0003-2456-5674; Galindo Malagon, Ximena Alejandra/0000-0003-0617-9403; Ospina-Garces, Sandra M./0000-0002-0950-4390</t>
  </si>
  <si>
    <t>1467-8039</t>
  </si>
  <si>
    <t>1873-5495</t>
  </si>
  <si>
    <t>ARTHROPOD STRUCT DEV</t>
  </si>
  <si>
    <t>Arthropod Struct. Dev.</t>
  </si>
  <si>
    <t>10.1016/j.asd.2022.101192</t>
  </si>
  <si>
    <t>3P9CM</t>
  </si>
  <si>
    <t>WOS:000837831500002</t>
  </si>
  <si>
    <t>Gonzalez, LC; Aguilar, MAC; Lozano, LFL</t>
  </si>
  <si>
    <t>Castellanos Gonzalez, Leonides; Cepeda Aguilar, Martin Alejandro; Leal Lozano, Luisa Fernanda</t>
  </si>
  <si>
    <t>Diversity and coverage of weed species in farms of small properties in eight municipalities, department of Boyaca, Colombia</t>
  </si>
  <si>
    <t>INGE CUC</t>
  </si>
  <si>
    <t>farm; herbs; species richness; management</t>
  </si>
  <si>
    <t>Introduction- The knowledge of the weeds present in the agroecosystems and their populations allows to project in a more accurate way the management programs of these. Objective-. Characterize the diversity of weed species and its coverage in 120 small farms of small farmers in the municipalities of Boyaca. Methodology-. The investigation was carried out in 15 farms in the municipalities of the Department: Chitaraque, Gachantiva, La Capilla, Nuevo Colon, Maripi, Santa Maria, Zetraquira and Tuta, in each of 0.5 ha plots where the landmarks were determined. of 1m 2 the weeds present and the percentage of coverage. Results-. It was observed the presence of 255 species of weeds located in 167 genera and in 60 botanical families, being the most representative families Asteraceae and Poaceae, followed by Cyperacea, Fabaceae and Polygonaceae. The municipalities characterized by a higher relative temperature Chitaraque, Santa Maria and La Capilla present higher specific richness. The species with the highest frequency, present in all the municipalities was P. aquilinum, in 75% of the municipalities were D. ciliata, and S. rhombifolia and in 62.5%Anthoxanthum odoratum, Bidens pilosa, Desmodium incanum, Hypochaeris radicata and Verbena litoralis. Conclusions-. From the monocotyledons, several species of Poaceas stood out with greater coverage, among them; C. clandestinum, three from the Brachiaria genus, three from Cynodon, within the Cyperaceae the species Dichromena ciliata, and one fern from the Dennstaedtiaceae family, P. aquilinum, which generally constitute important weeds of economic crops.</t>
  </si>
  <si>
    <t>[Castellanos Gonzalez, Leonides; Leal Lozano, Luisa Fernanda] Univ Pamplona, N De Santander, Colombia; [Cepeda Aguilar, Martin Alejandro] Univ Pedag &amp; Tecnol Colombia, Tunja, Colombia</t>
  </si>
  <si>
    <t>Gonzalez, LC (corresponding author), Univ Pamplona, N De Santander, Colombia.</t>
  </si>
  <si>
    <t>lclcastell@gmail.com; martincepeda08@gmail.com; luisafernanda1293@hotmail.com</t>
  </si>
  <si>
    <t>UNIV COSTA</t>
  </si>
  <si>
    <t>CALLE 58 NO 55-66, BARRANQUILLA, 00000, COLOMBIA</t>
  </si>
  <si>
    <t>0122-6517</t>
  </si>
  <si>
    <t>2382-4700</t>
  </si>
  <si>
    <t>10.17981/ingecuc.18.2.2022.14</t>
  </si>
  <si>
    <t>5X8IS</t>
  </si>
  <si>
    <t>WOS:000878841200001</t>
  </si>
  <si>
    <t>Fuentes, E; Garza, LE</t>
  </si>
  <si>
    <t>Fuentes, Edinson; Garza, Luis E.</t>
  </si>
  <si>
    <t>Coherent pairs and Sobolev-type orthogonal polynomials on the real line: An extension to the matrix case</t>
  </si>
  <si>
    <t>JOURNAL OF MATHEMATICAL ANALYSIS AND APPLICATIONS</t>
  </si>
  <si>
    <t>Matrix orthogonal polynomials; Matrix coherent pairs; Matrix Sobolev polynomials</t>
  </si>
  <si>
    <t>LAGUERRE; ASYMPTOTICS; RESPECT</t>
  </si>
  <si>
    <t>In this contribution, we extend the concept of coherent pair for two quasi-definite matrix linear functionals u0 and u1. Necessary and sufficient conditions for these functionals to constitute a coherent pair are determined, when one of them satisfies a matrix Pearson-type equation. Moreover, we deduce algebraic properties of the matrix orthogonal polynomials associated with the Sobolev-type inner product(sic)p, q(sic)(s) = (sic)p,q(sic)(u0) + (sic)p'M-1, q'M-2(sic)(u1) ,where M-1 and M-2 are m x m non-singular matrices and p, q are matrix polynomials.(c) 2022 Elsevier Inc. All rights reserved.</t>
  </si>
  <si>
    <t>[Fuentes, Edinson] Univ Pedag &amp; Tecnol Colombia, Escuela Matemat &amp; Estadist, Ave Cent Norte 39-115, Tunja, Boyaca, Colombia; [Garza, Luis E.] Univ Colima, Fac Ciencias, Bernal Diaz Castillo 340, Colima, Mexico</t>
  </si>
  <si>
    <t>Universidad Pedagogica y Tecnologica de Colombia (UPTC); Universidad de Colima</t>
  </si>
  <si>
    <t>Garza, LE (corresponding author), Univ Colima, Fac Ciencias, Bernal Diaz Castillo 340, Colima, Mexico.</t>
  </si>
  <si>
    <t>edinson.fuentes@uptc.edu.co; luis_garza1@ucol.mx</t>
  </si>
  <si>
    <t>Garza, Luis E./Q-7093-2018</t>
  </si>
  <si>
    <t>Garza, Luis E./0000-0002-2569-186X</t>
  </si>
  <si>
    <t>Mexico's CONACYT [287523]; Direccion General de Investigacion e Inovacion, Consejeria de Educacion e Investigacion de la Comunidad de Madrid (Spain); Universidad de Alcala [CM/JIN/2021-014]</t>
  </si>
  <si>
    <t>Mexico's CONACYT(Consejo Nacional de Ciencia y Tecnologia (CONACyT)); Direccion General de Investigacion e Inovacion, Consejeria de Educacion e Investigacion de la Comunidad de Madrid (Spain); Universidad de Alcala</t>
  </si>
  <si>
    <t>The second author was supported by Mexico's CONACYT Grant 287523, and by Direccion General de Investigacion e Inovacion, Consejeria de Educacion e Investigacion de la Comunidad de Madrid (Spain), and Universidad de Alcala under grant CM/JIN/2021-014. Linea de actuacion estimulo a la investigacion, Proyectos de I+D para jovenes investigadores de la Universidad de Alcala 2021. Both authors thank the valuable comments and suggestions made by the anonymous referee. They have contributed to substantially improve our work.</t>
  </si>
  <si>
    <t>ACADEMIC PRESS INC ELSEVIER SCIENCE</t>
  </si>
  <si>
    <t>SAN DIEGO</t>
  </si>
  <si>
    <t>525 B ST, STE 1900, SAN DIEGO, CA 92101-4495 USA</t>
  </si>
  <si>
    <t>0022-247X</t>
  </si>
  <si>
    <t>1096-0813</t>
  </si>
  <si>
    <t>J MATH ANAL APPL</t>
  </si>
  <si>
    <t>J. Math. Anal. Appl.</t>
  </si>
  <si>
    <t>FEB 1</t>
  </si>
  <si>
    <t>10.1016/j.jmaa.2022.126674</t>
  </si>
  <si>
    <t>Mathematics, Applied; Mathematics</t>
  </si>
  <si>
    <t>5S6SM</t>
  </si>
  <si>
    <t>WOS:000875317100027</t>
  </si>
  <si>
    <t>Casierra-Posada, F; Carreno-Patino, A; Castro-Gutierrez, C</t>
  </si>
  <si>
    <t>Casierra-Posada, Fanor; Carreno-Patino, Alexander; Castro-Gutierrez, Camilo</t>
  </si>
  <si>
    <t>Flower Quality in Roses (Rosa Hybrida) Sprayed with Ascorbic Acid</t>
  </si>
  <si>
    <t>Vitamin C; L-ascorbate; Flower quality; Cut flowers; Chlorophyll; Antioxidant</t>
  </si>
  <si>
    <t>Colombia is a country recognized for its variety of fresh flowers for export, among which roses represent a significant quantity. However, cut flowers must meet some quality requirements imposed by the international market. Ascorbic acid in living organisms has an extensive function as a free radical scavenger; therefore, it reduces the negative effects of oxidative stress. It is also involved in the biosynthesis of several hormones, has many functions in chloroplasts, and is a fundamental compound for the correct functioning of the photosynthetic apparatus. The exogenous application of ascorbic acid improves the quality and nutritional value of agricultural products and induces stress resistance in plants. A greenhouse study was carried out in Cota, Colombia, with the objective of improving the quality of rose flowers by spraying ascorbic acid in concentrations of 0.0 (control), 600, and 1200 mg L-1 in the Escimo, Latin Beauty, and Freedom cultivars. In response to the spraying, an increase in stem length and stem thickness was observed in all cultivars which was directly proportional to the concentration of ascorbic acid applied. There was no clear trend found in the response of cultivars to ascorbate regarding head size and chlorophyll content (SPAD) since in some cultivars, the values of these variables increased or decreased with statistically significant differences. As a result, spraying with ascorbic acid significantly improves some components of the quality of rose cut flowers, even though the response is highly dependent on the cultivar.</t>
  </si>
  <si>
    <t>[Casierra-Posada, Fanor; Carreno-Patino, Alexander] Univ Pedag &amp; Tecnol Colombia, Plant Ecophysiol Grp, Tunja, Colombia; [Castro-Gutierrez, Camilo] Univ Cundinamarca, Fusagasuga, Colombia</t>
  </si>
  <si>
    <t>Casierra-Posada, F (corresponding author), Univ Pedag &amp; Tecnol Colombia, Plant Ecophysiol Grp, Tunja, Colombia.</t>
  </si>
  <si>
    <t>Carreno-Patino, Julio Alexander/0000-0002-7389-8048; Casierra-Posada, Fanor/0000-0001-7508-5174</t>
  </si>
  <si>
    <t>Faculty of Agricultural Sciences at the Universidad Pedagogica y Tecnologica de ColombiaUPTC</t>
  </si>
  <si>
    <t>This study was funded by the Faculty of Agricultural Sciences at the Universidad Pedagogica y Tecnologica de ColombiaUPTC.</t>
  </si>
  <si>
    <t>10.1007/s10343-021-00613-y</t>
  </si>
  <si>
    <t>WOS:000744857100001</t>
  </si>
  <si>
    <t>Neira-Martinez, E; Cespedes-Quintero, R; Pardo-Santamaria, DF; Gonzalez-Aranguren, CM</t>
  </si>
  <si>
    <t>Neira-Martinez, Eliana; Cespedes-Quintero, Ricardo; Fernando Pardo-Santamaria, Diego; Melisa Gonzalez-Aranguren, Carol</t>
  </si>
  <si>
    <t>Clinical case: Intestinal Intususception with ano-rectal protrusion in canine</t>
  </si>
  <si>
    <t>REVISTA CIENTIFICA-FACULTAD DE CIENCIAS VETERINARIAS</t>
  </si>
  <si>
    <t>Intususception; invagination; anorectal protrusion</t>
  </si>
  <si>
    <t>INTUSSUSCEPTION</t>
  </si>
  <si>
    <t>The specific and unusual case presented in a Veterinary clinic in the City of Tunja (Boyaca - Colombia) was described, regarding intususception or invagination of the colon with anorectal protrusion in canine, after one week of hospitalization with primary diagnosis gastroenteritis of viral origin, in a 6-month-old, Creole breed;the medical history does not detail clinical or surgical history. After the surgical process without complications, the animal dies with a diagnosis of ischemia of postoperative repercussion. This clinical case aims to contribute to the scientific literature in relation to surgical veterinary medicine.</t>
  </si>
  <si>
    <t>[Neira-Martinez, Eliana; Fernando Pardo-Santamaria, Diego; Melisa Gonzalez-Aranguren, Carol] Univ Boyaca, Tunja, Boyaca, Colombia; [Cespedes-Quintero, Ricardo] Univ Pedag &amp; Tecnol Colombia, Tunja, Boyaca, Colombia</t>
  </si>
  <si>
    <t>Neira-Martinez, E (corresponding author), Univ Boyaca, Tunja, Boyaca, Colombia.</t>
  </si>
  <si>
    <t>elineira@uniboyaca.edu.co</t>
  </si>
  <si>
    <t>UNIV ZULIA, FACULTAD CIENCIAS VETERINARIAS</t>
  </si>
  <si>
    <t>MARACAIBO</t>
  </si>
  <si>
    <t>UNIVERSIDAD DEL ZULIA, MARACAIBO, VENEZUELA</t>
  </si>
  <si>
    <t>0798-2259</t>
  </si>
  <si>
    <t>REV CIENT-FAC CIEN V</t>
  </si>
  <si>
    <t>Rev. Cient.-Fac. Cienc. Vet.</t>
  </si>
  <si>
    <t>e32071</t>
  </si>
  <si>
    <t>10.52973/rcfcy-e32071</t>
  </si>
  <si>
    <t>XZ0IB</t>
  </si>
  <si>
    <t>WOS:000737345300001</t>
  </si>
  <si>
    <t>Mesa, MLO; Menjura, WAM</t>
  </si>
  <si>
    <t>Mesa, Marian Lissett Olaya; Menjura, Willian Alexander Mora</t>
  </si>
  <si>
    <t>Exploring Autonomous Language Learning Behaviors through Video Sharing and Online Discussions in Higher Education1</t>
  </si>
  <si>
    <t>autonomous language learning; computer-assisted language learning; coronavirus pandemic; online discussions; video sharing</t>
  </si>
  <si>
    <t>This study explores the way in which video sharing and online discussions foster learning autonomy in English language classes at a public university during the lockdown established by the Colombian government because of the coronavirus pandemic. This study was conducted with 127 engineering and administration undergraduates from a public university in the department of Boyaca. It was a qualitative case study that aimed to identify the extent to which video sharing and online discussions increase learner's autonomous behaviors in English language learning. The instruments for data collection were student journals and artifacts such as video recordings and online discussions, interviews, and questionnaires. An open coding analysis was performed, and the results revealed that the degrees of autonomous behaviors could be gradually fostered by the implementation of video sharing. The results also indicated that students are receptive to online writing discussions, and showed how motivation plays a vital role in learning English and the achievement of the learning goals set by the students themselves.</t>
  </si>
  <si>
    <t>[Mesa, Marian Lissett Olaya] Univ Cartagena, Bolivar, Colombia; [Mesa, Marian Lissett Olaya; Menjura, Willian Alexander Mora] Univ Pedag &amp; Tecnol Colombia, Boyaca, Colombia</t>
  </si>
  <si>
    <t>Universidad de Cartagena; Universidad Pedagogica y Tecnologica de Colombia (UPTC)</t>
  </si>
  <si>
    <t>Mesa, MLO (corresponding author), Univ Cartagena, Bolivar, Colombia.</t>
  </si>
  <si>
    <t>molayam@unicartagena.edu.co; willian.2012@uptc.edu.co</t>
  </si>
  <si>
    <t>10.14483/22487085.17827</t>
  </si>
  <si>
    <t>4K6GY</t>
  </si>
  <si>
    <t>WOS:000852046800003</t>
  </si>
  <si>
    <t>Yaguna, CE; Zapata, O</t>
  </si>
  <si>
    <t>Yaguna, Carlos E.; Zapata, Oscar</t>
  </si>
  <si>
    <t>Fermion and scalar two-component dark matter from a Z(4) symmetry</t>
  </si>
  <si>
    <t>PHYSICAL REVIEW D</t>
  </si>
  <si>
    <t>HIGGS; MODEL</t>
  </si>
  <si>
    <t>We revisit a two-component dark matter model in which the dark matter particles are a singlet fermion (psi) and a singlet scalar (S), both stabilized by a single Z(4) symmetry. The model-proposed by Cai and Spray-is remarkably simple, with its phenomenology determined by just five parameters: the two dark matter masses and three dimensionless couplings. In fact, S interacts with the Standard Model particles via the usual Higgs portal, whereas psi only interacts directly with S, via the Yukawa terms (psi(c)) over bar (y(s)+y(p)gamma 5())psi S. We consider the two possible mass hierarchies among the dark matter particles, M-S &lt; M-psi and M-psi &lt; M-S, and numerically investigate the consistency of the model with current bounds. The main novelties of our analysis are the inclusion of the yp coupling, the update of the direct-detection limits, and a more detailed characterization of the viable parameter space. For dark matter masses below 1.3 TeVor so, we find that not only is the model compatible with all known constraints, but it also gives rise to observable signals in future dark matter experiments. Our results show that both dark matter particles may be observed in directdetection experiments and that the most relevant indirect-detection channel is due to the annihilation of.. We also argue that this setup can be extended to other ZN symmetries and additional dark matter particles.</t>
  </si>
  <si>
    <t>[Yaguna, Carlos E.] Univ Pedag &amp; Tecnol Colombia, Escuela Fis, Ave Cent Norte 39-115, Tunja, Colombia; [Zapata, Oscar] Univ Antioquia, Inst Fis, Calle 70 52-21,Apartado Aereo 1226, Medellin, Colombia</t>
  </si>
  <si>
    <t>Universidad Pedagogica y Tecnologica de Colombia (UPTC); Universidad de Antioquia</t>
  </si>
  <si>
    <t>Yaguna, CE (corresponding author), Univ Pedag &amp; Tecnol Colombia, Escuela Fis, Ave Cent Norte 39-115, Tunja, Colombia.</t>
  </si>
  <si>
    <t>Zapata, Oscar/0000-0001-5533-4014</t>
  </si>
  <si>
    <t>Sostenibilidad-Universidad de Antioquia (UdeA); UdeA/Comite para el Desarrollo de la Investigacion (CODI) [2017-16286, 2020-33177]; Ministerio de Ciencias [80740-492-2021]</t>
  </si>
  <si>
    <t>Sostenibilidad-Universidad de Antioquia (UdeA); UdeA/Comite para el Desarrollo de la Investigacion (CODI); Ministerio de Ciencias</t>
  </si>
  <si>
    <t>The work of O. Z. is supported by Sostenibilidad-Universidad de Antioquia (UdeA), the UdeA/Comite para el Desarrollo de la Investigacion (CODI) Grants 2017-16286 and 2020-33177. O. Z. additionally received funding from Ministerio de Ciencias through the Grant 80740-492-2021.</t>
  </si>
  <si>
    <t>AMER PHYSICAL SOC</t>
  </si>
  <si>
    <t>COLLEGE PK</t>
  </si>
  <si>
    <t>ONE PHYSICS ELLIPSE, COLLEGE PK, MD 20740-3844 USA</t>
  </si>
  <si>
    <t>2470-0010</t>
  </si>
  <si>
    <t>2470-0029</t>
  </si>
  <si>
    <t>PHYS REV D</t>
  </si>
  <si>
    <t>Phys. Rev. D</t>
  </si>
  <si>
    <t>MAY 17</t>
  </si>
  <si>
    <t>10.1103/PhysRevD.105.095026</t>
  </si>
  <si>
    <t>Astronomy &amp; Astrophysics; Physics, Particles &amp; Fields</t>
  </si>
  <si>
    <t>Astronomy &amp; Astrophysics; Physics</t>
  </si>
  <si>
    <t>1X9OS</t>
  </si>
  <si>
    <t>Green Submitted, hybrid</t>
  </si>
  <si>
    <t>WOS:000807778600002</t>
  </si>
  <si>
    <t>Valderrama, EL; Polanco, JA</t>
  </si>
  <si>
    <t>Valderrama, Eliana-Leonor; Polanco, Jorge-Andres</t>
  </si>
  <si>
    <t>Understanding how collaborative governance mediates rural tourism and sustainable territory development: a systematic literature review</t>
  </si>
  <si>
    <t>TOURISM RECREATION RESEARCH</t>
  </si>
  <si>
    <t>Review; Early Access</t>
  </si>
  <si>
    <t>Rural tourism; sustainable territory development; collaborative governance; literature review</t>
  </si>
  <si>
    <t>EMPOWERMENT MODEL; COMMUNITY; PERSPECTIVE; FRAMEWORK; REGION; PERFORMANCE; INDICATORS; LESSONS; NETWORK; AREAS</t>
  </si>
  <si>
    <t>The relationship between rural tourism (RT) and sustainable territory development (STD) depends on formal and informal relationships. There is uncertainty in these relationships. Collaborative governance (CG) could explain this relationship and address the influence of RT on STD. This paper aims to understand how CG mediates the relationship between RT and STD. A systematic literature review was carried out using a mixed sequential approach, starting with the definition of the search equation. A total of 324 records were analysed to determine the knowledge map of the relationship between RT, CG and STD. The quantitative approach was the input for the qualitative approach, where 63 documents were selected with the PRISMA methodology and analysed with the Grounded Theory. The main contribution was the construction of a theoretical model that explains how CG mediates the relationship between RT and STD with the capacity for joint action. Networks, endogeneity, and empowerment influence elements in the capacity for joint action, which in turn influences procedural/institutional arrangements, leadership, knowledge, and resources for the environmental, sociocultural, and economic dimensions of STD. This approach is conceptually tentative in nature, and theoretical development is needed with additional research from empirical case studies conducted in diverse scenarios in countries with different regimes.</t>
  </si>
  <si>
    <t>[Valderrama, Eliana-Leonor] Univ Pedag &amp; Tecnol Colombia, Tunja, Colombia; [Polanco, Jorge-Andres] Univ Medellin, Fac Econ &amp; Adm Sci, Medellin, Colombia; [Polanco, Jorge-Andres] Univ Medellin, Socioecon Dev, Medellin, Colombia</t>
  </si>
  <si>
    <t>Universidad Pedagogica y Tecnologica de Colombia (UPTC); Universidad de Medellin; Universidad de Medellin</t>
  </si>
  <si>
    <t>Valderrama, EL (corresponding author), Univ Pedag &amp; Tecnol Colombia, Univ Medellin, Tunja, Colombia.</t>
  </si>
  <si>
    <t>eliana.valderrama@uptc.edu.co</t>
  </si>
  <si>
    <t>Polanco, Jorge-Andrés/L-5171-2016</t>
  </si>
  <si>
    <t>Polanco, Jorge-Andrés/0000-0002-3469-1685; Valderrama-Orozco, Eliana-Leonor/0000-0003-4887-7162</t>
  </si>
  <si>
    <t>Departamento Administrativo de Ciencia, Tecnologia e Innovacion (COLCIENCIAS) [779-2017]</t>
  </si>
  <si>
    <t>Departamento Administrativo de Ciencia, Tecnologia e Innovacion (COLCIENCIAS)(Departamento Administrativo de Ciencia, Tecnologia e Innovacion Colciencias)</t>
  </si>
  <si>
    <t>This work was supported by Departamento Administrativo de Ciencia, Tecnologia e Innovacion (COLCIENCIAS) : [Grant Number 779-2017].</t>
  </si>
  <si>
    <t>ROUTLEDGE JOURNALS, TAYLOR &amp; FRANCIS LTD</t>
  </si>
  <si>
    <t>2-4 PARK SQUARE, MILTON PARK, ABINGDON OX14 4RN, OXON, ENGLAND</t>
  </si>
  <si>
    <t>0250-8281</t>
  </si>
  <si>
    <t>2320-0308</t>
  </si>
  <si>
    <t>TOUR RECREAT RES</t>
  </si>
  <si>
    <t>Tour. Recreat. Res.</t>
  </si>
  <si>
    <t>10.1080/02508281.2022.2072653</t>
  </si>
  <si>
    <t>2J1AL</t>
  </si>
  <si>
    <t>WOS:000815399000001</t>
  </si>
  <si>
    <t>Becerra, ML; Prieto, GA; Rendueles, M; Diaz, M</t>
  </si>
  <si>
    <t>Becerra, Monica L.; Prieto, Gloria A.; Rendueles, Manuel; Diaz, Mario</t>
  </si>
  <si>
    <t>Biological transformations of furanic platform molecules to obtain biomass-derived furans: a review</t>
  </si>
  <si>
    <t>BIOMASS CONVERSION AND BIOREFINERY</t>
  </si>
  <si>
    <t>Furfural; 5-Hydroxymethylfurfural; Biocatalysis; Bioprocess; FDCA</t>
  </si>
  <si>
    <t>2,5-FURAN DICARBOXYLIC-ACID; BIO-BASED FURANS; 2,5-FURANDICARBOXYLIC ACID; SELECTIVE OXIDATION; 5-HYDROXYMETHYL-2-FURANCARBOXYLIC ACID; 5-HYDROXYMETHYLFURFURAL HMF; CATALYZED OXIDATION; AEROBIC OXIDATION; CARBOXYLIC-ACIDS; 2-FUROIC ACID</t>
  </si>
  <si>
    <t>The field of biocatalysis is envisioned as an important contributor to the development of bioprocesses producing molecules that can replace those derived from oil, while maintaining the durability and resistance characteristics offered by petroleum-based materials. In the search for substitutes for petroleum derivatives, the compounds belonging to the furan platform appear among the best known due to their reactivity, as they present a mono- (Furfural) or disubstituted (5-HMF) furan ring in their structure, identifying them among the molecules with the greatest applications in the synthesis of new fuels and polymer precursors. In this context, taking advantage of the metabolic diversity of microorganisms, biocatalytic and fermentative methods for the bioconversion of furans have been explored, proposing processes of lower cost and low environmental impact. This review presents the oxidation and reduction products of furfural and 5-HMF obtained by biological processes, using cells or enzymes.</t>
  </si>
  <si>
    <t>[Becerra, Monica L.; Prieto, Gloria A.] Pedag &amp; Technol Univ Colombia UPTC, Dept Chem Sci, Fac Sci, Tunja, Boyaca, Colombia; [Rendueles, Manuel; Diaz, Mario] Univ Oviedo, Dept Chem Engn &amp; Environm Technol, Oviedo, Spain</t>
  </si>
  <si>
    <t>Universidad Pedagogica y Tecnologica de Colombia (UPTC); University of Oviedo</t>
  </si>
  <si>
    <t>Rendueles, M (corresponding author), Univ Oviedo, Dept Chem Engn &amp; Environm Technol, Oviedo, Spain.</t>
  </si>
  <si>
    <t>mrenduel@uniovi.es</t>
  </si>
  <si>
    <t>; Rendueles, Manuel/B-8543-2013</t>
  </si>
  <si>
    <t>Becerra Jimenez, Monica Liliana/0000-0002-0275-9008; Rendueles, Manuel/0000-0001-7056-1231</t>
  </si>
  <si>
    <t>Government of Boyaca</t>
  </si>
  <si>
    <t>The Government of Boyaca for their financial support granted through the Call 733 of 2015 High level human capital formation for the department of Boyaca 2015 for Monica Becerra.</t>
  </si>
  <si>
    <t>2190-6815</t>
  </si>
  <si>
    <t>2190-6823</t>
  </si>
  <si>
    <t>BIOMASS CONVERS BIOR</t>
  </si>
  <si>
    <t>Biomass Convers. Biorefinery</t>
  </si>
  <si>
    <t>10.1007/s13399-022-03535-5</t>
  </si>
  <si>
    <t>Energy &amp; Fuels; Engineering, Chemical</t>
  </si>
  <si>
    <t>Energy &amp; Fuels; Engineering</t>
  </si>
  <si>
    <t>6C3GH</t>
  </si>
  <si>
    <t>WOS:000881906800001</t>
  </si>
  <si>
    <t>Bonito, JC; Arango, DES</t>
  </si>
  <si>
    <t>Bonito, Justo Cuno; Soto Arango, Diana Elvira</t>
  </si>
  <si>
    <t>Internationalisation at home. The experience of doing an internship during the confinement due to COVID-19 in Colombia and Spain (2000-2020)</t>
  </si>
  <si>
    <t>HISTORIA Y MEMORIA</t>
  </si>
  <si>
    <t>Internationalisation; pandemic; technologies; doctorates</t>
  </si>
  <si>
    <t>Under the direction of researchers from the Universidad Pedagogica y Tecnologica de Colombia (UPTC) and the Universidad Pablo de Olavide de Sevilla (UPO), this work intends to analyze the experience of the internationalisation of the Doctorate in Education Sciences Rudecolombia, comparing the first in-person internship in the year 2000 with the virtual one that took place in the Covid-19 pandemic period. An analysis of the internationalisation of the at-home curriculum was carried out with the mechanisms that were established in order to reach their members, establishing links that humanize academic relationships with human challenges and virtual realities in the context of cuts to the financing of public universities in Colombia. Using the methods of social history and heuristic analysis of the sources, it is concluded that the doctoral program has from the beginning implemented internationalisation, mobility and research in the curriculum. This virtual internship showed the good practices developed by universities working as a network and the creative capacity of the collective to provide experiences in specific spaces and times, with activities permeated by human affect in distance education, solving problems related to virtual learning as well as human and institutional issues, in addition to those pertaining to the lack of financing for public universities in Colombia.</t>
  </si>
  <si>
    <t>[Bonito, Justo Cuno] Univ Pablo Olavide, Hist Amer, Seville, Spain; [Soto Arango, Diana Elvira] Univ Pedag &amp; Tecnol Colombia, Filosofia &amp; Ciencias Educ, Tunja, Colombia</t>
  </si>
  <si>
    <t>Universidad Pablo de Olavide; Universidad Pedagogica y Tecnologica de Colombia (UPTC)</t>
  </si>
  <si>
    <t>Bonito, JC (corresponding author), Univ Pablo Olavide, Hist Amer, Seville, Spain.</t>
  </si>
  <si>
    <t>jcubon@upo.es; diana.soto@uptc.edu.co</t>
  </si>
  <si>
    <t>2027-5137</t>
  </si>
  <si>
    <t>2322-777X</t>
  </si>
  <si>
    <t>HIST MEMORIA</t>
  </si>
  <si>
    <t>Hist. Memoria</t>
  </si>
  <si>
    <t>10.19053/20275137.n25.2022.14542</t>
  </si>
  <si>
    <t>5D1UJ</t>
  </si>
  <si>
    <t>WOS:000864735500010</t>
  </si>
  <si>
    <t>Angarita, MAO; Canadas, AM; Funeme, CC; Mendez, OM; Serna, RJ</t>
  </si>
  <si>
    <t>Osorio Angarita, Maria Alejandra; Moreno Canadas, Agustin; Camilo Funeme, Cristian; Mendez, Odette M.; Serna, Robinson-Julian</t>
  </si>
  <si>
    <t>Cayley Hash Values of Brauer Messages and Some of Their Applications in the Solutions of Systems of Differential Equations</t>
  </si>
  <si>
    <t>COMPUTATION</t>
  </si>
  <si>
    <t>Brauer configuration algebra; Brauer message; Cayley graph; Cayley hash; path algebra; quiver representation</t>
  </si>
  <si>
    <t>Cayley hash values are defined by paths of some oriented graphs (quivers) called Cayley graphs, whose vertices and arrows are given by elements of a group H. On the other hand, Brauer messages are obtained by concatenating words associated with multisets constituting some configurations called Brauer configurations. These configurations define some oriented graphs named Brauer quivers which induce a particular class of bound quiver algebras named Brauer configuration algebras. Elements of multisets in Brauer configurations can be seen as letters of the Brauer messages. This paper proves that each point (x, y) is an element of V = R\{0}x R\{0} has an associated Brauer configuration algebra Lambda(B)(x,y) induced by a Brauer configuration B-(x,B- y). Additionally, the Brauer configuration algebras associated with points in a subset of the form (left perpendicular(x)right perpendicular, inverted right perpendicular(x)inverted left perpendicular] x (left perpendicular(y)right perpendicular, inverted right perpendicular(y)inverted left perpendicular] subset of V have the same dimension. We give an analysis of Cayley hash values associated with Brauer messages M(B-(x,B-y)) defined by a semigroup generated by some appropriated matrices A(0), A(1), A(2) is an element of GL(2, R) over a commutative ring R. As an application, we use Brauer messages M(B( x,y)) to construct explicit solutions for systems of linear and nonlinear differential equations of the form X ''(t) + MX(t) = 0 and X'(t) - X-2(t)N(t) = N(t) for some suitable square matrices, M and N(t). Python routines to compute Cayley hash values of Brauer messages are also included.</t>
  </si>
  <si>
    <t>[Osorio Angarita, Maria Alejandra] Univ Pedag &amp; Tecnol Colombia, Fac Ingn, Escuela Ingn Sistemas, Ave Cent Norte 39-115, Tunja 150003, Colombia; [Moreno Canadas, Agustin; Camilo Funeme, Cristian; Mendez, Odette M.] Univ Nacl Colombia, Dept Matemat, Edificio Yu Takeuchi 404,Kra 30 45-03, Bogota 11001000, Colombia; [Serna, Robinson-Julian] Univ Pedag &amp; Tecnol Colombia, Escuela Matemat &amp; Estadist, Ave Cent Norte 39-115, Tunja 150003, Colombia</t>
  </si>
  <si>
    <t>Universidad Pedagogica y Tecnologica de Colombia (UPTC); Universidad Nacional de Colombia; Universidad Pedagogica y Tecnologica de Colombia (UPTC)</t>
  </si>
  <si>
    <t>Serna, RJ (corresponding author), Univ Pedag &amp; Tecnol Colombia, Escuela Matemat &amp; Estadist, Ave Cent Norte 39-115, Tunja 150003, Colombia.</t>
  </si>
  <si>
    <t>robinson.serna@uptc.edu.co</t>
  </si>
  <si>
    <t>Serna, Robinson/0000-0001-5858-5011; Moreno Canadas, Agustin/0000-0001-6812-5131; Funeme Mateus, Cristian Camilo/0000-0002-9158-427X</t>
  </si>
  <si>
    <t>Universidad Nacional de Colombia [907]; Seminar Alexander Zavadskij on Representation of Algebras and their Applications, Universidad Nacional de Colombia</t>
  </si>
  <si>
    <t>Universidad Nacional de Colombia; Seminar Alexander Zavadskij on Representation of Algebras and their Applications, Universidad Nacional de Colombia</t>
  </si>
  <si>
    <t>Seminar Alexander Zavadskij on Representation of Algebras and their Applications, Universidad Nacional de Colombia. The fourth author was partially supported by MinCienciasColombia, Convocatoria 907 de 2021.</t>
  </si>
  <si>
    <t>2079-3197</t>
  </si>
  <si>
    <t>Computation</t>
  </si>
  <si>
    <t>10.3390/computation10090164</t>
  </si>
  <si>
    <t>Mathematics, Interdisciplinary Applications</t>
  </si>
  <si>
    <t>4T4QF</t>
  </si>
  <si>
    <t>WOS:000858103200001</t>
  </si>
  <si>
    <t>Acevedo-Zapata, S; Sanchez, RA; Ortiz, JAT</t>
  </si>
  <si>
    <t>Acevedo-Zapata, Sandra; Arrubla Sanchez, Ricardo; Torres Ortiz, Jaime Andres</t>
  </si>
  <si>
    <t>Web accessibility in virtuality, analysis of the cultural fabric of the Internet and digital language</t>
  </si>
  <si>
    <t>HALLAZGOS-REVISTA DE INVESTIGACIONES</t>
  </si>
  <si>
    <t>Access to information, indexing language, Learning virtual, Internet, information, communication, information technology, digital technology</t>
  </si>
  <si>
    <t>Within the framework of the research project PIE 039 of the ECEDU-UNAD entitled Design of a proposal for the training of higher education leaders in management, design and innovation of curricular processes relevant to the needs of the national and international context a methodology was used descriptive with exploratory, descriptive, systematization and analytical stages following Hurtado (2000). Which allowed to identify that web accessibility in virtuality evidencing a transformation in communication practices in which transformations are presented that through the analysis of the cultural fabric of the internet from which they were configured as conceptual categories, these were: cyberspace and borders blurred knowledge, digital universality, overcoming the gaps, writing and access to the Internet and scientific discourse, the Internet and the new interconnections.</t>
  </si>
  <si>
    <t>[Acevedo-Zapata, Sandra] Univ Nacl Abierta &amp; Distancia UNAD, Bogota, Colombia; [Arrubla Sanchez, Ricardo] Univ Area Andina, Bogota, Colombia; [Torres Ortiz, Jaime Andres] Univ Pedag &amp; Tecnol Colombia UPTC, Tunja, Colombia</t>
  </si>
  <si>
    <t>Fundacion Universitaria del Area Andina; Universidad Pedagogica y Tecnologica de Colombia (UPTC)</t>
  </si>
  <si>
    <t>Acevedo-Zapata, S (corresponding author), Univ Nacl Abierta &amp; Distancia UNAD, Bogota, Colombia.</t>
  </si>
  <si>
    <t>sandra.acevedo@unad.edu.co; rarrubla@areandina.edu.co; jaime.torres@uptc.edu.co</t>
  </si>
  <si>
    <t>UNIV SANTO TOMAS</t>
  </si>
  <si>
    <t>CRA 9 NRO 51 11, BOGOTA, 00000, COLOMBIA</t>
  </si>
  <si>
    <t>1794-3841</t>
  </si>
  <si>
    <t>2422-409X</t>
  </si>
  <si>
    <t>HALLAZGOS</t>
  </si>
  <si>
    <t>Hallazgos</t>
  </si>
  <si>
    <t>Area Studies</t>
  </si>
  <si>
    <t>6S6TO</t>
  </si>
  <si>
    <t>WOS:000893117600002</t>
  </si>
  <si>
    <t>Palacio, CA; Rojas, KM; Triana, YP</t>
  </si>
  <si>
    <t>Palacio, Carlos A.; Medina Rojas, Kelly; Pineda Triana, Yaneth</t>
  </si>
  <si>
    <t>Analysis of diesel engine oils from 2.5L engine pick-up trucks by means of X-ray fluorescence</t>
  </si>
  <si>
    <t>Oil industry; X-ray fluorescence; maintenance; chemical analysis; motor vehicles</t>
  </si>
  <si>
    <t>SULFUR; FUEL</t>
  </si>
  <si>
    <t>Engine oil is one of the key elements to protect and to increase the life of the lubricated engine parts. However, it gets contaminated by external particles either in filtration or during combustion, which produces deterioration in some of the engine parts which are being lubricated. In that sense, delays and very expensive repairs are generated at the maintenance workshops due to the high contamination in oils and to the late detection of the deteriorated parts. This work presents an analysis of used oils, extracted from hot and cold engines of 2.5-liter engine pick-up trucks, by using the two methods of the X-ray fluorescence technique (XRF): standard-less and calibrated, in order to determine the elements present and to establish the engine parts that wear out more easily and thus, to help with predictive maintenance of the trucks. The results are also useful for comparison purposes and to evaluate the effectiveness of the XRF technique in analyzing these types of samples.</t>
  </si>
  <si>
    <t>[Palacio, Carlos A.] Univ Antonio Narino, Grp GIFAM, Fac Ciencias, Carrera 7 21-84, Tunja 150002, Colombia; [Medina Rojas, Kelly; Pineda Triana, Yaneth] Univ Pedag &amp; Tecnol Colombia, Grp Integridad &amp; Evaluac Mat GIEM, Escuela Met, Ave Cent Norte 39-115, Tunja 150003, Colombia</t>
  </si>
  <si>
    <t>Universidad Antonio Narino; Universidad Pedagogica y Tecnologica de Colombia (UPTC)</t>
  </si>
  <si>
    <t>Palacio, CA (corresponding author), Univ Antonio Narino, Grp GIFAM, Fac Ciencias, Carrera 7 21-84, Tunja 150002, Colombia.</t>
  </si>
  <si>
    <t>carlospalacio@uan.edu.co</t>
  </si>
  <si>
    <t>Gómez, Carlos Andrés Palacio/B-1544-2016</t>
  </si>
  <si>
    <t>Gómez, Carlos Andrés Palacio/0000-0003-0842-5567</t>
  </si>
  <si>
    <t xml:space="preserve"> [PI/UAN-2021-695GFM]</t>
  </si>
  <si>
    <t>This work was supported by grant PI/UAN-2021-695GFM.</t>
  </si>
  <si>
    <t>JUL-SEP</t>
  </si>
  <si>
    <t>10.17533/udea.redin.20210739</t>
  </si>
  <si>
    <t>1N5OJ</t>
  </si>
  <si>
    <t>Green Published, Green Submitted</t>
  </si>
  <si>
    <t>WOS:000800704700002</t>
  </si>
  <si>
    <t>Moncada-Villa, E; Cuevas, JC</t>
  </si>
  <si>
    <t>Moncada-Villa, E.; Cuevas, J. C.</t>
  </si>
  <si>
    <t>Thermal discrete dipole approximation for near-field radiative heat transfer in many-body systems with arbitrary nonreciprocal bodies</t>
  </si>
  <si>
    <t>PHYSICAL REVIEW B</t>
  </si>
  <si>
    <t>SCATTERING</t>
  </si>
  <si>
    <t>The theoretical study of many-body effects in the context of near-field radiative heat transfer (NFRHT) has already led to the prediction of a plethora of thermal radiation phenomena. Special attention has been paid to nonreciprocal systems in which the lack of the Lorentz reciprocity has been shown to give rise to unique physical effects. However, most of the theoretical work in this regard has been carried out with the help of approaches that consider either pointlike particles or highly symmetric bodies (such as spheres), which are not easy to realize and explore experimentally. In this work we develop a many-body approach based on the thermal discrete dipole approximation (TDDA) that is able to describe the NFRHT between nonreciprocal objects of arbitrary size and shape. We illustrate the potential and the relevance of this approach with the analysis of two related phenomena, namely the existence of persistent thermal currents and the photon thermal Hall effect, in a system with several magneto-optical bodies. Our many-body TDDA approach paves the way for closing the gap between experiment and theory that is hindering the progress of the topic of NFRHT in many-body systems.</t>
  </si>
  <si>
    <t>[Moncada-Villa, E.] Univ Pedag &amp; Tecnol Colombia, Escuela Fis, Ave Cent Norte 39-115, Tunja, Colombia; [Cuevas, J. C.] Univ Autonoma Madrid, Dept Fis Teor Mat Condensada, E-28049 Madrid, Spain; [Cuevas, J. C.] Univ Autonoma Madrid, Condensed Matter Phys Ctr IFIMAC, E-28049 Madrid, Spain</t>
  </si>
  <si>
    <t>Universidad Pedagogica y Tecnologica de Colombia (UPTC); Autonomous University of Madrid; Autonomous University of Madrid</t>
  </si>
  <si>
    <t>Moncada-Villa, E (corresponding author), Univ Pedag &amp; Tecnol Colombia, Escuela Fis, Ave Cent Norte 39-115, Tunja, Colombia.</t>
  </si>
  <si>
    <t>Cuevas, Juan Carlos/B-7813-2012</t>
  </si>
  <si>
    <t>Cuevas, Juan Carlos/0000-0001-7421-0682</t>
  </si>
  <si>
    <t>Spanish Ministry of Science and Innovation;  [PID2020-114880GB-I00]</t>
  </si>
  <si>
    <t xml:space="preserve">Spanish Ministry of Science and Innovation(Ministry of Science and Innovation, Spain (MICINN)Spanish Government); </t>
  </si>
  <si>
    <t>ACKNOWLEDGMENT J.C.C. acknowledges funding from the Spanish Ministry of Science and Innovation (Grant No. PID2020-114880GB-I00) .</t>
  </si>
  <si>
    <t>2469-9950</t>
  </si>
  <si>
    <t>2469-9969</t>
  </si>
  <si>
    <t>PHYS REV B</t>
  </si>
  <si>
    <t>Phys. Rev. B</t>
  </si>
  <si>
    <t>DEC 27</t>
  </si>
  <si>
    <t>10.1103/PhysRevB.106.235430</t>
  </si>
  <si>
    <t>Materials Science, Multidisciplinary; Physics, Applied; Physics, Condensed Matter</t>
  </si>
  <si>
    <t>Materials Science; Physics</t>
  </si>
  <si>
    <t>7M8TB</t>
  </si>
  <si>
    <t>WOS:000906922700002</t>
  </si>
  <si>
    <t>Viasus, JFJ</t>
  </si>
  <si>
    <t>Jimenez Viasus, John Fredy</t>
  </si>
  <si>
    <t>Structural ecological connectivity in the municipality of Valparaiso (Caqueta, Colombia): A proposal for linkages and connectivity nuclei at a semi-detailed scale</t>
  </si>
  <si>
    <t>PERSPECTIVA GEOGRAFICA</t>
  </si>
  <si>
    <t>structural ecological connectivity; ecological linkages; ecosystem services</t>
  </si>
  <si>
    <t>Ecosystem services are the benefits that humanity receives from ecosystems: from the provision of food, water, wood and fiber to water and climate regulation, among many others. In order to maintain this environmental supply, it is necessary to know the location, state and degree of connection of the natural areas present in a territory. Taking into account the interpretation of land cover at a scale of 1:25,000, the delimitation of sub-basins within the municipality, the consultation of secondary information, the use of the Linkage Mapper tool and a subsequent verification with satellite images of the year 2020, a set of linkages and structural connectivity cores are proposed for the natural areas present in the municipality of Valparaiso (Caqueta) in Colombia, in order to provide decision-makers with inputs for land management in order to maintain the quality and supply of ecosystem services. As a result, 48 connectivity cores were obtained corresponding to inland and floodable forests and about 7% of the municipal area in linkages that are mainly represented by remaining gallery forests in the study area.</t>
  </si>
  <si>
    <t>[Jimenez Viasus, John Fredy] Univ Nacl Colombia, Bogota, Colombia; [Jimenez Viasus, John Fredy] Univ Pedag &amp; Tecnol Colombia, Geog, Bogota, Colombia</t>
  </si>
  <si>
    <t>Universidad Nacional de Colombia; Universidad Pedagogica y Tecnologica de Colombia (UPTC)</t>
  </si>
  <si>
    <t>Viasus, JFJ (corresponding author), Univ Nacl Colombia, Bogota, Colombia.;Viasus, JFJ (corresponding author), Univ Pedag &amp; Tecnol Colombia, Geog, Bogota, Colombia.</t>
  </si>
  <si>
    <t>jfjimenezv@unal.edu.co</t>
  </si>
  <si>
    <t>0123-3769</t>
  </si>
  <si>
    <t>2500-8684</t>
  </si>
  <si>
    <t>PERSPECT GEOGR</t>
  </si>
  <si>
    <t>Perspect. Geogr.</t>
  </si>
  <si>
    <t>10.19053/01233769.13087</t>
  </si>
  <si>
    <t>ZQ6UE</t>
  </si>
  <si>
    <t>WOS:000767237000001</t>
  </si>
  <si>
    <t>Suarez, H; Chacon, A; Reyes, A</t>
  </si>
  <si>
    <t>Suarez, Hector; Chacon, Andres; Reyes, Armando</t>
  </si>
  <si>
    <t>On NI and NJ skew PBW extensions</t>
  </si>
  <si>
    <t>COMMUNICATIONS IN ALGEBRA</t>
  </si>
  <si>
    <t>Jacobson radical; Levitzki radical; NI ring; NJ ring; skew PBW extension; skew polynomial ring</t>
  </si>
  <si>
    <t>TOPOLOGICAL CONDITIONS; JACOBSON RADICALS; PRIME IDEALS; RINGS</t>
  </si>
  <si>
    <t>We establish necessary or sufficient conditions to guarantee that skew Poincare-Birkhoff-Witt extensions are NI or NJ rings. Our results extend those corresponding for skew polynomial rings and establish similar properties for other families of noncommutative rings such as universal enveloping algebras and examples of differential operators.</t>
  </si>
  <si>
    <t>[Suarez, Hector] Univ Pedag &amp; Tecnol Colombia, Sede Tunja, Escuela Matemat &amp; Estadist, Tunja, Colombia; [Chacon, Andres; Reyes, Armando] Univ Nacl Colombia, Dept Math, Sede Bogota, Campus Univ, Bogota, Colombia</t>
  </si>
  <si>
    <t>Reyes, A (corresponding author), Univ Nacl Colombia, Dept Math, Sede Bogota, Campus Univ, Bogota, Colombia.</t>
  </si>
  <si>
    <t>mareyesv@unal.edu.co</t>
  </si>
  <si>
    <t>Suárez, Héctor/ABD-9214-2020</t>
  </si>
  <si>
    <t>Suárez, Héctor/0000-0003-4618-0599</t>
  </si>
  <si>
    <t>Faculty of Science, Universidad Nacional de Colombia - Sede Bogota, Colombia [HERMES 52464]</t>
  </si>
  <si>
    <t>Faculty of Science, Universidad Nacional de Colombia - Sede Bogota, Colombia</t>
  </si>
  <si>
    <t>The authors were supported by the research fund of Faculty of Science, Code HERMES 52464, Universidad Nacional de Colombia - Sede Bogota, Colombia.</t>
  </si>
  <si>
    <t>0092-7872</t>
  </si>
  <si>
    <t>1532-4125</t>
  </si>
  <si>
    <t>COMMUN ALGEBRA</t>
  </si>
  <si>
    <t>Commun. Algebr.</t>
  </si>
  <si>
    <t>AUG 3</t>
  </si>
  <si>
    <t>10.1080/00927872.2022.2028799</t>
  </si>
  <si>
    <t>1M8HG</t>
  </si>
  <si>
    <t>WOS:000752320300001</t>
  </si>
  <si>
    <t>Prieto-Novoa, G; Vallejo, F; Piamba, O; Olaya, J; Pineda, Y</t>
  </si>
  <si>
    <t>Prieto-Novoa, Gina; Vallejo, Fabio; Piamba, Oscar; Olaya, Jhon; Pineda, Yaneth</t>
  </si>
  <si>
    <t>Effects of Cr Concentration on the Structure and the Electrical and Optical Properties of Ti-Al-Cr-N Thin Films Prepared by Means of Reactive Co-Sputtering</t>
  </si>
  <si>
    <t>CRYSTALS</t>
  </si>
  <si>
    <t>Ti-Al-Cr-N; electrical properties; optical properties; sputtering</t>
  </si>
  <si>
    <t>OXIDATION RESISTANCE; THERMAL-STABILITY; NITRIDE COATINGS; HARD COATINGS; PERFORMANCE; TEMPERATURE; MICROSTRUCTURE; RESISTIVITY; DEPOSITION; SCATTERING</t>
  </si>
  <si>
    <t>Thin films of Ti-Al-Cr-N were deposited onto glass substrates by means of the reactive magnetron co-sputtering of pure Cr and TiAl alloy targets in an atmosphere of Ar and N-2. This investigation was carried out by adjusting the Cr-target power in order to increase the Cr amount in the films. The crystal structure of the films was investigated via X-ray diffraction (XRD). The elemental composition of the coatings was determined using Auger electron spectroscopy (AES). The electrical resistivity was measured using the four-point probe method, and the optical properties were characterized via ultraviolet/visible (UV/Vis) spectroscopy. The experimental results showed that, with a Cr concentration between 0 at% and 11.6 at%, a transition between phases from a single-phase hexagonal wurtzite-type structure to a single-phase cubic NaCl-type structure took place. The addition of Cr increased the crystallite size and, with it, the roughness of the coatings. All of the coatings exhibited an ohmic behavior at room temperature, and their surface electrical resistivity decreased from 490.1 +/- 43.4 omega cm to 1.5 +/- 0.1 omega cm as the chromium concentration increased. The transmittance of the coatings decreased, and the optical band gap (Egap) went from 3.5 eV to 2.3 eV with the addition of Cr. These electrical and optical properties have not been previously reported for these films.</t>
  </si>
  <si>
    <t>[Prieto-Novoa, Gina; Vallejo, Fabio; Piamba, Oscar; Olaya, Jhon] Univ Nacl Colombia, Dept Ingn Mecan &amp; Mecatron, Bogota 111321, Colombia; [Pineda, Yaneth] Univ Pedag &amp; Tecnol Colombia, Fac Ingn, Ave Cent Norte 39-115, Tunja 150003, Colombia</t>
  </si>
  <si>
    <t>Piamba, O (corresponding author), Univ Nacl Colombia, Dept Ingn Mecan &amp; Mecatron, Bogota 111321, Colombia.</t>
  </si>
  <si>
    <t>oepiambat@unal.edu.co</t>
  </si>
  <si>
    <t>2073-4352</t>
  </si>
  <si>
    <t>Crystals</t>
  </si>
  <si>
    <t>DEC</t>
  </si>
  <si>
    <t>10.3390/cryst12121831</t>
  </si>
  <si>
    <t>Crystallography; Materials Science, Multidisciplinary</t>
  </si>
  <si>
    <t>Crystallography; Materials Science</t>
  </si>
  <si>
    <t>7D5IW</t>
  </si>
  <si>
    <t>WOS:000900525000001</t>
  </si>
  <si>
    <t>Canadas, AM; Rios, GB; Serna, RJ</t>
  </si>
  <si>
    <t>Moreno Canadas, Agustin; Bravo Rios, Gabriel; Robinson-Julian Serna</t>
  </si>
  <si>
    <t>Snake Graphs Arising from Groves with an Application in Coding Theory</t>
  </si>
  <si>
    <t>binary tree; coding theory; Brauer configuration algebra; Catalan combinatorics; path algebra; snake graph; string modules</t>
  </si>
  <si>
    <t>BRAUER CONFIGURATION ALGEBRAS; CLUSTER ALGEBRAS; CALCULUS</t>
  </si>
  <si>
    <t>Snake graphs are connected planar graphs consisting of a finite sequence of adjacent tiles (squares) T-1,T-2,...,T-n. In this case, for 1 &lt;= j &lt;= n - 1, two consecutive tiles T-j and Tj+1 share exactly one edge, either the edge at the east (west) of T-j (Tj+1) or the edge at the north (south) of T-j (Tj+1). Finding the number of perfect matchings associated with a given snake graph is one of the most remarkable problems regarding these graphs. It is worth noting that such a number of perfect matchings allows a bijection between the set of snake graphs and the positive continued fractions. Furthermore, perfect matchings of snake graphs have also been used to find closed formulas for cluster variables of some cluster algebras and solutions of the Markov equation, which is a well-known Diophantine equation. Recent results prove that snake graphs give rise to some string modules over some path algebras, connecting snake graph research with the theory of representation of algebras. This paper uses this interaction to define Brauer configuration algebras induced by schemes associated with some multisets called polygons. Such schemes are named Brauer configurations. In this work, polygons are given by some admissible words, which, after appropriate transformations, permit us to define sets of binary trees called groves. Admissible words generate codes whose energy values are given by snake graphs. Such energy values can be estimated by using Catalan numbers. We include in this paper Python routines to compute admissible words (i.e., codewords), energy values of the generated codes, Catalan numbers and dimensions of the obtained Brauer configuration algebras.</t>
  </si>
  <si>
    <t>[Moreno Canadas, Agustin; Bravo Rios, Gabriel] Univ Nacl Colombia, Dept Matemat, Edificio Yu Takeuchi 404,Kra 30 45-03, Bogota 111321, Colombia; [Robinson-Julian Serna] Univ Pedag &amp; Tecnol Colombia, Escuela Matemat &amp; Estadist, Ave Cent Norte 39-115, Tunja 150003, Colombia</t>
  </si>
  <si>
    <t>amorenoca@unal.edu.co; gbravor@unal.edu.co; robinson.serna@uptc.edu.co</t>
  </si>
  <si>
    <t>Moreno Canadas, Agustin/0000-0001-6812-5131; Bravo Rios, Gabriel/0000-0003-1386-6658; Serna, Robinson/0000-0001-5858-5011</t>
  </si>
  <si>
    <t>Seminar Alexander Zavadskij on Representation of Algebras and their Applications, Universidad Nacional de Colombia; Minciencias [891]</t>
  </si>
  <si>
    <t>Seminar Alexander Zavadskij on Representation of Algebras and their Applications, Universidad Nacional de Colombia; Minciencias</t>
  </si>
  <si>
    <t>Seminar Alexander Zavadskij on Representation of Algebras and their Applications, Universidad Nacional de Colombia. The third author was supported by Minciencias (Conv. 891).</t>
  </si>
  <si>
    <t>10.3390/computation10070124</t>
  </si>
  <si>
    <t>3H4IU</t>
  </si>
  <si>
    <t>WOS:000832001600001</t>
  </si>
  <si>
    <t>Canadas, AM; Serna, RJ; Gaviria, IDM</t>
  </si>
  <si>
    <t>Canadas, Agustin Moreno; Serna, Robinson -Julian; Gaviria, Isaias David Marin</t>
  </si>
  <si>
    <t>Zavadskij modules over cluster-tilted algebras of type A</t>
  </si>
  <si>
    <t>ELECTRONIC RESEARCH ARCHIVE</t>
  </si>
  <si>
    <t>algorithm of differentiation; categorification; cluster-tilted algebra of type A; integer sequence; OEIS; quiver representation; uniserial module; Zavadskij module</t>
  </si>
  <si>
    <t>EQUIVALENCE CLASSIFICATION; DIFFERENTIATION; QUIVERS</t>
  </si>
  <si>
    <t>Zavadskij modules are uniserial tame modules. They arose from interactions between the poset representation theory and the classification of general orders. The main problem is to characterize Zavadskij modules over a finite-dimensional algebra A. In this setting, we prove that the indecomposable uniserial A-modules with a mast of multiplicity one in each vertex are Zavadskij modules. Since the Zavadskij property carries over to direct summands, but it is not invariant under the formation of direct sums, we give a criterion to determine when the direct sum of indecomposable Zavadskij modules is again a Zavadskij module. In addition, we use the triangulations of the n + 3-gon associated with the cluster-tilted algebra of type A(n) to give a formula for the number of indecomposable Zavadskij modules over any cluster-tilted algebra of type A(n). In this case, the formula gives the dimension of the cluster-tilted algebra. As an application, we discuss some integer sequences in the OEIS (The On-Line Encyclopedia of Integer Sequences) that allow us to enumerate indecomposable Zavadskij modules.</t>
  </si>
  <si>
    <t>[Canadas, Agustin Moreno] Univ Nacl Colombia, Dept Matemat, Edificio Yu Takeuchi 404,Kra 30 45-03, Bogota 11001000, Colombia; [Serna, Robinson -Julian; Gaviria, Isaias David Marin] Univ Pedag &amp; Tecnol Colombia, Escuela Matemat &amp; Estadist, Ave Cent Norte 39-115, Bogota 150003, Colombia</t>
  </si>
  <si>
    <t>Gaviria, IDM (corresponding author), Univ Pedag &amp; Tecnol Colombia, Escuela Matemat &amp; Estadist, Ave Cent Norte 39-115, Bogota 150003, Colombia.</t>
  </si>
  <si>
    <t>saias.marin@uptc.edu.co</t>
  </si>
  <si>
    <t>Seminar Alexander Zavadskij on Representation of Algebras and Its Applications at Universidad Nacional de Colombia; Minciencias-Colombia Convocatoria fortalecimiento de vocaciones y formacion en CTeI para la reactivacion economica [891]</t>
  </si>
  <si>
    <t>Seminar Alexander Zavadskij on Representation of Algebras and Its Applications at Universidad Nacional de Colombia; Minciencias-Colombia Convocatoria fortalecimiento de vocaciones y formacion en CTeI para la reactivacion economica</t>
  </si>
  <si>
    <t>The first author has been supported by the Seminar Alexander Zavadskij on Representation of Algebras and Its Applications at Universidad Nacional de Colombia. The second and third author have been supported by Minciencias-Colombia Convocatoria fortalecimiento de vocaciones y formacion en CTeI para la reactivacion economica en el marco de la postpandemia 2020. No 891.</t>
  </si>
  <si>
    <t>AMER INST MATHEMATICAL SCIENCES-AIMS</t>
  </si>
  <si>
    <t>SPRINGFIELD</t>
  </si>
  <si>
    <t>PO BOX 2604, SPRINGFIELD, MO 65801-2604, UNITED STATES</t>
  </si>
  <si>
    <t>2688-1594</t>
  </si>
  <si>
    <t>ELECTRON RES ARCH</t>
  </si>
  <si>
    <t>Electron. Res. Arch.</t>
  </si>
  <si>
    <t>10.3934/era.2022175</t>
  </si>
  <si>
    <t>3H7QA</t>
  </si>
  <si>
    <t>WOS:000832225700001</t>
  </si>
  <si>
    <t>Munoz-Olano, JF; Ruiz-Zapata, GJ</t>
  </si>
  <si>
    <t>Munoz-Olano, Juan F.; Ruiz-Zapata, Glenys J.</t>
  </si>
  <si>
    <t>Counterfactual Thinking Made in a Relevan Choice and Negative Consequences</t>
  </si>
  <si>
    <t>JOURNAL OF COGNITION AND CULTURE</t>
  </si>
  <si>
    <t>counterfactual thinking; causal thinking; imagination; negative consequence; childhood cognition</t>
  </si>
  <si>
    <t>FALSE BELIEF; PERCEPTION; REFLECTION; SIMULATION; INACTION; PRIMES</t>
  </si>
  <si>
    <t>The counterfactual thinking cannot be only developed in early childhood, but it also could be a requirement for the causal reasoning. In this research a replica of German (1999) was made using counterfactual stories with Latin American kids between three and four years, demonstrating the possible main role counterfactual reasoning, by using computer animations. This was a different approach to the most recent made by Nyhout and Ganea (2020). Nonetheless, the participants of the study evidenced counterfactual reasoning to the relevant choice and the negative consequence conditions shown on the stories that represented the choices made by a starting role (McNemar, N = 40, k = 11.53, p = .001). Although some of the results were not totally conclusive under the analyzed conditions. Lastly, some possible not controlled effects are discussed from stories shown to the children, that could have motivated the counterfactual thinking.</t>
  </si>
  <si>
    <t>[Munoz-Olano, Juan F.] Univ Pedag &amp; Tecnol Colombia, Escuela Psicol, Tunja, Boyaca, Colombia; [Ruiz-Zapata, Glenys J.] Occidente IPS SAS, Cauca, Colombia</t>
  </si>
  <si>
    <t>Munoz-Olano, JF (corresponding author), Univ Pedag &amp; Tecnol Colombia, Escuela Psicol, Tunja, Boyaca, Colombia.</t>
  </si>
  <si>
    <t>juan.munoz04@uptc.edu.co; Gjohanna06@gmail.com</t>
  </si>
  <si>
    <t>Nuestra Senora del Carmen School, from Popayan city; Jean Piaget Kinder garden, from Popayan city</t>
  </si>
  <si>
    <t>We want to thank to Nuestra Senora del Carmen School and Jean Piaget Kinder garden, from Popayan city, for all their support in this research.</t>
  </si>
  <si>
    <t>BRILL</t>
  </si>
  <si>
    <t>LEIDEN</t>
  </si>
  <si>
    <t>PLANTIJNSTRAAT 2, P O BOX 9000, 2300 PA LEIDEN, NETHERLANDS</t>
  </si>
  <si>
    <t>1567-7095</t>
  </si>
  <si>
    <t>1568-5373</t>
  </si>
  <si>
    <t>J COGN CULT</t>
  </si>
  <si>
    <t>J. Cogn. Cult.</t>
  </si>
  <si>
    <t>3-4</t>
  </si>
  <si>
    <t>10.1163/15685373-12340136</t>
  </si>
  <si>
    <t>5U1SB</t>
  </si>
  <si>
    <t>WOS:000876332100007</t>
  </si>
  <si>
    <t>Soler, RNC; Cremades-Andreu, R</t>
  </si>
  <si>
    <t>Soler, Ruth Nayibe Cardenas; Cremades-Andreu, Roberto</t>
  </si>
  <si>
    <t>Challenges and opportunities in music education research</t>
  </si>
  <si>
    <t>PRAXIS &amp; SABER</t>
  </si>
  <si>
    <t>[Soler, Ruth Nayibe Cardenas] Univ Pedag &amp; Tecnol Colombia, Bogota, Colombia; [Cremades-Andreu, Roberto] Univ Complutense Madrid, Madrid, Spain</t>
  </si>
  <si>
    <t>Universidad Pedagogica y Tecnologica de Colombia (UPTC); Complutense University of Madrid</t>
  </si>
  <si>
    <t>Soler, RNC (corresponding author), Univ Pedag &amp; Tecnol Colombia, Bogota, Colombia.</t>
  </si>
  <si>
    <t>ruth.cardenas@uptc.edu.co</t>
  </si>
  <si>
    <t>Cremades-Andreu, Roberto/B-9720-2015</t>
  </si>
  <si>
    <t>Cremades-Andreu, Roberto/0000-0002-9930-1609</t>
  </si>
  <si>
    <t>2216-0159</t>
  </si>
  <si>
    <t>2462-8603</t>
  </si>
  <si>
    <t>PRAX SABER</t>
  </si>
  <si>
    <t>Prax. Saber</t>
  </si>
  <si>
    <t>e14286</t>
  </si>
  <si>
    <t>10.19053/22160159.v13.n32.2022.14286</t>
  </si>
  <si>
    <t>1N0YH</t>
  </si>
  <si>
    <t>WOS:000800389000001</t>
  </si>
  <si>
    <t>Pineda, MEB; Forero, LML; Avila, CAS</t>
  </si>
  <si>
    <t>Pineda, Mayra Eleonora Beltran; Lizarazo Forero, Luz Marina; Sierra Avila, Cesar Augusto</t>
  </si>
  <si>
    <t>Antibacterial activity of biosynthesized silver nanoparticles (AgNps) against Pectobacterium carotovorum</t>
  </si>
  <si>
    <t>BRAZILIAN JOURNAL OF MICROBIOLOGY</t>
  </si>
  <si>
    <t>Biosynthesis; Rhizospheric fungi; Pectobacterium carotovorum; Silver nanoparticles; Solanum tuberosum</t>
  </si>
  <si>
    <t>GREEN SYNTHESIS; EXTRACELLULAR BIOSYNTHESIS; SOLUBILIZATION; FUNGUS</t>
  </si>
  <si>
    <t>In a bioprospecting study of paramo soils cultivated with potato (Solanum tuberosum), 50 fungal isolates were obtained and evaluated for their nitrate reductase (NR) activity, given the role played by this enzyme in the biosynthesis of silver nanoparticles (AgNps). Five isolates strain with high NR activity belonging to Penicillium simplicissimum, Aspergillus niger, and Fusarium oxysporum species were selected, verifying the presence of the NR enzyme in their enzymatic extract. Later, these strains showed the ability to biosynthesize AgNps with distorted spherical shapes and sizes ranging from 15 to 45 nm. Subsequently, an antibiosis test was carried out by the agar diffusion method using glass fiber disks against the phytopathogenic agent Pectobacterium carotovorum, finding halos of inhibition of bacterial growth up to 15.3 mm using a 100 ppm solution of the AgNps obtained from F. oxysporum. These results contribute to generating the basis of a new alternative for the control of this phytopathogenic agent of potato, challenging to manage by traditional methods and of relevance at the post-harvest level.</t>
  </si>
  <si>
    <t>[Pineda, Mayra Eleonora Beltran] Univ Nacl Colombia, Biotecnol UN, Grp Invest Macromol UN, Grp Invest Biol Ambiental UPTC,Grp Invest Gest Am, Bogota, Colombia; [Lizarazo Forero, Luz Marina] Univ Pedag &amp; Tecnol Colombia, Grp Invest Biol Ambiental, Tunja, Colombia; [Sierra Avila, Cesar Augusto] Univ Nacl Colombia, Grp Invest Macromol, Bogota, Colombia</t>
  </si>
  <si>
    <t>Universidad Nacional de Colombia; Universidad Pedagogica y Tecnologica de Colombia (UPTC); Universidad Nacional de Colombia</t>
  </si>
  <si>
    <t>Forero, LML (corresponding author), Univ Pedag &amp; Tecnol Colombia, Grp Invest Biol Ambiental, Tunja, Colombia.</t>
  </si>
  <si>
    <t>mebeltranp@unal.edu.co; luz.lizarazo@uptc.edu.co; casierraa@unal.edu.co</t>
  </si>
  <si>
    <t>Beltran Pineda, Mayra Eleonora/0000-0002-0451-2535; Sierra, Cesar/0000-0002-8727-7429</t>
  </si>
  <si>
    <t>Science, Technology, and Innovation Fund of the General Royalties System FCTeI-SGR; National University of Colombia [HERMES 47144]</t>
  </si>
  <si>
    <t>Science, Technology, and Innovation Fund of the General Royalties System FCTeI-SGR; National University of Colombia</t>
  </si>
  <si>
    <t>This study was financed with resources from the Science, Technology, and Innovation Fund of the General Royalties System FCTeI-SGR attached to the Department of Boyaca and through the HERMES 47144 project of the National University of Colombia; Biosynthesis of silver nanoparticles from rhizospheric fungi and its immobilization in a natural fiber for in vitro control of phytopathogenic bacteria (Pectobacterium carotovorum).</t>
  </si>
  <si>
    <t>1517-8382</t>
  </si>
  <si>
    <t>1678-4405</t>
  </si>
  <si>
    <t>BRAZ J MICROBIOL</t>
  </si>
  <si>
    <t>Braz. J. Microbiol.</t>
  </si>
  <si>
    <t>10.1007/s42770-022-00757-7</t>
  </si>
  <si>
    <t>Microbiology</t>
  </si>
  <si>
    <t>4G7HB</t>
  </si>
  <si>
    <t>WOS:000819163400001</t>
  </si>
  <si>
    <t>Gutierrez-Villamil, DA; Alvarez-Herrera, JG; Fischer, G</t>
  </si>
  <si>
    <t>Alejandro Gutierrez-Villamil, Diego; Giovanni Alvarez-Herrera, Javier; Fischer, Gerhard</t>
  </si>
  <si>
    <t>Performance of the 'Anna' apple (Malus domestica Borkh.) in Tropical Highlands: A review</t>
  </si>
  <si>
    <t>Ecophysiology; endodormancy; nutrition; pomology; predormancy</t>
  </si>
  <si>
    <t>DORMANCY RELEASE; AMINO-ACIDS; BUD BREAK; EXTRACT</t>
  </si>
  <si>
    <t>The 'Anna' apple is a variety of low requirements of winter chill (250 to 300 chilling hours &lt;= 7.2 degrees C). This apple has essential health benefits and remarkable adaptive potential in tropical and subtropical areas affected by climate change. Thus, this review presents the significance of the 'Anna' apple cultivation, the phenological and eco-physiological modifications, and the current state of agronomic management when continuous crops are managed in tropical highlands. The production of this apple in tropical highlands has outstanding potential to obtain cyclical or continuous harvests (two harvests per year) in certain areas with specific environmental conditions, implementing a particular management system. In plantations, it is crucial to carry out some agronomic practices during the reproductive phenology so that the apple tree does not enter into an endodormancy. These are water stress -defoliation - tie-down branches, and the application of dormancy-breaking agents (flower-inducing compounds). In Colombia, 'Anna' variety was introduced in 1985 and is grown in areas with temperatures between 14 and 20 degrees C, altitudes between 1700 and 2800 meters above sea level (m a.s.l.), with bimodal and monomodal rain regimes, and solar brightness between 800 and 2000 hours a year. The harvest is between 100 to 120 days after anthesis, with firmness values of 38.38N, a soluble solids content of 8.58 degrees Brix, and total titratable acidity of 0.7% of the fruit. This documentation indicates a good production with great potential in terms of growth and development, earliness, and quality of the 'Anna' apple tree in Colombian highlands.</t>
  </si>
  <si>
    <t>[Alejandro Gutierrez-Villamil, Diego; Giovanni Alvarez-Herrera, Javier] Univ Pedag &amp; Tecnol Colombia, Grp Invest Agr GIA, Tunja, Colombia; [Fischer, Gerhard] Univ Nacl Colombia, Bogota, Colombia</t>
  </si>
  <si>
    <t>Gutierrez-Villamil, DA (corresponding author), Univ Pedag &amp; Tecnol Colombia, Grp Invest Agr GIA, Tunja, Colombia.</t>
  </si>
  <si>
    <t>diego.gutierrez07@uptc.edu.co; javier.alvarez@uptc.edu.co; gerfischer@gmail.com</t>
  </si>
  <si>
    <t>Gutierrez Villamil, Diego Alejandro/0000-0003-1771-5603; ALVAREZ-HERRERA, JAVIER GIOVANNI/0000-0002-1737-6325</t>
  </si>
  <si>
    <t>10.22267/rcia.223901.175</t>
  </si>
  <si>
    <t>5B0VO</t>
  </si>
  <si>
    <t>WOS:000863294900006</t>
  </si>
  <si>
    <t>Rodrigues, HDD; Moreira, FFF; Morales, I</t>
  </si>
  <si>
    <t>Rodrigues, Higor D. D.; Figueiredo Moreira, Felipe Ferraz; Morales, Irina</t>
  </si>
  <si>
    <t>New species and notes on Paravelia Breddin, 1898 (Heteroptera: Veliidae) from South America</t>
  </si>
  <si>
    <t>ZOOTAXA</t>
  </si>
  <si>
    <t>Broad-shouldered water striders; Gerromorpha; Neotropics; taxonomy</t>
  </si>
  <si>
    <t>VELIINAE HETEROPTERA; GENUS; HEMIPTERA</t>
  </si>
  <si>
    <t>The new species Paravelia ameliae (Heteroptera: Veliidae) is described based on macropterous specimens from the Department of Putumayo, in the Amazonian region of Colombia. The new species can be distinguished from all congeners mainly by the bicolored pronotum (dark-brown on the anterior two-thirds and light-brown posteriorly); the absence of distinct pruinosity or silvery patches on the anterior lobe of the pronotum; the basal macula of the forewing small and roughly ovate; the grasping comb of the male fore tibia occupying more than half of its length; the male hind femur with a row of 15 spines on the basal two-thirds; and the male paramere notched basally on its dorsal surface. Furthermore, this species displays sexual dimorphism in body shape and in hind tibial length, with males having a slightly constricted mid-abdominal region and hind tibia distinctly longer than in females. Also, in order to describe external morphological characteristics not mentioned in previous studies, supplemental descriptions are provided for P. albotrimaculata (Kirkaldy, 1899), P. loutoni Polhemus, 2014, P. nieseri Moreira &amp; Barbosa, 2012, and P. rotundanotata (Hungerford, 1930). Illustrations and a distribution map of all species treated here are presented.</t>
  </si>
  <si>
    <t>[Rodrigues, Higor D. D.; Figueiredo Moreira, Felipe Ferraz] Fundacao Oswaldo Cruz, Inst Oswaldo Cruz, Lab Biodiversidade Entomol, Rio De Janeiro, RJ, Brazil; [Morales, Irina] Univ Pedag &amp; Tecnol Colombia, Lab Entomol, Tunja, BY, Colombia</t>
  </si>
  <si>
    <t>Fundacao Oswaldo Cruz; Universidad Pedagogica y Tecnologica de Colombia (UPTC)</t>
  </si>
  <si>
    <t>Rodrigues, HDD (corresponding author), Fundacao Oswaldo Cruz, Inst Oswaldo Cruz, Lab Biodiversidade Entomol, Rio De Janeiro, RJ, Brazil.</t>
  </si>
  <si>
    <t>higorddr@gmail.com; ppmeiameiameia@gmail.com; irina.morales@uptc.edu.co</t>
  </si>
  <si>
    <t>Moreira, Felipe/E-5768-2011</t>
  </si>
  <si>
    <t>Moreira, Felipe/0000-0002-6692-0323; Rodrigues, Higor/0000-0002-9649-4142; MORALES, IRINA/0000-0003-2456-5674</t>
  </si>
  <si>
    <t>Fundacao Carlos Chagas Filho de Amparo a Pesquisa do Estado do Rio de Janeiro [E-26/202.437/2019, E-26/201.362/2021, E-26/203.250/2021]; Conselho Nacional de Desenvolvimento Cientifico e Tecnologico [301942/20196]; project La biodiversidad de Boyaca: complementacion y sintesis a traves de gradientes altitudinales e implicaciones de su incorporacion en proyectos de apropiacion social de conocimiento y de efectos de cambio climatico, suscrito en el Grupo de Investigac [BPIN 2020000100003]</t>
  </si>
  <si>
    <t>Fundacao Carlos Chagas Filho de Amparo a Pesquisa do Estado do Rio de Janeiro(Fundacao Carlos Chagas Filho de Amparo a Pesquisa do Estado do Rio De Janeiro (FAPERJ)); Conselho Nacional de Desenvolvimento Cientifico e Tecnologico(Conselho Nacional de Desenvolvimento Cientifico e Tecnologico (CNPQ)); project La biodiversidad de Boyaca: complementacion y sintesis a traves de gradientes altitudinales e implicaciones de su incorporacion en proyectos de apropiacion social de conocimiento y de efectos de cambio climatico, suscrito en el Grupo de Investigac</t>
  </si>
  <si>
    <t>We thank Patricia Mondragon (Corpochivor), for pointing out the existence of the new species, and Dan A. Polhemus (Bishop Museum, Honolulu, United States) for his usefull comments about the differences between Paravelia albotrimaculata and P. loutoni, and for preparing the photos of P. loutoni. We also thank Johann Cardenas (Instituto de Investigaciones Alexander Von Humboldt) and Erlane J. Cunha (Universidade Federal do Para) for making specimens available for study, and Wouter Dekoninck and Florence Trus (Royal Belgian Institute of Natural Sciences) for preparing the photos of P. albotrimaculata. Financial support was provided by Fundacao Carlos Chagas Filho de Amparo a Pesquisa do Estado do Rio de Janeiro (HDDR: E-26/202.437/2019; FFFM: E-26/201.362/2021, E-26/203.250/2021) and Conselho Nacional de Desenvolvimento Cientifico e Tecnologico (FFFM: 301942/20196). IM benefited from the project La biodiversidad de Boyaca: complementacion y sintesis a traves de gradientes altitudinales e implicaciones de su incorporacion en proyectos de apropiacion social de conocimiento y de efectos de cambio climatico, suscrito en el Grupo de Investigacion Biodiversidad y Conservacion, en el departamento de Boyaca Codigo BPIN 2020000100003-Sistema General de Regalias-Codigo SGI 2975. Dan A. Polhemus and Silvia A. Mazzucconi (Universidad de Buenos Aires, Argentina) kindly provided critical reviews of this manuscript.</t>
  </si>
  <si>
    <t>MAGNOLIA PRESS</t>
  </si>
  <si>
    <t>AUCKLAND</t>
  </si>
  <si>
    <t>250F Marua Road Mt Wellington, AUCKLAND, ST LUKES 1023, NEW ZEALAND</t>
  </si>
  <si>
    <t>1175-5326</t>
  </si>
  <si>
    <t>1175-5334</t>
  </si>
  <si>
    <t>Zootaxa</t>
  </si>
  <si>
    <t>JUL 7</t>
  </si>
  <si>
    <t>10.11646/zootaxa.5162.3.5</t>
  </si>
  <si>
    <t>3B0NM</t>
  </si>
  <si>
    <t>WOS:000827646900003</t>
  </si>
  <si>
    <t>Osuna, FJ; Chaparro, JR; Pavon, E; Alba, MD</t>
  </si>
  <si>
    <t>Osuna, Francisco J.; Chaparro, Javier R.; Pavon, Esperanza; Alba, Maria D.</t>
  </si>
  <si>
    <t>Improved stability of design clay minerals at high temperature: A comparison study with natural ones</t>
  </si>
  <si>
    <t>CERAMICS INTERNATIONAL</t>
  </si>
  <si>
    <t>Ceramics; Brittle micas; Thermal stability; Swelling; Dehydration; rehydration</t>
  </si>
  <si>
    <t>SOLID-STATE NMR; STRUCTURAL-CHARACTERIZATION; HYDROTHERMAL REACTIVITY; CATION-EXCHANGE; CHEMICAL-SHIFTS; CARBON-DIOXIDE; SWELLING MICA; PART I; MONTMORILLONITE; SI-29</t>
  </si>
  <si>
    <t>Clay minerals are ceramics materials that are involved in a wide range of economic uses. But, their structure and composition are modified by heating and, consequently, compromise their final applications. The actual tem-peratures at which changes occur vary greatly from one group to another group and even for different specimens within a given group. The aim of this research has been to evaluate the thermal behaviour of a set of design swelling micas, Na-Mica -n (Mn) and compare them with a set of natural smectites. All samples were heated in the range 200 degrees C to 1000 degrees C; afterwards, they were rehydrated thorough water suspension (0.4% wt). The results have shown that swelling micas have better property of hydration/dehydration than natural clay minerals and those with higher layer charge exhibited higher rehydration ability and dehydration temperature.</t>
  </si>
  <si>
    <t>[Osuna, Francisco J.; Chaparro, Javier R.; Pavon, Esperanza; Alba, Maria D.] Inst Ciencia Mat Sevilla CSIC US, Avda Amer Vespucio 49, Seville 41092, Spain; [Chaparro, Javier R.] Univ Pedag &amp; Tecnol Colombia Uptc, Ave Cent Norte 39-115, Boyaca, Colombia; [Pavon, Esperanza] Univ Seville, Dept Fis Mat Condensada, Avda Reina Mercedes S-N, Seville 41012, Spain</t>
  </si>
  <si>
    <t>Consejo Superior de Investigaciones Cientificas (CSIC); Instituto de Ciencia de Materiales de Sevilla (ICMS-CSIC); University of Sevilla; Universidad Pedagogica y Tecnologica de Colombia (UPTC); University of Sevilla</t>
  </si>
  <si>
    <t>Alba, MD (corresponding author), Inst Ciencia Mat Sevilla CSIC US, Avda Amer Vespucio 49, Seville 41092, Spain.</t>
  </si>
  <si>
    <t>alba@icmse.csic.es</t>
  </si>
  <si>
    <t>Pavon, Esperanza/E-6336-2010; ALBA, MARIA D/J-6831-2014</t>
  </si>
  <si>
    <t>Pavon, Esperanza/0000-0002-4476-4403; ALBA, MARIA D/0000-0003-0025-3078</t>
  </si>
  <si>
    <t>Junta de Andalucia [P12-FQM-567]; University of Seville; Ministerio de Ciencia Tecnologia e Innovacion - MINCIENCIAS, Colombia [860/2019]</t>
  </si>
  <si>
    <t>Junta de Andalucia(Junta de Andalucia); University of Seville; Ministerio de Ciencia Tecnologia e Innovacion - MINCIENCIAS, Colombia</t>
  </si>
  <si>
    <t>F.J. Osuna thanks his grant to the training researcher program associated with the excellence project of Junta de Andalucia (P12-FQM-567). Dr. Pavon thanks University of Seville for the financial support of her current contract from VI PPIT-US program. Dr. Chaparro thanks to Ministerio de Ciencia Tecnologia e Innovacion - MINCIENCIAS, Colombia for a grant (call 860/2019).</t>
  </si>
  <si>
    <t>0272-8842</t>
  </si>
  <si>
    <t>1873-3956</t>
  </si>
  <si>
    <t>CERAM INT</t>
  </si>
  <si>
    <t>Ceram. Int.</t>
  </si>
  <si>
    <t>10.1016/j.ceramint.2022.10.046</t>
  </si>
  <si>
    <t>Materials Science, Ceramics</t>
  </si>
  <si>
    <t>Materials Science</t>
  </si>
  <si>
    <t>7K6RV</t>
  </si>
  <si>
    <t>WOS:000905408600001</t>
  </si>
  <si>
    <t>Undagoitia, TM; Rodejohann, W; Wolf, T; Yaguna, CE</t>
  </si>
  <si>
    <t>Undagoitia, Teresa Marrodan; Rodejohann, Werner; Wolf, Tim; Yaguna, Carlos E.</t>
  </si>
  <si>
    <t>Laboratory limits on the annihilation or decay of dark matter particles</t>
  </si>
  <si>
    <t>PROGRESS OF THEORETICAL AND EXPERIMENTAL PHYSICS</t>
  </si>
  <si>
    <t>SOLAR NEUTRINOS; XENON1T</t>
  </si>
  <si>
    <t>Constraints on the indirect detection of dark matter are usually obtained from observations of astrophysical objects-the Galactic Center, dwarf galaxies, M31, etc. Here we propose instead to look for the annihilation or decay of dark matter particles taking place inside detectors searching directly for dark matter or in large neutrino experiments. We show that the data from XENON1T and Borexino set limits on the annihilation and decay rates of dark matter particles with masses in the keV to few MeV range. All relevant final states are considered: annihilation into gamma gamma and e(-)e(+) and decays into gamma gamma, gamma nu, and e(-)e(+). The expected sensitivities in XENONnT, DARWIN, JUNO, and THEIA are also computed. Though weaker than current astrophysical bounds, the laboratory limits (and projections) obtained are free from the usual astrophysical uncertainties associated with J-factors and unknown backgrounds, and may thus offer a complementary probe of the dark matter properties. We point out that current and future (astro)particle physics detectors might also be used to set analogous limits for different decays and dark matter masses above a few MeV.</t>
  </si>
  <si>
    <t>[Undagoitia, Teresa Marrodan; Rodejohann, Werner; Wolf, Tim] Max Planck Inst Kernphys, Postfach 103980, D-69029 Heidelberg, Germany; [Yaguna, Carlos E.] Univ Pedag &amp; Tecnol Colombia, Escuela Fis, Ave Cent Norte 39-115, Tunja, Colombia</t>
  </si>
  <si>
    <t>Max Planck Society; Universidad Pedagogica y Tecnologica de Colombia (UPTC)</t>
  </si>
  <si>
    <t>Undagoitia, TM (corresponding author), Max Planck Inst Kernphys, Postfach 103980, D-69029 Heidelberg, Germany.</t>
  </si>
  <si>
    <t>teresa.marrodan@mpi-hd.mpg.de; werner.rodejohann@mpi-hd.mpg.de; tim.wolf@mpi-hd.mpg.de; carlos.yaguna@uptc.edu.co</t>
  </si>
  <si>
    <t>Marrodan Undagoitia, Teresa/0000-0001-9332-6074</t>
  </si>
  <si>
    <t>SCOAP3</t>
  </si>
  <si>
    <t>Open Access funding: SCOAP3.</t>
  </si>
  <si>
    <t>OXFORD UNIV PRESS INC</t>
  </si>
  <si>
    <t>CARY</t>
  </si>
  <si>
    <t>JOURNALS DEPT, 2001 EVANS RD, CARY, NC 27513 USA</t>
  </si>
  <si>
    <t>2050-3911</t>
  </si>
  <si>
    <t>PROG THEOR EXP PHYS</t>
  </si>
  <si>
    <t>Prog. Theor. Exp. Phys.</t>
  </si>
  <si>
    <t>JAN 19</t>
  </si>
  <si>
    <t>013F01</t>
  </si>
  <si>
    <t>10.1093/ptep/ptab139</t>
  </si>
  <si>
    <t>Physics, Multidisciplinary; Physics, Particles &amp; Fields</t>
  </si>
  <si>
    <t>YW7GP</t>
  </si>
  <si>
    <t>WOS:000753583700003</t>
  </si>
  <si>
    <t>Abreu, E; De la Cruz, R; Juajibioy, JC; Lambert, W</t>
  </si>
  <si>
    <t>Abreu, E.; De la Cruz, R.; Juajibioy, J. C.; Lambert, W.</t>
  </si>
  <si>
    <t>Lagrangian-Eulerian Approach for Nonlocal Conservation Laws</t>
  </si>
  <si>
    <t>JOURNAL OF DYNAMICS AND DIFFERENTIAL EQUATIONS</t>
  </si>
  <si>
    <t>Nonlocal conservation laws; Lagrangian-Eulerian approach; No-flow curves; Kruzhkov entropy solution; Applications</t>
  </si>
  <si>
    <t>TRAFFIC FLOW; BALANCE LAWS; TRANSPORT; UNIQUENESS; EXISTENCE; SCHEMES; MODELS; REGULARITY; EQUATIONS; SYSTEMS</t>
  </si>
  <si>
    <t>In this work, we construct and analyze a new fully discrete Lagrangian-Eulerian numerical method for the treatment of dynamics of conservation laws with nonlocal flux and influence of the source term in the solution. The scheme is based on the improved concept of no-flow curves. We use the recent results of S. Blandin &amp; P. Goatin (2016), [Numer. Math. 132, 217-241], to obtain a B V estimate for the new fully discrete (explicit) Lagrangian-Eulerian scheme with a rigorous analysis to prove its convergence for the entropic solution. We also derive a weak CFL-type stability condition that does not require the derivative of the nonlocal flux as is the case for classical schemes. As an application of the proposed approach, we present a combined analytical-numerical study on the interplay between local and nonlocal conservation laws motivated by dynamics of differential equations such as traffic flow and related problems. For a suitable exponential kernel omega(n) of class C-2, we present theoretical and numerical evidence that the limit of solutions to the nonlocal equation coincides with the unique entropy-admissible solution of the scalar conservation law p(t )+ (rho(m) v(q))(x) = 0. It should be emphasized that hypotheses on the solution were verified numerically only. In this regard, the flux function f (rho) = rho(m) v(q) satisfies q(x, t) = f(x)(x+eta) omega(n)(x - y)rho(y, t)dy, for an integer 1 &lt;= m, where omega(n) is unitary (integral equals to 1) and non-increasing kernel such that omega(n) (s) = 1/(1-e(-1)/eta(2))eta(2)e(-s/eta 2) for every s is an element of R. It turns out that we also use recent results of A. Bressan &amp; W. Shen (2020), [Arch. Rational Mech. Anal., 237, 1213-1236] and A. Bressan &amp; W. Shen (2021), [Communications in Mathematical Sciences 19(5) 1447 - 1450], as foundations of the Lagrangian-Eulerian approach for nonlocal conservation laws.</t>
  </si>
  <si>
    <t>[Abreu, E.] Univ Estadual Campinas, Dept Appl Math, Campinas, SP, Brazil; [De la Cruz, R.; Juajibioy, J. C.] Univ Pedag &amp; Tecnol Colombia, Escuela Matemat &amp; Estadist, Boyaca, Colombia; [Lambert, W.] UNTFAL, Campus Avancado Pocos de Caldas, Wanderson ICT, Rodovia Jose Aurelio Vilela,11999,Cidade Univ, Pocos De Caldas, Brazil</t>
  </si>
  <si>
    <t>Universidade Estadual de Campinas; Universidad Pedagogica y Tecnologica de Colombia (UPTC)</t>
  </si>
  <si>
    <t>Abreu, E (corresponding author), Univ Estadual Campinas, Dept Appl Math, Campinas, SP, Brazil.</t>
  </si>
  <si>
    <t>eabreu@ime.unicamp.br; richard.delacruz@uptc.edu.co; juan.juajibioyo@uptc.edu.co; rwanderson.lambert@unifal-mg.edu.br</t>
  </si>
  <si>
    <t>Abreu, Eduardo/0000-0003-1979-3082</t>
  </si>
  <si>
    <t>FAPESP [2019/20991-8]; CNPq [306385/2019-8]; PETROBRAS [2015/00398-0]</t>
  </si>
  <si>
    <t>FAPESP(Fundacao de Amparo a Pesquisa do Estado de Sao Paulo (FAPESP)); CNPq(Conselho Nacional de Desenvolvimento Cientifico e Tecnologico (CNPQ)); PETROBRAS(Fundacao de Amparo a Pesquisa do Amapa (FAPEAP)Petrobras)</t>
  </si>
  <si>
    <t>E. Abreu acknowledges the support from FAPESP (Grant 2019/20991-8) and CNPq (Grant 306385/2019-8) and PETROBRAS (Grant 2015/00398-0).</t>
  </si>
  <si>
    <t>1040-7294</t>
  </si>
  <si>
    <t>1572-9222</t>
  </si>
  <si>
    <t>J DYN DIFFER EQU</t>
  </si>
  <si>
    <t>J. Dyn. Differ. Equ.</t>
  </si>
  <si>
    <t>10.1007/s10884-022-10193-8</t>
  </si>
  <si>
    <t>3E0MT</t>
  </si>
  <si>
    <t>WOS:000829687200002</t>
  </si>
  <si>
    <t>Gaona, IMS; Munevar, J; Vargas, CAP</t>
  </si>
  <si>
    <t>Saavedra Gaona, I. M.; Munevar, J.; Parra Vargas, C. A.</t>
  </si>
  <si>
    <t>Evaluation of rare earth substitution in the structural and magnetic properties of the REBa1-xSrxCuFeO5 (x =0.0, 0.25 and 0.5) system</t>
  </si>
  <si>
    <t>MATERIALS SCIENCE AND ENGINEERING B-ADVANCED FUNCTIONAL SOLID-STATE MATERIALS</t>
  </si>
  <si>
    <t>Solid-state; Multiferroic; XRD; SEM; VSM</t>
  </si>
  <si>
    <t>PEROVSKITE; OXIDE</t>
  </si>
  <si>
    <t>YBaCuFeO5 double perovskite has received attention because it is one of the few materials with the possibility to be multiferroic at room temperature. It is possible to explore such properties by partially replacing yttrium (Y) with rare earth elements (RE) or varying the chemical pressure of the system by replacing Ba with Sr. The synthesis and characterization of the new materials with the formula REBa1-xSrxCuFeO5, using the solid-state reaction method is reported. The results show that RE substitution allows the growth of single-phase materials, with tetragonal structure and symmetry P4mm. The morphological results evidence a consistent morphology by using the synthesis method. The magnetization curves in a temperature range of 50 to 380 K show, for the RE = Y system, a magnetic phase transitions at high temperature (&lt;250 K). However, no magnetic transition was observed for compounds doped with RE = Ho, Dy, and Gd.</t>
  </si>
  <si>
    <t>[Saavedra Gaona, I. M.] Univ Pedag &amp; Tecnol Colombia, Grp Fis Mat, Ave Cent Norte 39-115, Tunja 150003, Boyaca, Colombia; [Munevar, J.; Parra Vargas, C. A.] Univ Fed ABC UFABC, Ctr Ciencias Nat &amp; Humans CCNH, BR-09210580 Santo Andre, SP, Brazil</t>
  </si>
  <si>
    <t>Gaona, IMS (corresponding author), Univ Pedag &amp; Tecnol Colombia, Grp Fis Mat, Ave Cent Norte 39-115, Tunja 150003, Boyaca, Colombia.</t>
  </si>
  <si>
    <t>indry.saavedra@uptc.edu.co; julian.munevar@ufabc.edu.br; carlos.parra@uptc.edu.co</t>
  </si>
  <si>
    <t>0921-5107</t>
  </si>
  <si>
    <t>1873-4944</t>
  </si>
  <si>
    <t>MATER SCI ENG B-ADV</t>
  </si>
  <si>
    <t>Mater. Sci. Eng. B-Adv. Funct. Solid-State Mater.</t>
  </si>
  <si>
    <t>10.1016/j.mseb.2022.115719</t>
  </si>
  <si>
    <t>Materials Science, Multidisciplinary; Physics, Condensed Matter</t>
  </si>
  <si>
    <t>1X3TU</t>
  </si>
  <si>
    <t>WOS:000807381000001</t>
  </si>
  <si>
    <t>Jimenez-Martinez, MC; Latorre-Velasquez, DC; Ramirez-Roncancio, NL; Gonzalez-Valencia, G</t>
  </si>
  <si>
    <t>Cecilia Jimenez-Martinez, Martha; Carolina Latorre-Velasquez, Diana; Lizeth Ramirez-Roncancio, Nancy; Gonzalez-Valencia, Guadalupe</t>
  </si>
  <si>
    <t>Perception of diet, health habits, personal agency during COVID-19</t>
  </si>
  <si>
    <t>DUAZARY</t>
  </si>
  <si>
    <t>Diet; Physical activity; Eating habit; Colombia; COVID-19</t>
  </si>
  <si>
    <t>PHYSICAL-ACTIVITY</t>
  </si>
  <si>
    <t>Analyzing the effect of the variables Eating Habits, Emotional Condition and Physical Activity (PA) Agency on Diet Perception and PA Time, in Colombian university students under COVID-19 confinement conditions. Preliminary correlational research was conducted through a comparative survey with both exploratory and explanatory scope. It was applied to 389 students who voluntarily completed the instrument on a Google Form. The structural model explains respectively 38% and 53% of the variability of the students' diet perception and PA time. The model shows both statistical (chi(2) = 84 [47 gl p = 0,09]) and practical (IBBAN = 96; IBBANN = 99; IAC = 0,99 and RMSEA = 0,02 [0,00, 0,04]) goodness of fit. Hence, it can be stated that this inclusive model has the same explanatory power as the saturated one, which relates all variables to each other. Eating habits and intention were found to have a direct effect on the university students' diet perception. Just as well, eating habits, intention and diet perception were observed to increase PA time.</t>
  </si>
  <si>
    <t>[Cecilia Jimenez-Martinez, Martha; Carolina Latorre-Velasquez, Diana; Lizeth Ramirez-Roncancio, Nancy] Univ Pedag &amp; Tecnol Colombia, Tunja, Colombia; [Gonzalez-Valencia, Guadalupe] Univ Autonoma Baja California, Mexicali, Baja California, Mexico</t>
  </si>
  <si>
    <t>Universidad Pedagogica y Tecnologica de Colombia (UPTC); Universidad Autonoma de Baja California</t>
  </si>
  <si>
    <t>Jimenez-Martinez, MC (corresponding author), Univ Pedag &amp; Tecnol Colombia, Tunja, Colombia.</t>
  </si>
  <si>
    <t>martha.jimenez@uptc.edu.co; diana.latorre@uptc.edu.co; nancylizeth.ramirez@uptc.edu.co; dgonzalez18@uabc.edu.mx</t>
  </si>
  <si>
    <t>UNIV MAGDALENA</t>
  </si>
  <si>
    <t>SANTA MARTA</t>
  </si>
  <si>
    <t>CARRERA 32 NO 22-08, SECTOR SAN PEDRO ALEJANDRO, SANTA MARTA, MAGDALENA 00000, COLOMBIA</t>
  </si>
  <si>
    <t>1794-5992</t>
  </si>
  <si>
    <t>2389-783X</t>
  </si>
  <si>
    <t>Duazary</t>
  </si>
  <si>
    <t>10.21676/2389783X.4690</t>
  </si>
  <si>
    <t>Medicine, General &amp; Internal</t>
  </si>
  <si>
    <t>General &amp; Internal Medicine</t>
  </si>
  <si>
    <t>3D2XL</t>
  </si>
  <si>
    <t>WOS:000829170900004</t>
  </si>
  <si>
    <t>Soler, RNC; Torres, AMG; Dotor, RMP</t>
  </si>
  <si>
    <t>Soler, Ruth Nayibe Cardenas; Torres, Adriana Marien Gutierrez; Dotor, Rosa Maria Palencia</t>
  </si>
  <si>
    <t>The documentary music archive: subjectivities and contributions to the cultural subject</t>
  </si>
  <si>
    <t>cultural subject; music archive; musical scores; symphonic band; formative research</t>
  </si>
  <si>
    <t>This article arises from a research project aimed at recovering the documentary material-musical scores-used by the Boyaca Wind Symphony Orchestra, whose origin dates back to the end of the 19th century. The group has undergone several transitions in terms of function and organizational affiliation. In 2004 there was an internal restructuring that triggered the beginning of its decline. The study was qualitative-descriptive, with a historical-hermeneutic approach. It was divided into the following phases: (1) diagnosis, (2) classification, characterization, and assessment, (3) organization of the documentary archive, and (4) cataloguing. As a result, a catalog of 328 composers and 757 works was compiled, organized according to archival criteria and ready to be transferred to a documentary fund in charge of preserving its contents. In addition, due to the historical void and the limited state of the art to contextualize the documentary archive, several approaches were made to the orchestra and its history that allowed the initiation of four more research studies. The importance of this work lies in the recognition, treatment, and significance of the cultural value of a musical archive and the cultural subject from which it originates: the symphonic band.</t>
  </si>
  <si>
    <t>[Soler, Ruth Nayibe Cardenas; Torres, Adriana Marien Gutierrez] Univ Pedag &amp; Tecnol Colombia, Tunja, Colombia; [Dotor, Rosa Maria Palencia] Inst Educ Tecn Chicamocha, Chicamocha, Colombia</t>
  </si>
  <si>
    <t>Soler, RNC (corresponding author), Univ Pedag &amp; Tecnol Colombia, Tunja, Colombia.</t>
  </si>
  <si>
    <t>e12522</t>
  </si>
  <si>
    <t>10.19053/22160159.v13.n32.2022.12522</t>
  </si>
  <si>
    <t>YD8AM</t>
  </si>
  <si>
    <t>WOS:000740658300008</t>
  </si>
  <si>
    <t>Sajjad, M; Shah, TR; Serna, RJ; Aguilar, ZES; Delgado, OS</t>
  </si>
  <si>
    <t>Sajjad, Muhammad; Shah, Tariq; Serna, Robinson-Julian; Suarez Aguilar, Zagalo Enrique; Sepulveda Delgado, Omaida</t>
  </si>
  <si>
    <t>Fundamental Results of Cyclic Codes over Octonion Integers and Their Decoding Algorithm</t>
  </si>
  <si>
    <t>octonion integers; octonion Mannheim distance; cyclic codes; encoding; syndromes decoding</t>
  </si>
  <si>
    <t>Coding theory is the study of the properties of codes and their respective fitness for specific applications. Codes are used for data compression, cryptography, error detection, error correction, data transmission, and data storage. Codes are studied by various scientific disciplines, such as information theory, electrical engineering, mathematics, linguistics, and computer science, to design efficient and reliable data transmission methods. Many authors in the previous literature have discussed codes over finite fields, Gaussian integers, quaternion integers, etc. In this article, the author defines octonion integers, fundamental theorems related to octonion integers, encoding, and decoding of cyclic codes over the residue class of octonion integers with respect to the octonion Mannheim weight one. The comparison of primes, lengths, cardinality, dimension, and code rate with respect to Quaternion Integers and Octonion Integers will be discussed.</t>
  </si>
  <si>
    <t>[Sajjad, Muhammad; Shah, Tariq] Quaid I Azam Univ, Dept Math, Islamabad 45320, Pakistan; [Serna, Robinson-Julian; Suarez Aguilar, Zagalo Enrique; Sepulveda Delgado, Omaida] Univ Pedag &amp; Tecnol Colombia, Escuela Matemat &amp; Estadist, Ave Cent Norte 39-115, Tunja 150003, Colombia</t>
  </si>
  <si>
    <t>Quaid I Azam University; Universidad Pedagogica y Tecnologica de Colombia (UPTC)</t>
  </si>
  <si>
    <t>Sajjad, M (corresponding author), Quaid I Azam Univ, Dept Math, Islamabad 45320, Pakistan.</t>
  </si>
  <si>
    <t>m.sajjad@math.qau.edu.pk</t>
  </si>
  <si>
    <t>Serna, Robinson/0000-0001-5858-5011; Sajjad, Muhammad/0000-0003-0006-1156</t>
  </si>
  <si>
    <t>10.3390/computation10120219</t>
  </si>
  <si>
    <t>7D7NC</t>
  </si>
  <si>
    <t>WOS:000900671200001</t>
  </si>
  <si>
    <t>Blanco-Zuniga, CR; Useche-de-Vega, DS; Rojas-Arias, N</t>
  </si>
  <si>
    <t>Rene Blanco-Zuniga, Cesar; Soraya Useche-de-Vega, Dalia; Rojas-Arias, Nicolas</t>
  </si>
  <si>
    <t>Effect of the Power and Number of Paddles of a Rotatory Aerator on Dissolved Oxygen Transfer in Water</t>
  </si>
  <si>
    <t>INGENIERIA</t>
  </si>
  <si>
    <t>mechanical aerator; dissolved oxygen (DO); paddle wheel number; Standard Aeration Efficiency (SAE); Standard Oxygen Transfer (SOTR)</t>
  </si>
  <si>
    <t>TEMPERATURE</t>
  </si>
  <si>
    <t>Context: Dissolved oxygen (DO) transfer is an important matter for water quality. Several devices have been designed to supply the required DO in some bodies of water during their treatment and restoration. However, these entail a high energy consumption, thus requiring the optimization of use parameters. Method: This work studies the effect of the power and number of paddles used in a horizontal axis aerator. Measurements were made on anoxic water samples using three mechanical aerating devices made up of 6, 12, and 24 paddles while varying the rotation speed from the supplied voltage. Results: The highest values obtained for the transfer coefficient K L a are reported by devices with a greater number of blades. Nevertheless, the Standard Aeration Efficiency (SAE) and the Standard Oxygen Transfer Rate (SOTR) efficiency reveal that the 6-paddle wheels are more energy-efficient. Conclusions: It is shown that DO transfer does not depend solely on the impacts associated with the number of paddles, and that the maximum transfer efficiency is obtained with a lower number of paddles. These results contribute to improving the understanding of the operation of these mechanical systems in terms of DO transfer.</t>
  </si>
  <si>
    <t>[Rene Blanco-Zuniga, Cesar] Univ Pedag &amp; Tecnol Colombia, Escuela Ingn Ambiental, Tunja, Colombia; [Rojas-Arias, Nicolas] Univ Pedag &amp; Tecnol Colombia, Tunja, Colombia; [Soraya Useche-de-Vega, Dalia; Rojas-Arias, Nicolas] Univ Fed Sao Carlos, Programa Posgrad Ciencia &amp; Engn Mat, Sao Carlos, Brazil</t>
  </si>
  <si>
    <t>Universidad Pedagogica y Tecnologica de Colombia (UPTC); Universidad Pedagogica y Tecnologica de Colombia (UPTC); Universidade Federal de Sao Carlos</t>
  </si>
  <si>
    <t>Blanco-Zuniga, CR (corresponding author), Univ Pedag &amp; Tecnol Colombia, Escuela Ingn Ambiental, Tunja, Colombia.</t>
  </si>
  <si>
    <t>cesar.blanco@uptc.edu.co; dalia.useche@uptc.edu.co; nicolas.rojas@estudante.ufscar.br</t>
  </si>
  <si>
    <t>Rojas, Nicolas/0000-0003-3358-2484; Blanco Zuniga, Cesar Rene/0000-0002-9181-4944</t>
  </si>
  <si>
    <t>0121-750X</t>
  </si>
  <si>
    <t>2344-8393</t>
  </si>
  <si>
    <t>INGENIERIA-BOGOTA</t>
  </si>
  <si>
    <t>Ingenieria</t>
  </si>
  <si>
    <t>e17467</t>
  </si>
  <si>
    <t>10.14483/23448393.17467</t>
  </si>
  <si>
    <t>1K1WC</t>
  </si>
  <si>
    <t>WOS:000798398500008</t>
  </si>
  <si>
    <t>Hurtado-Alvarado, J; Vargas, I; Espinel-Bernal, O</t>
  </si>
  <si>
    <t>Hurtado-Alvarado, Johan; Vargas, Ingrid; Espinel-Bernal, Oscar</t>
  </si>
  <si>
    <t>the kynical gesture. for a philosophy of insolence</t>
  </si>
  <si>
    <t>kynical; cynical; philosophy; sloterdijk; gesture</t>
  </si>
  <si>
    <t>&amp; nbsp;The philosophy devoted to the sacred knowledge of Athena has suffered an undeniable castration in modernity, because, following Sloterdijk, it has been related to the cynic, subjugation to appearance. For this reason, German literature differentiates between Kynismus and Zynismus. The kynysm &amp; oacute;s with &amp; quot;k &amp; quot; refers to the wise dogs of the agora and the Zynismus to the toothless Papillon. Under the keys of modernity, philosophy is camouflaged in moderation, good saying and salon etiquette, thereby abandoning the stridency, sarcasm and challenge that the school of Diogenes practiced; but what was that insolence? What was his speech? What were his gestures? These are some of the questions addressed in this article; therefore, the reflection on the figure of the cynic, by the hand of the author of Critique of Cynical Reason, has been central to elucidate some of these questions and, why not, obscure them, after all, the interstices of the words are deeper. For methodological reasons, the text is divided into three sections: first, Resonances of a supplanted concept, in which the link between insolence and the cynical is investigated; second, Philosophical gestures, where the grimaces of an impertinent thought are drawn and third, Conclusions.</t>
  </si>
  <si>
    <t>[Hurtado-Alvarado, Johan] Inst Caro &amp; Cuervo, Bogota, Colombia; [Vargas, Ingrid] Uniminuto, Bogota, Colombia; [Espinel-Bernal, Oscar] Univ Pedag &amp; Tecnol Colombia, Tunja, Colombia</t>
  </si>
  <si>
    <t>Corporacion Universitaria Minuto de Dios (UNIMINUTO); Universidad Pedagogica y Tecnologica de Colombia (UPTC)</t>
  </si>
  <si>
    <t>Hurtado-Alvarado, J (corresponding author), Inst Caro &amp; Cuervo, Bogota, Colombia.</t>
  </si>
  <si>
    <t>johan.steven.h2@gmail.com; ing.samu73@gmail.com; oscar.espinel@yahoo.com</t>
  </si>
  <si>
    <t>10.12957/childphilo.2022.64742</t>
  </si>
  <si>
    <t>4W2GD</t>
  </si>
  <si>
    <t>WOS:000859983300001</t>
  </si>
  <si>
    <t>Morales, MAM; Diaz, AG</t>
  </si>
  <si>
    <t>Murcia Morales, Maria Angelica; Garcia Diaz, Ana</t>
  </si>
  <si>
    <t>Inclusion of traditional Colombian music it singing majors in higher conservatories of Bogota: Teaching experiences</t>
  </si>
  <si>
    <t>REVISTA INTERNACIONAL DE EDUCACION MUSICAL</t>
  </si>
  <si>
    <t>Folk music; Colombia; singing training; university; music pedagogy</t>
  </si>
  <si>
    <t>Singing learning in Colombian Higher Education is centred on teaching European repertoire. However, the need to include traditional music in the curriculum arose some years ago. This study aims to understand the teachers' experience including traditional Colombian repertoire into their classrooms. The sample included four universities in Bogota and 13 singing teachers. This ethnographic study gathered data by using a semi-structured interview Data was analysed following the qualitative method. In this paper, the teachers' challenges and concerns are presented. Also, the differences between the teaching method used for European and traditional music, as well as the vocal impact of learning the traditional music technique are introduced. It is discussed the positive perception of teachers regarding the inclusion of traditional music, understanding music as a tool to promote and recognise the country's cultural background.</t>
  </si>
  <si>
    <t>[Murcia Morales, Maria Angelica] Univ Pedag &amp; Tecnol Colombia, Tunja, Colombia; [Garcia Diaz, Ana] Univ Int La Rioja, C Ave Paz 137, Logrono 26006, La Rioja, Spain</t>
  </si>
  <si>
    <t>Universidad Pedagogica y Tecnologica de Colombia (UPTC); Universidad Internacional de La Rioja (UNIR)</t>
  </si>
  <si>
    <t>Diaz, AG (corresponding author), Univ Int La Rioja, C Ave Paz 137, Logrono 26006, La Rioja, Spain.</t>
  </si>
  <si>
    <t>ana.garcia.d@unir.net</t>
  </si>
  <si>
    <t>SAGE PUBLICATIONS LTD</t>
  </si>
  <si>
    <t>1 OLIVERS YARD, 55 CITY ROAD, LONDON EC1Y 1SP, ENGLAND</t>
  </si>
  <si>
    <t>2307-4841</t>
  </si>
  <si>
    <t>REV INT EDUC MUSICAL</t>
  </si>
  <si>
    <t>Rev. Int. Educ. Musical</t>
  </si>
  <si>
    <t>Music</t>
  </si>
  <si>
    <t>5M0EX</t>
  </si>
  <si>
    <t>WOS:000870781100002</t>
  </si>
  <si>
    <t>Gaona, I. M. Saavedra; Munevar, J.; Vargas, C. A. Parra</t>
  </si>
  <si>
    <t>Evaluation of rare earth substitution in the structural and magnetic properties of the REBa1-xSrxCuFeO5 (x = 0.0, 0.25 and 0.5) system (vol 280, 115719, 2022)</t>
  </si>
  <si>
    <t>Correction</t>
  </si>
  <si>
    <t>[Gaona, I. M. Saavedra; Vargas, C. A. Parra] Univ Pedag &amp; Tecnol Colombia, Grp Fis Mat, Ave Cent Norte 39-115, Tunja 150003, Colombia; [Munevar, J.] Univ Fed ABC UFABC, Ctr Ciencias Nat &amp; Humanas CCNH, BR-09210580 Santo Andre, SP, Brazil</t>
  </si>
  <si>
    <t>Gaona, IMS (corresponding author), Univ Pedag &amp; Tecnol Colombia, Grp Fis Mat, Ave Cent Norte 39-115, Tunja 150003, Colombia.</t>
  </si>
  <si>
    <t>10.1016/j.mseb.2022.115762</t>
  </si>
  <si>
    <t>1X6MN</t>
  </si>
  <si>
    <t>Bronze</t>
  </si>
  <si>
    <t>WOS:000807566600001</t>
  </si>
  <si>
    <t>Torres, F; Abaunza, RAM; Ortegon, VA; Rodriguez, LJV</t>
  </si>
  <si>
    <t>Torres, F.; Morales Abaunza, R. A.; Infante Ortegon, V. A.; Vargas Rodriguez, L. J.</t>
  </si>
  <si>
    <t>Ocular adverse effects related to the administration of parenteral bisphosphonates: Experience of the family doctor</t>
  </si>
  <si>
    <t>MEDICINA DE FAMILIA-SEMERGEN</t>
  </si>
  <si>
    <t>[Torres, F.] Univ Pedag &amp; Tecnol Colombia, Med Familiar &amp; Comunitaria, Tunja, Colombia; [Morales Abaunza, R. A.] Hosp Univ San Rafael, Med Interna &amp; Reumatol, Tunja, Colombia; [Infante Ortegon, V. A.] Hosp Univ San Rafael, Tunja, Colombia; [Vargas Rodriguez, L. J.] Hosp Univ San Rafael, Epidemiol, Tunja, Colombia</t>
  </si>
  <si>
    <t>Rodriguez, LJV (corresponding author), Hosp Univ San Rafael, Epidemiol, Tunja, Colombia.</t>
  </si>
  <si>
    <t>lejovaro@gmail.com</t>
  </si>
  <si>
    <t>1138-3593</t>
  </si>
  <si>
    <t>1578-8865</t>
  </si>
  <si>
    <t>MED FAM-SEMERGEN</t>
  </si>
  <si>
    <t>Med. Fam.-SEMERGEN</t>
  </si>
  <si>
    <t>10.1016/j.semerg.2022.101826</t>
  </si>
  <si>
    <t>Primary Health Care</t>
  </si>
  <si>
    <t>5M4GX</t>
  </si>
  <si>
    <t>WOS:000871056900006</t>
  </si>
  <si>
    <t>de Figueiredo, FAP; Moncada-Villa, E; Mejia-Salazar, JR</t>
  </si>
  <si>
    <t>de Figueiredo, Felipe A. P.; Moncada-Villa, Edwin; Mejia-Salazar, Jorge Ricardo</t>
  </si>
  <si>
    <t>Optimization of Magnetoplasmonic epsilon-Near-Zero Nanostructures Using a Genetic Algorithm</t>
  </si>
  <si>
    <t>genetic algorithm optimization; magnetoplasmonics; magneto-optics; sensing; TMOKE</t>
  </si>
  <si>
    <t>Magnetoplasmonic permittivity-near-zero (epsilon-near-zero) nanostructures hold promise for novel highly integrated (bio)sensing devices. These platforms merge the high-resolution sensing from the magnetoplasmonic approach with the epsilon-near-zero-based light-to-plasmon coupling (instead of conventional gratings or bulky prism couplers), providing a way for sensing devices with higher miniaturization levels. However, the applications are mostly hindered by tedious and time-consuming numerical analyses, due to the lack of an analytical relation for the phase-matching condition. There is, therefore, a need to develop mechanisms that enable the exploitation of magnetoplasmonic epsilon-near-zero nanostructures' capabilities. In this work, we developed a genetic algorithm (GA) for the rapid design (in a few minutes) of magnetoplasmonic nanostructures with optimized TMOKE (transverse magneto-optical Kerr effect) signals and magnetoplasmonic sensing. Importantly, to illustrate the power and simplicity of our approach, we designed a magnetoplasmonic epsilon-near-zero sensing platform with a sensitivity higher than 56 degrees/RIU and a figure of merit in the order of 10(2). These last results, higher than any previous magnetoplasmonic s-near-zero sensing approach, were obtained by the GA intelligent program in times ranging from 2 to 5 min (using a simple inexpensive dual-core CPU computer).</t>
  </si>
  <si>
    <t>[de Figueiredo, Felipe A. P.; Mejia-Salazar, Jorge Ricardo] Inst Nacl Telecomunicacoes Inatel, BR-37540000 Santa Rita Do Sapucai, Brazil; [Moncada-Villa, Edwin] Univ Pedag &amp; Tecnol Colombia, Escuela Fis, Ave Cent Norte 39-115, Tunja 150003, Colombia</t>
  </si>
  <si>
    <t>Instituto Nacional de Telecomunicacoes (INATEL); Universidad Pedagogica y Tecnologica de Colombia (UPTC)</t>
  </si>
  <si>
    <t>Mejia-Salazar, JR (corresponding author), Inst Nacl Telecomunicacoes Inatel, BR-37540000 Santa Rita Do Sapucai, Brazil.</t>
  </si>
  <si>
    <t>felipe.figueiredo@inatel.br; edwin.moncada@uptc.edu.co; jrmejia@inatel.br</t>
  </si>
  <si>
    <t>Pereira de Figueiredo, Felipe Augusto/W-5410-2019</t>
  </si>
  <si>
    <t>Pereira de Figueiredo, Felipe Augusto/0000-0002-2167-7286</t>
  </si>
  <si>
    <t>Brazilian agencies National Council for Scientific and Technological Development-CNPq [314671/2021-8]; RNP; MCTIC under the Brazil 6G project of the Radiocommunication Reference Center (Centro de Referencia em Radiocomunicacoes-CRR) of the National Institute of Telecommunications (Instituto Nacional de Telecomunicacoes-Inatel), Brazil [01245.010604/2020-14]</t>
  </si>
  <si>
    <t>Brazilian agencies National Council for Scientific and Technological Development-CNPq(Conselho Nacional de Desenvolvimento Cientifico e Tecnologico (CNPQ)); RNP; MCTIC under the Brazil 6G project of the Radiocommunication Reference Center (Centro de Referencia em Radiocomunicacoes-CRR) of the National Institute of Telecommunications (Instituto Nacional de Telecomunicacoes-Inatel), Brazil</t>
  </si>
  <si>
    <t>Partial financial support was received from RNP, with resources from MCTIC, Grant No. 01245.010604/2020-14, under the Brazil 6G project of the Radiocommunication Reference Center (Centro de Referencia em Radiocomunicacoes-CRR) of the National Institute of Telecommunications (Instituto Nacional de Telecomunicacoes-Inatel), Brazil. We also acknowledge financial support from the Brazilian agencies National Council for Scientific and Technological Development-CNPq (314671/2021-8).</t>
  </si>
  <si>
    <t>10.3390/s22155789</t>
  </si>
  <si>
    <t>3S7PX</t>
  </si>
  <si>
    <t>WOS:000839785000001</t>
  </si>
  <si>
    <t>Vasquez, Y; Neculita, CM; Caicedo, G; Cubillos, J; Franco, J; Vasquez, M; Hernandez, A; Roldan, F</t>
  </si>
  <si>
    <t>Vasquez, Yaneth; Neculita, Carmen M.; Caicedo, Gerardo; Cubillos, Jairo; Franco, Jair; Vasquez, Mario; Hernandez, Angie; Roldan, Fabio</t>
  </si>
  <si>
    <t>Passive multi-unit field-pilot for acid mine drainage remediation: Performance and environmental assessment of post-treatment solid waste</t>
  </si>
  <si>
    <t>CHEMOSPHERE</t>
  </si>
  <si>
    <t>Acid mine drainage (AMD); Dispersed alkaline substrate (DAS); Passive biochemical reactors (PBRs); Colombia Andean Paramo; Post-treatment solid waste</t>
  </si>
  <si>
    <t>SEQUENTIAL EXTRACTION PROCEDURE; HYDRAULIC RETENTION TIME; SULFATE; REMOVAL; IRON; BIOREACTORS; SPECIATION; EFFICIENCY; REACTORS</t>
  </si>
  <si>
    <t>This study evaluated the performance of a passive multi-unit field-pilot operating for 16 months to treat acid mine drainage (AMD) from a coal mine in Colombia Andean Paramo. The multi-unit field-pilot involved a combination of a pre-treatment unit (550 L) filled with dispersed alkaline substrate (DAS), and six passive biochemical reactors (PBRs; 220 L) under two configurations: open (PBRs-A) and closed (PBRs-B) to the atmosphere. The AMD quality was 1200 +/- 91 mg L-1 Fe, 38.0 +/- 1.3 mg L-1 Mn, 8.5 +/- 1.6 mg L-1 Zn, and 3200 +/- 183.8 mg L-1 SO42-, at pH 2.8. The input and output effluents were monitored to establish AMD remediation. Physicochemical stability of the post-treatment solids, including metals (Fe2+, Zn2+, and Mn2+) and sulfates for environmental contamination from reactive mixture post-treatment, was also assessed. The passive multi-unit field-pilot achieved a total removal of 74% SO42-, 63% Fe2+, and 48% Mn2+ with the line of PBRs-A, and 91% SO42-, 80% Fe2+, and 66% Mn2+ with the line of PBRs-B, as well as 99% removal for Zn2+ without significant differences (p &lt; 0.05) between the two lines. The study of the physicochemical stability of the post-treatment solids showed they can produce acidic leachates that could release large quantities of Fe and Mn, if they are disposed in oxidizing conditions; contact with water or any other leaching solutions must be avoided. Therefore, these post-treatment solids cannot be disposed of in a municipal landfill. The differences in configuration between PBRs, open or closed to the atmosphere, induced changes in the performance of the passive multi-unit field-pilot during AMD remediation.</t>
  </si>
  <si>
    <t>[Vasquez, Yaneth; Franco, Jair; Vasquez, Mario] Univ Cent, Fac Ingn &amp; Ciencias Basicas, Cra 5 21-38, Bogota, Colombia; [Neculita, Carmen M.] Univ Quebec Abitibi Temiscamingue UQAT, Res Inst Mines &amp; Environm RIME, 445 Blvd Univ, Rouyn Noranda, PQ J9X 5E4, Canada; [Caicedo, Gerardo; Cubillos, Jairo; Hernandez, Angie] Univ Pedag &amp; Tecnol Colombia UPTC, Fac Ciencias, Grp Catalisis GC UPTC, Escuela Ciencias Quim, Ave Cent Norte 39-115, Tunja, Colombia; [Roldan, Fabio] Pontificia Univ Javeriana, Dept Biol, Unidad Saneamiento &amp; Biotecnol Ambiental USBA, Cra 7 40-62, Bogota, Colombia</t>
  </si>
  <si>
    <t>University of Quebec; University Quebec Abitibi-Temiscamingue; Universidad Pedagogica y Tecnologica de Colombia (UPTC); Pontificia Universidad Javeriana</t>
  </si>
  <si>
    <t>Vasquez, Y (corresponding author), Univ Cent, Fac Ingn &amp; Ciencias Basicas, Cra 5 21-38, Bogota, Colombia.</t>
  </si>
  <si>
    <t>ovasquezo@ucentral.edu.co</t>
  </si>
  <si>
    <t>Vasquez, Yaneth/0000-0002-3595-8177; Caicedo Pineda, Gerardo Andres/0000-0003-2320-0980; Roldan, Fabio/0000-0002-9516-7641; Neculita, Carmen Mihaela/0000-0002-8388-7916</t>
  </si>
  <si>
    <t>Ministry of Science, Technology, and Innovation (MINCIENCIAS), Colombia [120377657722]</t>
  </si>
  <si>
    <t>Ministry of Science, Technology, and Innovation (MINCIENCIAS), Colombia</t>
  </si>
  <si>
    <t>This work was supported by the Ministry of Science, Technology, and Innovation (MINCIENCIAS) , Colombia [grant number: 120377657722] .The authors acknowledge company C.I. MILPA and engineer Javier Lopez for assistance during fieldwork.</t>
  </si>
  <si>
    <t>0045-6535</t>
  </si>
  <si>
    <t>1879-1298</t>
  </si>
  <si>
    <t>Chemosphere</t>
  </si>
  <si>
    <t>10.1016/j.chemosphere.2021.133051</t>
  </si>
  <si>
    <t>Environmental Sciences</t>
  </si>
  <si>
    <t>ZD6AI</t>
  </si>
  <si>
    <t>WOS:000758280300006</t>
  </si>
  <si>
    <t>Pineda, MEB; Forero, LML; Sierra, CA</t>
  </si>
  <si>
    <t>Pineda, Mayra Eleonora Beltran; Forero, Luz Marina Lizarazo; Sierra, Cesar A.</t>
  </si>
  <si>
    <t>Mycosynthesis of silver nanoparticles: a review</t>
  </si>
  <si>
    <t>BIOMETALS</t>
  </si>
  <si>
    <t>Fungi; Green chemistry; Silver nanoparticles; Patents; Biological synthesis</t>
  </si>
  <si>
    <t>GREEN SYNTHESIS; EXTRACELLULAR BIOSYNTHESIS; BIOLOGICAL SYNTHESIS; ANTIMICROBIAL ACTIVITY; ENDOPHYTIC FUNGUS; IN-VITRO; METAL NANOPARTICLES; GOLD NANOPARTICLES; ANTIFUNGAL ACTIVITY; MEDIATED SYNTHESIS</t>
  </si>
  <si>
    <t>Metallic nanoparticles currently show multiple applications in the industrial, clinical and environmental fields due to their particular physicochemical characteristics. Conventional approaches for the synthesis of silver nanoparticles (AgNPs) are based on physicochemical processes which, although they show advantages such as high productivity and good monodispersity of the nanoparticles obtained, have disadvantages such as the high energy cost of the process and the use of harmful radiation or toxic chemical reagents that can generate highly polluting residues. Given the current concern about the environment and the potential cytotoxic effects of AgNPs, once they are released into the environment, a new green chemistry approach to obtain these nanoparticles called biosynthesis has emerged. This new alternative process counteracts some limitations of conventional synthesis methods, using the metabolic capabilities of living beings to manufacture nanomaterials, which have proven to be more biocompatible than their counterparts obtained by traditional methods. Among the organisms used, fungi are outstanding and are therefore being explored as potential nanofactories in an area of research known as mycosynthesis. For all the above, this paper aims to illustrate the advances in state of the art in the mycosynthesis of AgNPs, outlining the two possible mechanisms involved in the process, as well as the AgNPs stabilizing substances produced by fungi, the variables that can affect mycosynthesis at the in vitro level, the applications of AgNPs obtained by mycosynthesis, the patents generated to date in this field, and the limitations encountered by researchers in the area.</t>
  </si>
  <si>
    <t>[Pineda, Mayra Eleonora Beltran] Univ Nacl Colombia, Tunja, Colombia; [Pineda, Mayra Eleonora Beltran] Univ Boyaca, Grp Invest Macromol UN, Grp Invest Biol Ambiental UPTC, Grp Invest Gest Ambiental,Biotecnol, Tunja, Colombia; [Forero, Luz Marina Lizarazo] Univ Pedag &amp; Tecnol Colombia, Grp Invest Biol Ambiental, Tunja, Colombia; [Sierra, Cesar A.] Univ Nacl Colombia, Grp Invest Macromol, Bogota, Colombia</t>
  </si>
  <si>
    <t>Pineda, MEB (corresponding author), Univ Nacl Colombia, Tunja, Colombia.;Pineda, MEB (corresponding author), Univ Boyaca, Grp Invest Macromol UN, Grp Invest Biol Ambiental UPTC, Grp Invest Gest Ambiental,Biotecnol, Tunja, Colombia.</t>
  </si>
  <si>
    <t>mebeltranp@unal.edu.co</t>
  </si>
  <si>
    <t>Sierra, Cesar/0000-0002-8727-7429</t>
  </si>
  <si>
    <t>Science, Technology, and Innovation Fund of the General Royalties System FCTeI-SGR; National University of Colombia;  [HERMES 47144]</t>
  </si>
  <si>
    <t xml:space="preserve">Science, Technology, and Innovation Fund of the General Royalties System FCTeI-SGR; National University of Colombia; </t>
  </si>
  <si>
    <t>This study was financed with resources from the Science, Technology, and Innovation Fund of the General Royalties System FCTeI-SGR attached to the Department of Boyaca. And through the HERMES 47144 project of the National University of Colombia; Biosynthesis of silver nano-particles from rhizospheric fungi and its immobilization in a natural fiber for in vitro control of phytopathogenic bacteria (Pectobacterium carotovorum).Gobernacion de Boyaca, call 733 of 2015,Mayra Eleonora Beltran Pineda</t>
  </si>
  <si>
    <t>0966-0844</t>
  </si>
  <si>
    <t>1572-8773</t>
  </si>
  <si>
    <t>Biometals</t>
  </si>
  <si>
    <t>10.1007/s10534-022-00479-1</t>
  </si>
  <si>
    <t>Biochemistry &amp; Molecular Biology</t>
  </si>
  <si>
    <t>6W2QV</t>
  </si>
  <si>
    <t>WOS:000895578100001</t>
  </si>
  <si>
    <t>Coronado, ACM; Hernandez, EHM; Coronado, YM</t>
  </si>
  <si>
    <t>Morillo Coronado, Ana Cruz; Manjarres Hernandez, Elsa Helena; Morillo Coronado, Yacenia</t>
  </si>
  <si>
    <t>Phenotypic diversity of agromorphological characteristics of quinoa (Chenopodium quinoa WilId.) germplasm in Colombia</t>
  </si>
  <si>
    <t>SCIENTIA AGRICOLA</t>
  </si>
  <si>
    <t>Andean cultivation; phenotypic variability; genetic diversity; yield</t>
  </si>
  <si>
    <t>Chenopodium quinoa Willd. is an Andean crop with great nutritional value, economic potential, and a broad genetic and phenotypic diversity with adaptation to different conditions. In Colombia, C. quinoa is cultivated mainly in Cundinamarca, Narino and Boyaca, where studies have been conducted to characterize the germplasm and lack of seed materials, some challenges for the quinoa crop. This work assessed agromorphological characteristics of 50 quinoa genotypes from the germplasm collection of Boyaca the using a completely randomized design on the farm in Tunja. The multivariate analysis followed by a clustering approach were conducted on agromorphological descriptors, in which 16 were qualitative descriptors (e.g, panicle shape, episperm color, leaf shape) and five quantitative descriptors (e.g, plant height, panicle number). The results showed that higher coefficients of variation were found in characteristics associated to yield. The principal component analysis (PCA) of the quantitative variables showed that the first two components explained 88 % of the total variation with the characteristics of plant height, length, diameter, and panicle number showing the highest variability. The quantitative characteristic clusters comprised length and diameter panicle, weight 1,000 seeds, and plant height, while the qualitative characteristic clusters comprised stem shape, branching habit, panicle shape, and color of the axils. The factorial analysis of mixed data discriminated the materials with outstanding morphoagronomic characteristics. Agromorphological characterization revealed a broad variability, which should be conserved and used in genetic improvement programs of C. quinoa.</t>
  </si>
  <si>
    <t>[Morillo Coronado, Ana Cruz; Manjarres Hernandez, Elsa Helena] Univ Pedag &amp; Tecnol Colombia, Fac Ciencias Agr, Ave Cent Norte 39-115, Tunja, Colombia; [Morillo Coronado, Yacenia] Corp Colombiana Invest Agr AGROSAVIA, Cra 36a-23, Palmira, Valle Del Cauca, Colombia</t>
  </si>
  <si>
    <t>Universidad Pedagogica y Tecnologica de Colombia (UPTC); Corporacion Colombiana de Investigacion Agropecuaria, AGROSAVIA</t>
  </si>
  <si>
    <t>Coronado, ACM (corresponding author), Univ Pedag &amp; Tecnol Colombia, Fac Ciencias Agr, Ave Cent Norte 39-115, Tunja, Colombia.</t>
  </si>
  <si>
    <t>ana.morillo@uptc.edu.co</t>
  </si>
  <si>
    <t>Patrimonio Autonomo Fondo Nacional de Financiamiento para la Ciencia, la Tecnologia y la Innovacion Francisco Jose de Caldas - MinCiencias [63924]</t>
  </si>
  <si>
    <t>Patrimonio Autonomo Fondo Nacional de Financiamiento para la Ciencia, la Tecnologia y la Innovacion Francisco Jose de Caldas - MinCiencias</t>
  </si>
  <si>
    <t>The authors gratefully acknowledge the: Patrimonio Autonomo Fondo Nacional de Financiamiento para la Ciencia, la Tecnologia y la Innovacion Francisco Jose de Caldas -MinCiencias. ID. 63924, for the research financial support.</t>
  </si>
  <si>
    <t>UNIV SAO PAOLO</t>
  </si>
  <si>
    <t>CERQUERA CESAR</t>
  </si>
  <si>
    <t>AV  DR ENEAS DE CARVALHO AGUIAR, 419, CERQUERA CESAR, SP 05403-000, BRAZIL</t>
  </si>
  <si>
    <t>1678-992X</t>
  </si>
  <si>
    <t>SCI AGR</t>
  </si>
  <si>
    <t>Sci. Agric.</t>
  </si>
  <si>
    <t>e20210017</t>
  </si>
  <si>
    <t>10.1590/1678-992X-2021-0017</t>
  </si>
  <si>
    <t>Agriculture, Multidisciplinary</t>
  </si>
  <si>
    <t>TS7CS</t>
  </si>
  <si>
    <t>WOS:000679803900001</t>
  </si>
  <si>
    <t>Morillo-Coronado, AC; Manjarres-Hernandez, EH; Saenz-Quintero, OJ; Morillo-Coronado, Y</t>
  </si>
  <si>
    <t>Cruz Morillo-Coronado, Ana; Helena Manjarres-Hernandez, Elsa; Javier Saenz-Quintero, Oscar; Morillo-Coronado, Yacenia</t>
  </si>
  <si>
    <t>Morphoagronomic Evaluation of Yellow Pitahaya (Selenicereus megalanthus Haw.) in Miraflores, Colombia</t>
  </si>
  <si>
    <t>AGRONOMY-BASEL</t>
  </si>
  <si>
    <t>Selenicereus megalanthus; morphoagronomic descriptors; phenotypic variation; fruit characteristics; cladode characteristics</t>
  </si>
  <si>
    <t>Selenicereus megalanthus is a native fruit tree with broad phenotypic variations that has not been characterized. The objective of this research was to morphoagronomically evaluate yellow pitahaya genotypes in open fields and under cover in the municipality of Miraflores, Boyaca. A diagnostic census of the productive system was carried out. The morphoagronomic characterization used a completely random design with qualitative and quantitative descriptors for fruits and cladodes taken in situ and analyzed with frequency, descriptive, multivariate, conglomerate, and sperm correlation analyses. The pitahaya production system was based on empirical practices carried out by farmers. The weight of the largest fruit in open fields was 219.04 g on average; the average was 186.48 g with the covered system. The open-field systems had the largest genotypes in all the dimensions (length and width). The covered systems had the highest number of fruits per cladode (3.70) and the longest cladodes in the entire study (121.24 cm). Both production systems showed similar values for titratable acidity (0.20), and the soluble solids values were slightly higher in the open-field system than in the covered system (15.20 and 14.66 degrees Brix, respectively), desirable characteristics for the market. Genotypes 7 (under cover) and 3 (open field) presented outstanding morphological and agronomic characteristics. This study identified genotypes that can be included in selection programs for yellow pitahaya in Miraflores, Colombia.</t>
  </si>
  <si>
    <t>[Cruz Morillo-Coronado, Ana; Helena Manjarres-Hernandez, Elsa; Javier Saenz-Quintero, Oscar] Univ Pedag &amp; Tecnol Colombia, Grp CIDE Competitividad Innovac &amp; Desarrollo Empr, Tunja 150003, Colombia; [Morillo-Coronado, Yacenia] Corp Colombiana Invest Agr AGROSAVIA, Palmira 763531, Colombia</t>
  </si>
  <si>
    <t>Morillo-Coronado, AC (corresponding author), Univ Pedag &amp; Tecnol Colombia, Grp CIDE Competitividad Innovac &amp; Desarrollo Empr, Tunja 150003, Colombia.</t>
  </si>
  <si>
    <t>ana.morillo@uptc.edu.co; elsa.manjarres@uptc.edu.co; oscar.saenz02@uptc.edu.co; ymorillo@agrosavia.co</t>
  </si>
  <si>
    <t>Manjarres Hernández, Elsa Helena/HHN-6350-2022</t>
  </si>
  <si>
    <t>Manjarres Hernández, Elsa Helena/0000-0001-6221-8636</t>
  </si>
  <si>
    <t>Patrimonio Autonomo Fondo Nacional de Financiamiento para la Ciencia, la Tecnologia y la Innovacion Francisco Jose de Caldas-MinCiencias, Gobernacion de Boyaca [110986575466]</t>
  </si>
  <si>
    <t>Patrimonio Autonomo Fondo Nacional de Financiamiento para la Ciencia, la Tecnologia y la Innovacion Francisco Jose de Caldas-MinCiencias, Gobernacion de Boyaca</t>
  </si>
  <si>
    <t>This research was funded by the Patrimonio Autonomo Fondo Nacional de Financiamiento para la Ciencia, la Tecnologia y la Innovacion Francisco Jose de Caldas-MinCiencias, Gobernacion de Boyaca (Cod: 110986575466).</t>
  </si>
  <si>
    <t>2073-4395</t>
  </si>
  <si>
    <t>Agronomy-Basel</t>
  </si>
  <si>
    <t>10.3390/agronomy12071582</t>
  </si>
  <si>
    <t>3J3RG</t>
  </si>
  <si>
    <t>WOS:000833315100001</t>
  </si>
  <si>
    <t>Terranova, CAV; Diaz, JMG; Ramirez, MAR</t>
  </si>
  <si>
    <t>Vargas Terranova, Camilo Andres; Gonzalez Diaz, Javier Mauricio; Rueda Ramirez, Monica Alexandra</t>
  </si>
  <si>
    <t>Environmental assessment in the current scenario and with carbon credits: La Cortadera moor, department of Boyaca, Colombia [T1]</t>
  </si>
  <si>
    <t>carbon capture; environmental assessment; environmental impact; moor; moorland</t>
  </si>
  <si>
    <t>This study assessed the environmental and socioeconomic conditions of the La Cortadera moor in order to identify the environmental impacts to be considered in the provision of the carbon capture service. Using the methodology of the Secretaria Distrital de Medio Ambiente (2013) for environmental assessment and evaluation, two scenarios were proposed, the current and one with carbon credits, in order to compare how the provision of the capture service contributes to the recovery and conservation of the environment. Among the results, 82 impacts were identified in the current scenario, where significant, temporary and mitigable adverse impacts related to the anthropic activities carried out in the moor predominate; while in the scenario with carbon credits, 30 environmental impacts associated with the biotic, abiotic and socioeconomic environments were identified, of which 25 are positive and are classified mostly as significant and of high importance, linked to activities of administration of the protected area, institutionalism, research, generation of knowledge and strengthening of the socioeconomic and cultural component. According to the negative impacts of the current scenario (90%), the moor has been affected and fragmented to a considerable degree, mainly due to the expansion of the agricultural frontier. For this reason, as shown by the results in the scenario with carbon credits (83% positive impacts), the structuring of a protocol for the provision of the capture service in the ecosystem and the environmental management plan to</t>
  </si>
  <si>
    <t>[Vargas Terranova, Camilo Andres] Univ Complutense, Geol Ambiental &amp; Recursos Geol, Madrid, Spain; [Vargas Terranova, Camilo Andres; Gonzalez Diaz, Javier Mauricio] Univ La Salle, Programa Ingn Ambiental &amp; Sanitaria, Bogota, Colombia; [Gonzalez Diaz, Javier Mauricio] Univ Pedag &amp; Tecnol Colombia, Geog, Bogota, Colombia; [Rueda Ramirez, Monica Alexandra] Univ La Salle, Ingn Ambiental &amp; Sanitaria, Bogota, Colombia; [Rueda Ramirez, Monica Alexandra] Univ La Salle, Bogota, Colombia</t>
  </si>
  <si>
    <t>Complutense University of Madrid; Universidad de La Salle; Universidad Pedagogica y Tecnologica de Colombia (UPTC); Universidad de La Salle; Universidad de La Salle</t>
  </si>
  <si>
    <t>Terranova, CAV (corresponding author), Univ Complutense, Geol Ambiental &amp; Recursos Geol, Madrid, Spain.;Terranova, CAV (corresponding author), Univ La Salle, Programa Ingn Ambiental &amp; Sanitaria, Bogota, Colombia.</t>
  </si>
  <si>
    <t>cvterranova@unisalle.edu.co; javigonzalez@unisalle.edu.co; mrueda88@unisalle.edu.co</t>
  </si>
  <si>
    <t>10.19053/01233769.11953</t>
  </si>
  <si>
    <t>WOS:000767237000003</t>
  </si>
  <si>
    <t>Rivera-Niquepa, JD; Rojas-Lozano, D; De Oliveira-De Jesus, PM; Yusta, JM</t>
  </si>
  <si>
    <t>David Rivera-Niquepa, Juan; Rojas-Lozano, Daniela; De Oliveira-De Jesus, Paulo M.; Yusta, Jose M.</t>
  </si>
  <si>
    <t>Decomposition Analysis of the Aggregate Carbon Intensity (ACI) of the Power Sector in Colombia-A Multi-Temporal Analysis</t>
  </si>
  <si>
    <t>ACI; Colombia; energy policy; IDA-LMDI; power generation</t>
  </si>
  <si>
    <t>CO2 EMISSIONS; LMDI DECOMPOSITION; DRIVING FORCES; ENERGY-CONSUMPTION; DIOXIDE EMISSIONS; CHINA; ELECTRICITY; DRIVERS; HYDROPOWER; CAPACITY</t>
  </si>
  <si>
    <t>This paper presents the application of the Logarithmic Mean Divisia Index Decomposition Analysis (LMDI) to the aggregate carbon intensity (ACI) of the power sector in Colombia in the period 1990-2020, with the aim of identifying the main drivers influencing the ACI change. The analysis performed identifies the main drivers among: carbon intensity, generation efficiency, and contribution of fossil generation at the specific and total level of electricity production. The analysis is performed at the aggregate and disaggregated level of fossil fuels. Due to the highly variable behavior of the ACI, a multi-temporal decomposition is performed in the eight presidential administrations in the period of analysis. For each period, the main drivers are identified and the energy policy implications and their effects on the operation and management of the power sector are analyzed. The results show that the main driver is the fossil share of total energy production. Important effects on thermal generation efficiency and fossil energy mix were also identified in some analysis periods. The need for effective long-term policies and regulation in relation to the factors influencing the ACI was identified. It is recommended to accelerate the diversification of the energy mix of the power sector and the permanent monitoring of the behavior of the drivers.</t>
  </si>
  <si>
    <t>[David Rivera-Niquepa, Juan; Rojas-Lozano, Daniela; De Oliveira-De Jesus, Paulo M.] Los Andes Univ, Dept Elect &amp; Elect Engn, Bogota 111711, Colombia; [David Rivera-Niquepa, Juan] Univ Pedag &amp; Tecnol Colombia, Dept Electromech Engn, Duitama 150461, Colombia; [Yusta, Jose M.] Univ Zaragoza, Dept Elect Engn, Zaragoza 50009, Spain</t>
  </si>
  <si>
    <t>Universidad Pedagogica y Tecnologica de Colombia (UPTC); University of Zaragoza</t>
  </si>
  <si>
    <t>Rivera-Niquepa, JD (corresponding author), Los Andes Univ, Dept Elect &amp; Elect Engn, Bogota 111711, Colombia.;Rivera-Niquepa, JD (corresponding author), Univ Pedag &amp; Tecnol Colombia, Dept Electromech Engn, Duitama 150461, Colombia.</t>
  </si>
  <si>
    <t>jd.rivera@uniandes.edu.co</t>
  </si>
  <si>
    <t>DE OLIVEIRA-DE JESUS, PAULO/G-6829-2013; YUSTA, JOSE M./K-6527-2017</t>
  </si>
  <si>
    <t>DE OLIVEIRA-DE JESUS, PAULO/0000-0002-3344-9555; YUSTA, JOSE M./0000-0003-3174-9703</t>
  </si>
  <si>
    <t>Ministry of Science, Technology and Innovation, Colombia</t>
  </si>
  <si>
    <t>This research was funded by Ministry of Science, Technology and Innovation, Colombia grant number 1 of 2018 (Bicentenario-Corte 2).</t>
  </si>
  <si>
    <t>10.3390/su142013634</t>
  </si>
  <si>
    <t>5Q5FJ</t>
  </si>
  <si>
    <t>WOS:000873857100001</t>
  </si>
  <si>
    <t>Ortiz-Martinez, Y; Figueroa-Alcina, D; Florez-Collantes, H; Collazos-Torres, A; Diaz-Montes, A; Vega-Useche, C</t>
  </si>
  <si>
    <t>Ortiz-Martinez, Yeimer; Figueroa-Alcina, Diego; Florez-Collantes, Helvan; Collazos-Torres, Alejandra; Diaz-Montes, Ana; Vega-Useche, Camilo</t>
  </si>
  <si>
    <t>Impact of World Tuberculosis Day 2022 during COVID-19 Pandemic: An Analysis Using Google Trends (TM)</t>
  </si>
  <si>
    <t>INTERNATIONAL JOURNAL OF MYCOBACTERIOLOGY</t>
  </si>
  <si>
    <t>[Ortiz-Martinez, Yeimer; Figueroa-Alcina, Diego; Florez-Collantes, Helvan] Univ Ind Santander, Dept Internal Med, Bucaramanga, Colombia; [Ortiz-Martinez, Yeimer; Collazos-Torres, Alejandra; Diaz-Montes, Ana] Univ Sucre, Fac Hlth Sci, Sincelejo, Colombia; [Vega-Useche, Camilo] Univ Pedag &amp; Tecnol Colombia, Grp Invest GISABA, Tunja, Colombia</t>
  </si>
  <si>
    <t>Universidad Industrial de Santander; Universidad Pedagogica y Tecnologica de Colombia (UPTC)</t>
  </si>
  <si>
    <t>Ortiz-Martinez, Y (corresponding author), Calle 18 32-06, Bucaramanga, Santander, Colombia.</t>
  </si>
  <si>
    <t>yeimer10@hotmail.com</t>
  </si>
  <si>
    <t>WOLTERS KLUWER MEDKNOW PUBLICATIONS</t>
  </si>
  <si>
    <t>MUMBAI</t>
  </si>
  <si>
    <t>WOLTERS KLUWER INDIA PVT LTD , A-202, 2ND FLR, QUBE, C T S  NO 1498A-2 VILLAGE MAROL, ANDHERI EAST, MUMBAI, Maharashtra, INDIA</t>
  </si>
  <si>
    <t>2212-5531</t>
  </si>
  <si>
    <t>2212-554X</t>
  </si>
  <si>
    <t>INT J MYCOBACT</t>
  </si>
  <si>
    <t>Int. J. Mycobact.</t>
  </si>
  <si>
    <t>APR-JUN</t>
  </si>
  <si>
    <t>10.4103/ijmy.ijmy_63_22</t>
  </si>
  <si>
    <t>Infectious Diseases; Microbiology</t>
  </si>
  <si>
    <t>5H4SI</t>
  </si>
  <si>
    <t>WOS:000867670000018</t>
  </si>
  <si>
    <t>Suarez-Baron, MJ; Rincon-Diaz, HJ; Gonzalez-Rodriguez, CD; Gonzalez-Sanabria, JS</t>
  </si>
  <si>
    <t>Suarez-Baron, Marco-Javier; Rincon-Diaz, Holman-Jair; Gonzalez-Rodriguez, Carlos-Daniel; Gonzalez-Sanabria, Juan-Sebastian</t>
  </si>
  <si>
    <t>Linja: A Mobile Application Based on Minimax Strategy and Game Theory</t>
  </si>
  <si>
    <t>REVISTA FACULTAD DE INGENIERIA, UNIVERSIDAD PEDAGOGICA Y TECNOLOGICA DE COLOMBIA</t>
  </si>
  <si>
    <t>game theory; Linja; minimax; mobile game; optimization</t>
  </si>
  <si>
    <t>FRAMEWORK</t>
  </si>
  <si>
    <t>This article presents an application of Minimax strategy and game theory to implement the Linja mobile game. This game theory strategy applies collaborative learning to determine the winner of a game between two opponents, thus determining the optimal move in complex environments. In the development of the collaborative game, different game learning scenarios are proposed where competition between a player and the machine, and competitions against other players, intervene. In the learning process, moves are proposed that allow the maximum gain and the minimum loss among the competitors. In this case, the methodological approach was carried out towards the move that allows maximizing the profit and minimizing the loss, based on the application of the Mini/Max algorithm in search of determining the optimal solution of the game. The process is obtained from the adaptation of mathematical models for the development of games, using specialized tools that support a multi-paradigm programming language working together with the tools that the same language provides and that potentially serve as a contribution to the development of the game. In the search for an intelligent and autonomous system. The intelligent system correctly finds the winner of a game, showing the course of the game move by move. The results show that the game developed with the Minimax strategy allows automatic learning in multiuser environments, correctly identifying the winner of a game, generating the most optimal route of the game from move to move.</t>
  </si>
  <si>
    <t>[Suarez-Baron, Marco-Javier] Univ Pedag &amp; Tecnol Colombia, Sogamoso Boyaca, Colombia; [Rincon-Diaz, Holman-Jair] Infogex SAS, Tunja Boyaca, Colombia; [Gonzalez-Rodriguez, Carlos-Daniel] Heinsohn Grp Empresarial, Tunja Boyaca, Colombia; [Gonzalez-Sanabria, Juan-Sebastian] Univ Pedag &amp; Tecnol Colombia, Tunja Boyaca, Colombia</t>
  </si>
  <si>
    <t>Suarez-Baron, MJ (corresponding author), Univ Pedag &amp; Tecnol Colombia, Sogamoso Boyaca, Colombia.</t>
  </si>
  <si>
    <t>marco.suarez@uptc.edu.co; juansebastia.gonzalez@uptc.edu.co</t>
  </si>
  <si>
    <t>Gonzalez-Sanabria, Juan-Sebastian/0000-0002-1024-6077; SUAREZ BARON, MARCO JAVIER/0000-0003-1656-4452</t>
  </si>
  <si>
    <t>0121-1129</t>
  </si>
  <si>
    <t>2357-5328</t>
  </si>
  <si>
    <t>REV FAC ING-UPTC</t>
  </si>
  <si>
    <t>Rev. Fac. Ing. Univ. Pedagog. Tecnol. Colmb.</t>
  </si>
  <si>
    <t>JAN 16</t>
  </si>
  <si>
    <t>e14136</t>
  </si>
  <si>
    <t>10.19053/01211129.v31.n59.2022.14136</t>
  </si>
  <si>
    <t>ZX5CT</t>
  </si>
  <si>
    <t>WOS:000771913900001</t>
  </si>
  <si>
    <t>Quintero-Duran, MJ; Candelo-Becerra, JE; Posada, J</t>
  </si>
  <si>
    <t>Quintero-Duran, Michell J.; Candelo-Becerra, John E.; Posada, Johnny</t>
  </si>
  <si>
    <t>Synchronizing a synchronverter to an unbalanced power grid using sequence component decomposition</t>
  </si>
  <si>
    <t>NONLINEAR ENGINEERING - MODELING AND APPLICATION</t>
  </si>
  <si>
    <t>distributed generation; droop control; positive sequence; symmetrical components; synchronverter; virtual synchronous generator</t>
  </si>
  <si>
    <t>STABILITY; INVERTERS</t>
  </si>
  <si>
    <t>The synchronverter is a device used in some microgrids to perform self-synchronization and represent the behavior of a synchronous machine. However, the original control has been proposed for balanced networks, which is not present in all distribution systems. In unbalanced networks, the negative sequence may appear and generate a double frequency oscillation when delivering power or a non-symmetrical current from the inverter; thus, it must compensate unbalanced load. Therefore, this article shows that a synchronverter can be synchronized using the positive sequence even when there are voltage unbalances. The proposed strategy was simulated in the Simulink-Matlab(C) software, considering an unbalanced power grid with a single inverter and a load. The results confirm the effectiveness of this strategy, as the synchronverter can follow the grid frequency and the wave shape amplitude after starting the frequency droop control.</t>
  </si>
  <si>
    <t>[Quintero-Duran, Michell J.] Univ Pedag &amp; Tecnol Colombia, Dept Electromech Engn, Res Grp GENTE, Fac Secc Duitama, Duitama 150462, Colombia; [Candelo-Becerra, John E.] Univ Nacl Colombia, Sede Medellin, Dept Energia Elect &amp; Automat, Fac Minas, Medellin 050034, Colombia; [Posada, Johnny] Univ Autonoma Occidente, Fac Ingn, Nude Ingn Elect, Cali 760030, Colombia</t>
  </si>
  <si>
    <t>Universidad Pedagogica y Tecnologica de Colombia (UPTC); Universidad Nacional de Colombia; Universidad Autonoma de Occidente</t>
  </si>
  <si>
    <t>Quintero-Duran, MJ (corresponding author), Univ Pedag &amp; Tecnol Colombia, Dept Electromech Engn, Res Grp GENTE, Fac Secc Duitama, Duitama 150462, Colombia.</t>
  </si>
  <si>
    <t>michell.quintero@uptc.edu.co; jecandelob@unal.edu.co; jposada@uao.edu.co</t>
  </si>
  <si>
    <t>Quintero Duran, Michell Josep/0000-0003-1406-9888</t>
  </si>
  <si>
    <t>Universidad Nacional de Colombia, SedeMedellin, through the Hermes Project [41933]; Universidad Nacional de Colombia, SedeMedellin [FP44842-130-2017]; Colombian Ministry of Science, Technology, and Innovation - Minciencias (Ministerio de Ciencia, Tecnologia e Innovacion - Minciencias) [727-2015]</t>
  </si>
  <si>
    <t>Universidad Nacional de Colombia, SedeMedellin, through the Hermes Project; Universidad Nacional de Colombia, SedeMedellin; Colombian Ministry of Science, Technology, and Innovation - Minciencias (Ministerio de Ciencia, Tecnologia e Innovacion - Minciencias)</t>
  </si>
  <si>
    <t>This research was funded by Universidad Nacional de Colombia, SedeMedellin, through the Hermes Project No. 41933 and the contract FP44842-130-2017 and the Colombian Ministry of Science, Technology, and Innovation - Minciencias (Ministerio de Ciencia, Tecnologia e Innovacion - Minciencias) through the national call 727-2015.</t>
  </si>
  <si>
    <t>2192-8010</t>
  </si>
  <si>
    <t>2192-8029</t>
  </si>
  <si>
    <t>NONLINEAR ENG-MODEL</t>
  </si>
  <si>
    <t>Nonlinear Eng. Model. Appl.</t>
  </si>
  <si>
    <t>AUG 9</t>
  </si>
  <si>
    <t>10.1515/nleng-2022-0043</t>
  </si>
  <si>
    <t>Engineering, Mechanical; Mathematics, Interdisciplinary Applications</t>
  </si>
  <si>
    <t>Engineering; Mathematics</t>
  </si>
  <si>
    <t>3P8LA</t>
  </si>
  <si>
    <t>WOS:000837784800001</t>
  </si>
  <si>
    <t>Diaz-Merchan, JA; Martinez-Ovalle, SA; Vega-Carrillo, HR</t>
  </si>
  <si>
    <t>Diaz-Merchan, J. A.; Martinez-Ovalle, S. A.; Vega-Carrillo, H. R.</t>
  </si>
  <si>
    <t>Characterization of a novel material to be used as bolus in radiotherapy with electrons</t>
  </si>
  <si>
    <t>Materials; Bolus; Percentage depth dose; Monte Carlo; Geant4</t>
  </si>
  <si>
    <t>SIMULATION; THERAPY; POSTMASTECTOMY</t>
  </si>
  <si>
    <t>Features of new material to be used as bolus in external radiotherapy were determined and their performance were evaluated. The characterization was carried out using Monte Carlo methods with the Geant4 code where the Percentage Depth Dose (PDD) due to electrons was estimated. In the Monte Carlo model the linear accelerator head was included. Calculated results were experimentally validated with measurements made for 6, 9, 12 and 16 MeV electron beams. The key characteristics of the implemented material were identified, guaranteeing a low cost bolus, easy to be customized and to be used in clinical applications. In comparison with commercial ma-terials the new materials are superior from the cost to the effectiveness of their use in clinical treatments.</t>
  </si>
  <si>
    <t>[Diaz-Merchan, J. A.; Martinez-Ovalle, S. A.] Univ Pedag &amp; Tecnol Colombia, Grp Fis Nucl Aplicada &amp; Simulac, Ave Cent Norte 39-115, Tunja, Boyaca, Colombia; [Diaz-Merchan, J. A.; Martinez-Ovalle, S. A.] Ctr Cancerol Boyaca, Ave Univ 46-71, Tunja, Boyaca, Colombia; [Vega-Carrillo, H. R.] Univ Autonoma Zacatecas, Unidad Acad Estudios Nucl, C Cipres 10, Zacatecas 98060, Zac, Mexico</t>
  </si>
  <si>
    <t>Universidad Pedagogica y Tecnologica de Colombia (UPTC); Universidad Autonoma de Zacatecas</t>
  </si>
  <si>
    <t>Diaz-Merchan, JA (corresponding author), Univ Pedag &amp; Tecnol Colombia, Grp Fis Nucl Aplicada &amp; Simulac, Ave Cent Norte 39-115, Tunja, Boyaca, Colombia.</t>
  </si>
  <si>
    <t>jose.diaz@uptc.edu.co</t>
  </si>
  <si>
    <t>; Vega-Carrillo, Hector Rene/O-9346-2014</t>
  </si>
  <si>
    <t>Martinez Ovalle, Segundo Agustin/0000-0003-3044-3008; Vega-Carrillo, Hector Rene/0000-0002-7081-9084</t>
  </si>
  <si>
    <t>Ministerio de Ciencia, Tecnologia e Innovacion of Colombia [761]</t>
  </si>
  <si>
    <t>Ministerio de Ciencia, Tecnologia e Innovacion of Colombia</t>
  </si>
  <si>
    <t>Special thanks to the Ministerio de Ciencia, Tecnologia e Innovacion of Colombia for the financial support through the financing contract 761 of 2020, as well as to the management of the Centro de Cancerologia de Boyaca for the support.</t>
  </si>
  <si>
    <t>MAY</t>
  </si>
  <si>
    <t>10.1016/j.apradiso.2022.110154</t>
  </si>
  <si>
    <t>ZR8EA</t>
  </si>
  <si>
    <t>WOS:000768009900002</t>
  </si>
  <si>
    <t>Sierra, NR; Rodriguez, ES; Montanez, RAC; Algarra, AJC; Hernandez-Zambrano, SM</t>
  </si>
  <si>
    <t>Rodriguez Sierra, Nathalia; Sanchez Rodriguez, Evelyn; Castiblanco Montanez, Ruth Alexandra; Carrillo Algarra, Ana Julia; Milena Hernandez-Zambrano, Sandra</t>
  </si>
  <si>
    <t>Prevention interventions of alcohol consumption in young university students</t>
  </si>
  <si>
    <t>University students; Alcohol Drinking; Primary Prevention; Health Education</t>
  </si>
  <si>
    <t>HEALTH</t>
  </si>
  <si>
    <t>Introduction: Individual and cultural aspects condition alcohol intake.Objective: To identify the effect of interventions conducted in Latin America on consumption patterns or associated risk factors for alcohol consumption among young university students.Materials and Methods: Systematic review based on a PICO question. A literature search was conducted from April to August 2020 in PubMed, CUIDEN, BVS, Scielo, Google Scholar, and Governmental Repositories. DeCS and MeSH descriptors in Spanish, English, and Portuguese were used with Boolean operators AND and OR. Eligibility criteria included experimental and quasi-experimental studies published between 2014 and 2020. Forty-nine articles were identified, and critical reading allowed the selection of 8 articles to which the AMSTAR2, TREND, and CONSORT appraisal tools were used, leaving 6 articles for analysis. In accordance with Article 10 of Resolution 008430/93, this was considered risk-free research.Results: Single-component interventions reported effects on behavioral beliefs, attitudes, knowledge of the substance, academic performance, lower frequency of drinking, and not driving under the influence of alcohol. Multicomponent interventions reduced consumption risk by 3.03% and reported positive perceptions regarding the usefulness of activities, expectations fulfillment, overall satisfaction, quality of materials used, attendance, and punctuality.Discussion: The studies suggest implementing new interventions, strategies and policies in primary health to promote a social, educational and health transformation that generate a favorable impact to mitigate the current problem of alcohol consumption in university students.Conclusions: This systematic review made it possible to synthesize and evaluate the available evidence on single-and multicomponent interventions in Latin America and the Caribbean that positively modify risk factors and consumption patterns in young university students.</t>
  </si>
  <si>
    <t>[Rodriguez Sierra, Nathalia; Sanchez Rodriguez, Evelyn] Univ Pedag &amp; Tecnol Colombia, Tunja, Colombia; [Castiblanco Montanez, Ruth Alexandra; Carrillo Algarra, Ana Julia; Milena Hernandez-Zambrano, Sandra] Fdn Univ Ciencias Salud FUCS Bogota, Bogota, Colombia</t>
  </si>
  <si>
    <t>Hernandez-Zambrano, SM (corresponding author), Fdn Univ Ciencias Salud FUCS Bogota, Bogota, Colombia.</t>
  </si>
  <si>
    <t>nathalia.rodriguez01@uptc.edu.co; evelyn.sanchez@uptc.edu.co; racastiblanco@fucsalud.edu.co; ajcarrillo@fucsalud.edu.co; smhernandez3@fucsalud.edu.co</t>
  </si>
  <si>
    <t>e2388</t>
  </si>
  <si>
    <t>10.15649/cuidarte.2388</t>
  </si>
  <si>
    <t>WOS:000862979100008</t>
  </si>
  <si>
    <t>Galeano-Penaloza, J; Casas-Sanchez, OF; Chacon-Cortes, LF</t>
  </si>
  <si>
    <t>Galeano-Penaloza, J.; Casas-Sanchez, Oscar F.; Chacon-Cortes, Leonardo F.</t>
  </si>
  <si>
    <t>Entropy, Feller Processes and p-Adic Analogues of the Scattering Equation</t>
  </si>
  <si>
    <t>P-ADIC NUMBERS ULTRAMETRIC ANALYSIS AND APPLICATIONS</t>
  </si>
  <si>
    <t>entropy methods; p-adic numbers; Feller process; scattering equation; general relative entropy inequality</t>
  </si>
  <si>
    <t>MODELS</t>
  </si>
  <si>
    <t>There are several techniques in the classical case for some integro-differential equations involving the concept of entropy to show some properties of the solution. In this work, we deal with the p-adic scattering equation. We adapt these methods to investigate the convergence of the solutions and their qualitative properties, including mass conservation, regularity and stability. Most of these results follow from the General Relative Entropy Inequality. We also show the existence of Feller processes attached to the p-adic scattering equations.</t>
  </si>
  <si>
    <t>[Galeano-Penaloza, J.] Univ Nacl Colombia, Dept Matemat, Bogota, Colombia; [Casas-Sanchez, Oscar F.] Univ Pedag &amp; Tecnol Colombia, Escuela Matemat &amp; Estadist, Tunja, Colombia; [Chacon-Cortes, Leonardo F.] Pontificia Univ Javeriana, Dept Matemat, Bogota, Colombia</t>
  </si>
  <si>
    <t>Universidad Nacional de Colombia; Universidad Pedagogica y Tecnologica de Colombia (UPTC); Pontificia Universidad Javeriana</t>
  </si>
  <si>
    <t>Galeano-Penaloza, J (corresponding author), Univ Nacl Colombia, Dept Matemat, Bogota, Colombia.</t>
  </si>
  <si>
    <t>jgaleanop@unal.edu.co; oscar.casas01@uptc.edu.co; leonardo.chacon@javeriana.edu.co</t>
  </si>
  <si>
    <t>PLEIADES PUBLISHING INC</t>
  </si>
  <si>
    <t>PLEIADES HOUSE, 7 W 54 ST, NEW YORK,  NY, UNITED STATES</t>
  </si>
  <si>
    <t>2070-0466</t>
  </si>
  <si>
    <t>2070-0474</t>
  </si>
  <si>
    <t>P-ADIC NUMBERS ULTRA</t>
  </si>
  <si>
    <t>P-Adic Numbers Ultrametric Anal. Appl.</t>
  </si>
  <si>
    <t>10.1134/S2070046622020029</t>
  </si>
  <si>
    <t>1N9GM</t>
  </si>
  <si>
    <t>WOS:000800954800002</t>
  </si>
  <si>
    <t>Martinez-Martinez, A; Lopez-Lopez, W; Acevedo-Triana, C</t>
  </si>
  <si>
    <t>Martinez-Martinez, Adriana; Lopez-Lopez, Wilson; Acevedo-Triana, Cesar</t>
  </si>
  <si>
    <t>Comparison of the performance of cognitive tests in Parkinson Disease patients with and without Deep Brain Stimulation</t>
  </si>
  <si>
    <t>REVISTA CES PSICOLOGIA</t>
  </si>
  <si>
    <t>Parkinson's Disease; deep brain stimulation; neuropsychological evaluation; cognitive functions; neurosurgery; Basal Ganglia</t>
  </si>
  <si>
    <t>QUALITY-OF-LIFE; SUBTHALAMIC NUCLEUS; GLOBUS-PALLIDUS; NEUROPSYCHOLOGICAL CHANGES; METAANALYSIS; IMPAIRMENT; INTERNUS; MUTATION; PDQ-39; TASKS</t>
  </si>
  <si>
    <t>Patients diagnosed with Parkinson's disease show motor alterations together to cognitive, behavioral, and emotional disturbances. An alternative treatment to the exclusive pharmacological medication is the Deep Brain Stimulation procedure (DBS). Some studies have shown altered behavioral patterns after DBS device implantation, suggesting a relationship between a particular performance in cognitive tests derived from the DBS procedure. Our study aimed to compare the performance of cognitive tests in Parkinson's disease patients with and without DBS. Results were analyzed from 47 patients (n = 16 DBS; n = 31 without DBS) in a range since 2011 to 2015. Functions tested were visual categorization, cognitive flexibility, problem solutions, selective attention, cognitive processing speed, behavioral inhibition, and quality of life. In general, there are non-significative differences between groups in functions tested. However, correlations were found depending on the group (DBS or without DBS patients), with more positive correlations inside the DBS group between the similarity test and inversed digits, list of words, symbol search and the sub-test of the Wisconsin Card Sorting Test. In addition, the DBS group showed a low perception of the quality of life associated with the disorder's time compared to the without DBS group. In conclusion, these results are congruent with similar studies of neuropsychological evaluation, and the role of treatment is discussed below the perception of the quality of life.</t>
  </si>
  <si>
    <t>[Martinez-Martinez, Adriana; Lopez-Lopez, Wilson] Pontificia Univ Javeriana, Fac Psicol, Bogota, Colombia; [Acevedo-Triana, Cesar] Univ Pedag &amp; Tecnol Colombia, Escuela Psicol, Tunja, Colombia; [Acevedo-Triana, Cesar] Univ Alabama Birmingham, Dept Neurobiol, Birmingham, AL 35294 USA</t>
  </si>
  <si>
    <t>Pontificia Universidad Javeriana; Universidad Pedagogica y Tecnologica de Colombia (UPTC); University of Alabama System; University of Alabama Birmingham</t>
  </si>
  <si>
    <t>Acevedo-Triana, C (corresponding author), Univ Pedag &amp; Tecnol Colombia, Escuela Psicol, Tunja, Colombia.;Acevedo-Triana, C (corresponding author), Univ Alabama Birmingham, Dept Neurobiol, Birmingham, AL 35294 USA.</t>
  </si>
  <si>
    <t>UNIV CES</t>
  </si>
  <si>
    <t>CALLE 10 A, NO 22, MEDELLIN, 00000, COLOMBIA</t>
  </si>
  <si>
    <t>2011-3080</t>
  </si>
  <si>
    <t>REV CES PSICOL</t>
  </si>
  <si>
    <t>Rev. CES Psicol.</t>
  </si>
  <si>
    <t>10.21615/cesp.5896</t>
  </si>
  <si>
    <t>1Q5DO</t>
  </si>
  <si>
    <t>WOS:000802708000001</t>
  </si>
  <si>
    <t>Lazcano, LM; Gonzalez-Chorda, VM; Manrique-Abril, FG; Cervera-Gasch, A; Mena-Tudela, D; Andreu-Pejo, L; Valero-Chilleron, MJ</t>
  </si>
  <si>
    <t>Moran Lazcano, Lucia; Gonzalez-Chorda, Victor M.; Gustavo Manrique-Abril, Fred; Cervera-Gasch, Agueda; Mena-Tudela, Desiree; Andreu-Pejo, Laura; Jesus Valero-Chilleron, Maria</t>
  </si>
  <si>
    <t>Characteristics and determinants of the academic goals in nursing education: A cross-sectional study</t>
  </si>
  <si>
    <t>NURSE EDUCATION TODAY</t>
  </si>
  <si>
    <t>Nursing students; Motivation; Academic goal; Orientation; Academic performance</t>
  </si>
  <si>
    <t>ACHIEVEMENT GOALS; CRITICAL THINKING; ORIENTATION; STUDENTS</t>
  </si>
  <si>
    <t>Background: Academic goals guide the learning mode of nursing students, focus their objectives and influence the acquisition of skills. However, research on academic goals and related variables is scarce. Objective: To study the relationship between different sociodemographic and academic variables with the type of academic goal in nursing students at the Universitat Jaume I (Spain). Design: Cross-sectional study conducted between September 2020 and June 2021. Settings and participants: Undergraduate nursing students at Universitat Jaume I (n = 263). Methods: The Academic Goal Orientation questionnaire was administered. In addition, the variables age, gender, route to university, previous health studies, previous training in critical thinking, degree year and average grade on academic record were collected. A descriptive analysis of the sample and an analysis of the association between variables were performed. In addition, exploratory multinomial logistic regression was performed. Results: The nursing students preferred the Learning Goal (95.8%; n = 263), and this increased among the students as their average grade increased. The results of the multivariate analysis indicated that students with a lower average grade, those from advanced years and those without previous training in critical thinking preferred the Work Avoidance and Self-defeating Ego Goals. Conclusion: The preferred goal among the students was learning. The variables that influenced the type of goal were year, average grade and previous training in critical thinking.</t>
  </si>
  <si>
    <t>[Moran Lazcano, Lucia; Gonzalez-Chorda, Victor M.; Cervera-Gasch, Agueda; Mena-Tudela, Desiree; Andreu-Pejo, Laura; Jesus Valero-Chilleron, Maria] Univ Jaume 1, Nursing Dept, Avda Sos Baynat S-N, Castellon de La Plana 12071, Spain; [Gustavo Manrique-Abril, Fred] Univ Nacl Colombia, Nursing Dept, Carretera 45, Bogota, Colombia; [Gustavo Manrique-Abril, Fred] Univ Pedag &amp; Tecnol Colombia, Publ Hlth Grp, Tunja, Colombia</t>
  </si>
  <si>
    <t>Universitat Jaume I; Universidad Nacional de Colombia; Universidad Pedagogica y Tecnologica de Colombia (UPTC)</t>
  </si>
  <si>
    <t>Gonzalez-Chorda, VM (corresponding author), Univ Jaume 1, Nursing Dept, Avda Sos Baynat S-N, Castellon de La Plana 12071, Spain.</t>
  </si>
  <si>
    <t>al374010@uji.es; vchorda@uji.es; fgmanriquea@unal.edu.co; cerveraa@uji.es; dmena@uji.es; pejo@uji.es; chillero@uji.es</t>
  </si>
  <si>
    <t>Gonzalez-Chorda, Victor M./T-7358-2019</t>
  </si>
  <si>
    <t>Gonzalez-Chorda, Victor M./0000-0001-7426-6686</t>
  </si>
  <si>
    <t>CHURCHILL LIVINGSTONE</t>
  </si>
  <si>
    <t>EDINBURGH</t>
  </si>
  <si>
    <t>JOURNAL PRODUCTION DEPT, ROBERT STEVENSON HOUSE, 1-3 BAXTERS PLACE, LEITH WALK, EDINBURGH EH1 3AF, MIDLOTHIAN, SCOTLAND</t>
  </si>
  <si>
    <t>0260-6917</t>
  </si>
  <si>
    <t>1532-2793</t>
  </si>
  <si>
    <t>NURS EDUC TODAY</t>
  </si>
  <si>
    <t>Nurse Educ. Today</t>
  </si>
  <si>
    <t>10.1016/j.nedt.2022.105402</t>
  </si>
  <si>
    <t>Education, Scientific Disciplines; Nursing</t>
  </si>
  <si>
    <t>Education &amp; Educational Research; Nursing</t>
  </si>
  <si>
    <t>1N6DX</t>
  </si>
  <si>
    <t>Green Published, hybrid</t>
  </si>
  <si>
    <t>WOS:000800745100010</t>
  </si>
  <si>
    <t>Lara, ANM; Vega, VRV</t>
  </si>
  <si>
    <t>Lara, Alba Nithza Maldonado; Vega, V. Reina Victoria</t>
  </si>
  <si>
    <t>BORDER MIGRATIONS: THE CASE OF THE CUCUTA-URENA PASS ON THE COLOMBO-VENEZUELAN BORDER (1990-2020)</t>
  </si>
  <si>
    <t>REVISTA DE CIENCIAS SOCIALES-COSTA RICA</t>
  </si>
  <si>
    <t>MIGRATION; BORDER; COLOMBIA; VENEZUELA; CASE STUDY</t>
  </si>
  <si>
    <t>In this article we address, from a comprehensive perspective, the socio-territorial dynamics that emerged between 1990 and 2020, in the border crossing between Cucuta (Colombia) and Urena (Venezuela), based on the behavior analysis of the migratory flow that runs through this crossing. The methodology used is that of the case study and the sources are qualitative. The information gathered allows us to consider that, during the period studied, social conflict increased in this border crossing, due to the dispute for the control and appropriation of the border zone by illegal actors, interested in making the intensification of migratory flows in the direction of both countries profitable, due to the political instability that has marked the recent history of both sides of the border, during the period studied.</t>
  </si>
  <si>
    <t>[Lara, Alba Nithza Maldonado] Secretari Educ Cundinamarca, Gama, Cundinamarca, Colombia; [Vega, V. Reina Victoria] Ctr Histoire Montreal, Montreal, PQ, Canada; [Vega, V. Reina Victoria] Univ Pedag &amp; Tecnol Colombia, Escuela Postgrad Geog EPG, Inst Geog Agustin Codazzi UPTC IGAC, Boyaca, Colombia</t>
  </si>
  <si>
    <t>Lara, ANM (corresponding author), Secretari Educ Cundinamarca, Gama, Cundinamarca, Colombia.</t>
  </si>
  <si>
    <t>albanml03@gmail.com; reinavg354@gmail.com</t>
  </si>
  <si>
    <t>UNIV COSTA RICA, FAC SOCIAL SCIENCES</t>
  </si>
  <si>
    <t>CITY RESEARCH, SAN JOSE, 00000, COSTA RICA</t>
  </si>
  <si>
    <t>2215-2601</t>
  </si>
  <si>
    <t>REV CIENC SOC-COSTA</t>
  </si>
  <si>
    <t>Rev. Cienc. Soc.-Costa Rica</t>
  </si>
  <si>
    <t>5Z7AQ</t>
  </si>
  <si>
    <t>WOS:000880122100011</t>
  </si>
  <si>
    <t>Matallana-Puerto, CA; Cardoso, JCF</t>
  </si>
  <si>
    <t>Matallana-Puerto, Carlos A.; Fernandes Cardoso, Joao Custodio</t>
  </si>
  <si>
    <t>Ratatouille of flowers! Rats as potential pollinators of a petal-rewarding plant in the urban area</t>
  </si>
  <si>
    <t>ECOLOGY</t>
  </si>
  <si>
    <t>Acca sellowiana; Myrtaceae; pollination; urban ecology</t>
  </si>
  <si>
    <t>[Matallana-Puerto, Carlos A.] Univ Pedag &amp; Tecnol Colombia, Fac Ciencias, Grp Invest Biol Conservac, Escuela Biol, Tunja, Colombia; [Matallana-Puerto, Carlos A.] Univ Estadual Campinas, Inst Biol Vegetal, Programa Posgrad Biol Vegetal, Campinas, Brazil; [Fernandes Cardoso, Joao Custodio] Univ Fed Alfenas, Inst Ciencias Nat, Alfenas, Brazil</t>
  </si>
  <si>
    <t>Universidad Pedagogica y Tecnologica de Colombia (UPTC); Universidade Estadual de Campinas; Universidade Federal de Alfenas</t>
  </si>
  <si>
    <t>Matallana-Puerto, CA (corresponding author), Univ Pedag &amp; Tecnol Colombia, Fac Ciencias, Grp Invest Biol Conservac, Escuela Biol, Tunja, Colombia.;Matallana-Puerto, CA (corresponding author), Univ Estadual Campinas, Inst Biol Vegetal, Programa Posgrad Biol Vegetal, Campinas, Brazil.</t>
  </si>
  <si>
    <t>ca.matallanap@gmail.com</t>
  </si>
  <si>
    <t>Matallana Puerto, Carlos Andres/0000-0001-8910-2684</t>
  </si>
  <si>
    <t>0012-9658</t>
  </si>
  <si>
    <t>1939-9170</t>
  </si>
  <si>
    <t>e3778</t>
  </si>
  <si>
    <t>10.1002/ecy.3778</t>
  </si>
  <si>
    <t>4E9LL</t>
  </si>
  <si>
    <t>WOS:000828486500001</t>
  </si>
  <si>
    <t>Suarez, JM; Moreno-Ortiz, H; Otero, L; Matlin, S; Esteban-Perez, CI; Forero-Castro, M</t>
  </si>
  <si>
    <t>Marin Suarez, Johana; Moreno-Ortiz, Harold; Otero, Lissette; Matlin, Stephen; Ines Esteban-Perez, Clara; Forero-Castro, Maribel</t>
  </si>
  <si>
    <t>Evaluation of the Telomere Length and its Effect on the Ovarian Reserve in a Sample of Colombian Women</t>
  </si>
  <si>
    <t>EUROPEAN JOURNAL OF HUMAN GENETICS</t>
  </si>
  <si>
    <t>54th Conference of the European-Society-of-Human-Genetics (ESHG)</t>
  </si>
  <si>
    <t>AUG 28-31, 2021</t>
  </si>
  <si>
    <t>ELECTR NETWORK</t>
  </si>
  <si>
    <t>[Marin Suarez, Johana; Forero-Castro, Maribel] Univ Pedag &amp; Tecnol Colombia, Tunja, Colombia; [Moreno-Ortiz, Harold; Ines Esteban-Perez, Clara] Dept Biogenet Reprod Invitro, Bogota, Colombia; [Otero, Lissette; Matlin, Stephen] Life Length, Madrid, Spain</t>
  </si>
  <si>
    <t>SPRINGERNATURE</t>
  </si>
  <si>
    <t>CAMPUS, 4 CRINAN ST, LONDON, N1 9XW, ENGLAND</t>
  </si>
  <si>
    <t>1018-4813</t>
  </si>
  <si>
    <t>1476-5438</t>
  </si>
  <si>
    <t>EUR J HUM GENET</t>
  </si>
  <si>
    <t>Eur. J. Hum. Genet.</t>
  </si>
  <si>
    <t>SUPPL 1</t>
  </si>
  <si>
    <t>P01.065.A</t>
  </si>
  <si>
    <t>Biochemistry &amp; Molecular Biology; Genetics &amp; Heredity</t>
  </si>
  <si>
    <t>Science Citation Index Expanded (SCI-EXPANDED); Conference Proceedings Citation Index - Science (CPCI-S)</t>
  </si>
  <si>
    <t>0I4BX</t>
  </si>
  <si>
    <t>WOS:000779367700273</t>
  </si>
  <si>
    <t>de la Torre, AR; Manrique, IDM</t>
  </si>
  <si>
    <t>de la Torre, Alfredo Rocha; Manrique, Ivan Dario Munoz</t>
  </si>
  <si>
    <t>Higher than reality is possibility: dynamis and energeia in Heidegger</t>
  </si>
  <si>
    <t>[de la Torre, Alfredo Rocha; Manrique, Ivan Dario Munoz] Pedag &amp; Technol Univ Colombia, Tunja, Colombia</t>
  </si>
  <si>
    <t>de la Torre, AR (corresponding author), Pedag &amp; Technol Univ Colombia, Tunja, Colombia.</t>
  </si>
  <si>
    <t>10.19053/01235095.v8.n31.2022.15298</t>
  </si>
  <si>
    <t>WOS:000905329300002</t>
  </si>
  <si>
    <t>Mora, A; Delgado, HG; Villamizar-Escalante, N; Bermudez, MA; Bernet, M; Velandia, F</t>
  </si>
  <si>
    <t>Mora, Andres; Delgado, Helbert Garcia; Villamizar-Escalante, Nicolas; Bermudez, Mauricio A.; Bernet, Matthias; Velandia, Francisco</t>
  </si>
  <si>
    <t>Climate or tectonics? What controls the spatial-temporal variations in erosion rates across the Eastern Cordillera of Colombia? [Global and planetary change, volume 203, August 2021, 103,541]: Comment and reply</t>
  </si>
  <si>
    <t>GLOBAL AND PLANETARY CHANGE</t>
  </si>
  <si>
    <t>Exhumation rates; Thermochronology; Northern Andes; Climate; Tectonics</t>
  </si>
  <si>
    <t>EVOLUTION</t>
  </si>
  <si>
    <t>[Mora, Andres] Ecopetrol Oleo &amp; Gas Brazil, Praia Botafogo 300 Sl 1101 Botafogo, BR-22250905 Rio De Janeiro, RJ, Brazil; [Delgado, Helbert Garcia] Syracuse Univ, Dept Earth &amp; Environm Sci, Heroy Geol Lab 204, Syracuse, NY 13244 USA; [Villamizar-Escalante, Nicolas] Univ Salzburg, Dept Geog &amp; Geol, Hellbrunnerstr 34-III, A-5020 Salzburg, Austria; [Bermudez, Mauricio A.] Univ Pedag &amp; Tecnol Colombia UPTC, Escuela Ingn Geol, Calle 4 15-134, Sogamoso 152210, Colombia; [Bernet, Matthias] Univ Grenoble Alpes, Inst Sci Terre, CNRS, 1381 Rue piscine, F-38041 Grenoble, France; [Velandia, Francisco] Univ Ind Santander, Escuela Geol, Cra 9 Calle 27, Bucaramanga 680002, Colombia</t>
  </si>
  <si>
    <t>Syracuse University; Salzburg University; Universidad Pedagogica y Tecnologica de Colombia (UPTC); UDICE-French Research Universities; Communaute Universite Grenoble Alpes; Universite Grenoble Alpes (UGA); Centre National de la Recherche Scientifique (CNRS); Institut de Recherche pour le Developpement (IRD); Universite Gustave-Eiffel; Universite de Savoie; Universidad Industrial de Santander</t>
  </si>
  <si>
    <t>Mora, A (corresponding author), Ecopetrol Oleo &amp; Gas Brazil, Praia Botafogo 300 Sl 1101 Botafogo, BR-22250905 Rio De Janeiro, RJ, Brazil.</t>
  </si>
  <si>
    <t>andresmora30@googlemail.com</t>
  </si>
  <si>
    <t>Villamizar Escalante, Nicolas/0000-0003-0951-4473</t>
  </si>
  <si>
    <t>0921-8181</t>
  </si>
  <si>
    <t>1872-6364</t>
  </si>
  <si>
    <t>GLOBAL PLANET CHANGE</t>
  </si>
  <si>
    <t>Glob. Planet. Change</t>
  </si>
  <si>
    <t>10.1016/j.gloplacha.2022.103793</t>
  </si>
  <si>
    <t>Geography, Physical; Geosciences, Multidisciplinary</t>
  </si>
  <si>
    <t>Physical Geography; Geology</t>
  </si>
  <si>
    <t>1W2FO</t>
  </si>
  <si>
    <t>WOS:000806593600004</t>
  </si>
  <si>
    <t>Alfaro-Garcia, VG; Blanco-Mesa, F; Leon-Castro, E; Merigo, JM</t>
  </si>
  <si>
    <t>Alfaro-Garcia, Victor G.; Blanco-Mesa, Fabio; Leon-Castro, Ernesto; Merigo, Jose M.</t>
  </si>
  <si>
    <t>Bonferroni Weighted Logarithmic Averaging Distance Operator Applied to Investment Selection Decision Making</t>
  </si>
  <si>
    <t>MATHEMATICS</t>
  </si>
  <si>
    <t>logarithmic averaging operators; distance measures; immediate weights; Bonferroni means; OWA operators</t>
  </si>
  <si>
    <t>HEAVY MOVING AVERAGES; AGGREGATION OPERATORS</t>
  </si>
  <si>
    <t>Distance measures in ordered weighted averaging (OWA) operators allow the modelling of complex decision making problems where a set of ideal values or characteristics are required to be met. The objective of this paper is to introduce extended distance measures and logarithmic OWA-based decision making operators especially designed for the analysis of financial investment options. Based on the immediate weights, Bonferroni means and logarithmic averaging operators, in this paper we introduce the immediate weights logarithmic distance (IWLD), the immediate weights ordered weighted logarithmic averaging distance (IWOWLAD), the hybrid weighted logarithmic distance (HWLD), the Bonferroni ordered weighted logarithmic averaging distance (B-OWLAD) operator, the Bonferroni immediate weights ordered weighted logarithmic averaging distance (B-IWOWLAD) operator and the Bonferroni hybrid weighted logarithmic distance (HWLD). A financial decision making illustrative example is proposed, and the main benefits of the characteristic design of the introduced operators is shown, which include the analysis of the interrelation between the modelled arguments required from the decision makers and the stakeholders, and the comparison to an ideal set of characteristics that the possible companies in the example must portray. Moreover, some families, particular cases and brief examples of the proposed operators, are studied and presented. Finally, among the main advantages are the modeling of diverse perspectives, attitudinal characteristics and complex scenarios, through the interrelation and comparison between the elements with an ideal set of characteristics given by the decision makers and a set of options.</t>
  </si>
  <si>
    <t>[Alfaro-Garcia, Victor G.] Univ Michoacana, Fac Contaduria &amp; Ciencias Adm, Gral Francisco J Mugica S-N, Morelia 58030, Michoacan, Mexico; [Blanco-Mesa, Fabio] Univ Pedag &amp; Tecnol Colombia, Escuela Adm Empresas, Fac Ciencias Econ &amp; Adm, Tunja 150001, Colombia; [Leon-Castro, Ernesto] Univ Catolica Santisima Concepcion, Fac Econ &amp; Adm Sci, Av Alonso de Ribera 2850, Concepcion 4030000, Chile; [Merigo, Jose M.] Univ Chile, Sch Business &amp; Econ, Dept Management Control &amp; Informat Syst, Av Diagonal Paraguay 257, Santiago 8330015, Chile</t>
  </si>
  <si>
    <t>Universidad Michoacana de San Nicolas de Hidalgo; Universidad Pedagogica y Tecnologica de Colombia (UPTC); Universidad Catolica de la Santisima Concepcion; Universidad de Chile</t>
  </si>
  <si>
    <t>Leon-Castro, E (corresponding author), Univ Catolica Santisima Concepcion, Fac Econ &amp; Adm Sci, Av Alonso de Ribera 2850, Concepcion 4030000, Chile.</t>
  </si>
  <si>
    <t>victor.alfaro@umich.mx; fabio.blanco01@uptc.edu.co; eleon@ucsc.cl; jose.merigo@uts.edu.au</t>
  </si>
  <si>
    <t>Leon-Castro, Ernesto/AAD-2628-2021; Blanco-Mesa, Fabio/K-7225-2012; Merigo, Jose M./G-3614-2010</t>
  </si>
  <si>
    <t>Leon-Castro, Ernesto/0000-0002-0087-2226; Blanco-Mesa, Fabio/0000-0002-9462-6498; Alfaro Garcia, Victor Gerardo/0000-0002-0412-2166; Merigo, Jose M./0000-0002-4672-6961</t>
  </si>
  <si>
    <t>ANID InES Ciencia Abierta [INCA210005]</t>
  </si>
  <si>
    <t>ANID InES Ciencia Abierta</t>
  </si>
  <si>
    <t>ANID InES Ciencia Abierta INCA210005.</t>
  </si>
  <si>
    <t>2227-7390</t>
  </si>
  <si>
    <t>MATHEMATICS-BASEL</t>
  </si>
  <si>
    <t>10.3390/math10122100</t>
  </si>
  <si>
    <t>2N1DF</t>
  </si>
  <si>
    <t>WOS:000818128200001</t>
  </si>
  <si>
    <t>Vargas, EE; Leon, GJ; Martinez, LF</t>
  </si>
  <si>
    <t>Vargas, Edgar E.; Leon, Gina J.; Martinez, Leonardo F.</t>
  </si>
  <si>
    <t>ARGUMENTATION FROM THE TEACHING OF THE CHEMICAL SOLUTIONS br</t>
  </si>
  <si>
    <t>QUIMICA NOVA</t>
  </si>
  <si>
    <t>argumentation in sciences; chemical solution; initial teacher training; chemistry teaching; argumentative processes</t>
  </si>
  <si>
    <t>This research, whit the design and implementation of contextualized laboratory activities in chemistry was carried out, in order to demonstrate the level of argumentation presented by teachers in initial training, first semester of the Bachelor of Natural Sciences program and Environmental Education of the Pedagogical and Technological University of Colombia UPTC. This research was developed with a qualitative, interpretive and phenomenological research approach, allowing us to observe the progress presented by the students under study, in terms of argumentative processes, taking as reference Toulmin who describes different levels of argumentation. The research was carried out in three phases: a diagnostic phase that allowed identifying the initial state of the teachers in training, a second phase of design and implementation of the sequence of activities based on situations of context, and finally a third evaluation phase in which the levels of argumentation reached by the students, having as a fundamental basis the triangulation of data between the experiences of the students confronted with theoretical references that would allow us to account for the results found. It was possible to identify the difficulty that students present when preparing structured arguments as proposed by Toulmin, demonstrating the lack of appropriation of scientific language that students have and the low development of this competence at the different levels of academic. Is important to promote the use of different didactic strategies such as experimentation in the classroom, which allow strengthening the different argumentation processes in students.</t>
  </si>
  <si>
    <t>[Vargas, Edgar E.] Univ Pedag &amp; Tecnol Colombia, Fac Educ, Tunja 150003, Colombia; [Leon, Gina J.] Escuela Colombiana Carreras Ind, Fac Salud, Bogota 110221, Colombia; [Martinez, Leonardo F.] Univ Pedagog Nacl Colombia, Dept Quim, Bogota 110221, Colombia</t>
  </si>
  <si>
    <t>Vargas, EE (corresponding author), Univ Pedag &amp; Tecnol Colombia, Fac Educ, Tunja 150003, Colombia.</t>
  </si>
  <si>
    <t>edgar.vargas01@uptc.edu.co</t>
  </si>
  <si>
    <t>SOC BRASILEIRA QUIMICA</t>
  </si>
  <si>
    <t>SAO PAULO</t>
  </si>
  <si>
    <t>CAIXA POSTAL 26037, 05599-970 SAO PAULO, BRAZIL</t>
  </si>
  <si>
    <t>0100-4042</t>
  </si>
  <si>
    <t>1678-7064</t>
  </si>
  <si>
    <t>QUIM NOVA</t>
  </si>
  <si>
    <t>Quim. Nova</t>
  </si>
  <si>
    <t>10.21577/0100-4042.20170940</t>
  </si>
  <si>
    <t>4P2DH</t>
  </si>
  <si>
    <t>WOS:000855204400001</t>
  </si>
  <si>
    <t>Sanabria, C; Florez, D; Piquet, H; Diez, R</t>
  </si>
  <si>
    <t>Sanabria, Camilo; Florez, David; Piquet, Hubert; Diez, Rafael</t>
  </si>
  <si>
    <t>Sizing Equations for a Square Voltage Pulse Power Supply for Dielectric Barrier Discharges</t>
  </si>
  <si>
    <t>IEEE TRANSACTIONS ON POWER ELECTRONICS</t>
  </si>
  <si>
    <t>Discharges (electric); Plasmas; Power supplies; Mathematical models; Inverters; Transformers; Power transformer insulation; Circuit analysis; dielectric barrier discharges (DBD); power supplies; pulsed power systems</t>
  </si>
  <si>
    <t>RESONANT INVERTER; DBD LAMP; GENERATOR; IDENTIFICATION; EFFICIENCY; EXCILAMPS; UNIPOLAR; DESIGN; MODEL</t>
  </si>
  <si>
    <t>This article presents an analysis of the full-bridge voltage inverter widely used to supply dielectric barrier discharges. The main contribution of this article is the deduction of the analytical equations for the delivered power, peak voltage, and duration of the discharge as a function of the dc input voltage and of the switching frequency, but also as a function of the parasitic elements of the transformer and the parameters of the DBD load. To date, these equations are not found in the literature and are useful to design a power converter complying with specifications derived from plasma process requirements. The state plane is used to understand the different sub-intervals taking place in an entire switching period. The equations are verified using a simple example of design, which implementation accurately obeys the sizing equations, and provide the expected performances.</t>
  </si>
  <si>
    <t>[Sanabria, Camilo] Pontificia Univ Javeriana, Bogota 110231, Colombia; [Sanabria, Camilo] Univ Pedag &amp; Tecnol Colombia, Res Grp LIRA, Sogamoso 150003, Colombia; [Sanabria, Camilo; Piquet, Hubert] Univ Toulouse, CNRS, LAPLACE Lab, F-31071 Toulouse, France; [Florez, David] Univ Sergio Arboleda, Escuela Ciencias Exactas &amp; Ingn, Bogota 110221, Colombia; [Diez, Rafael] Pontificia Univ Javeriana, Dept Elect Engn, Bogota 110231, Colombia</t>
  </si>
  <si>
    <t>Pontificia Universidad Javeriana; Universidad Pedagogica y Tecnologica de Colombia (UPTC); Universite de Toulouse; Universite Federale Toulouse Midi-Pyrenees (ComUE); Institut National Polytechnique de Toulouse; Centre National de la Recherche Scientifique (CNRS); University Sergio Arboleda; Pontificia Universidad Javeriana</t>
  </si>
  <si>
    <t>Sanabria, C (corresponding author), Pontificia Univ Javeriana, Bogota 110231, Colombia.;Sanabria, C (corresponding author), Univ Pedag &amp; Tecnol Colombia, Res Grp LIRA, Sogamoso 150003, Colombia.</t>
  </si>
  <si>
    <t>camilo.sanabria@javeriana.edu.co; david.florez@usa.edu.co; hubert.piquet@laplace.univ-tlse.fr; rdiez@javeriana.edu.co</t>
  </si>
  <si>
    <t>Piquet, Hubert/D-4396-2013</t>
  </si>
  <si>
    <t>Piquet, Hubert/0000-0002-3736-2676; Florez, David/0000-0002-1666-1247; Sanabria, Camilo/0000-0002-1102-3211</t>
  </si>
  <si>
    <t>Minciencias [294-2016]; French-Colombian Cooperation ECOSNord/Minciencias; Departamento de Boyaca Scholarship Program [779]</t>
  </si>
  <si>
    <t>Minciencias; French-Colombian Cooperation ECOSNord/Minciencias; Departamento de Boyaca Scholarship Program</t>
  </si>
  <si>
    <t>This work was supported in part by the Minciencias under Contract 294-2016, in part by the French-Colombian Cooperation ECOSNord/Minciencias, and in part by the Departamento de Boyaca Scholarship Program under Grant 779 for the Ph.D. studies of one of the authors. Recommended for publication by Associate Editor M. Ponce-Silva.</t>
  </si>
  <si>
    <t>IEEE-INST ELECTRICAL ELECTRONICS ENGINEERS INC</t>
  </si>
  <si>
    <t>PISCATAWAY</t>
  </si>
  <si>
    <t>445 HOES LANE, PISCATAWAY, NJ 08855-4141 USA</t>
  </si>
  <si>
    <t>0885-8993</t>
  </si>
  <si>
    <t>1941-0107</t>
  </si>
  <si>
    <t>IEEE T POWER ELECTR</t>
  </si>
  <si>
    <t>IEEE Trans. Power Electron.</t>
  </si>
  <si>
    <t>10.1109/TPEL.2021.3122934</t>
  </si>
  <si>
    <t>Engineering, Electrical &amp; Electronic</t>
  </si>
  <si>
    <t>XU0JQ</t>
  </si>
  <si>
    <t>WOS:000733963100066</t>
  </si>
  <si>
    <t>Aguilera-Prado, M; Salcedo, O; Fernandez, EA</t>
  </si>
  <si>
    <t>Aguilera-Prado, Marco; Salcedo, Octavio; Avendano Fernandez, Eduardo</t>
  </si>
  <si>
    <t>Citation and Similarity in Academic Texts: Colombian Engineering Case</t>
  </si>
  <si>
    <t>CYBERNETICS AND INFORMATION TECHNOLOGIES</t>
  </si>
  <si>
    <t>Latent semantic analysis; text similarity; citation determinants; bibliometrics</t>
  </si>
  <si>
    <t>LATENT SEMANTIC ANALYSIS</t>
  </si>
  <si>
    <t>This article provides the results of a citation determinants model for a set of academic engineering texts from Colombia. The model establishes the determinants of the probability that a text receives at least one citation through the relationship among previous citations, journal characteristics, the author and the text. Through a similarity matrix constructed by Latent Semantic Analysis (LSA), a similarity variable has been constructed to capture the fact that the texts have similar titles, abstracts and keywords to the most cited texts. The results show: i) joint significance of the variables selected to characterize the text; (ii) direct relationship of the citation with similarity of keywords, published in an IEEE journal, research article, more than one author; and authored by at least one foreign author; and iii) inverse relationship between the probability of citation with the similarity of abstracts, published in 2016 or 2017, and published in a Colombian journal.</t>
  </si>
  <si>
    <t>[Aguilera-Prado, Marco] Univ Agustiniana, Vice Rectorate Res, Bogota, Colombia; [Salcedo, Octavio] Univ Dist Francisco Jose de Caldas, Fac Engn, Bogota, Colombia; [Avendano Fernandez, Eduardo] Univ Pedag &amp; Tecnol Colombia, Fac Engn, Tunja, Colombia</t>
  </si>
  <si>
    <t>Universidad Distrital Francisco Jose de Caldas; Universidad Pedagogica y Tecnologica de Colombia (UPTC)</t>
  </si>
  <si>
    <t>Aguilera-Prado, M (corresponding author), Univ Agustiniana, Vice Rectorate Res, Bogota, Colombia.</t>
  </si>
  <si>
    <t>marco.aguilera@uniagustiniana.edu.co; osalcedo@udistrital.edu.co; eduardo.avendano@uptc.edu.co</t>
  </si>
  <si>
    <t>INST INFORMATION &amp; COMMUNICATION TECHNOLOGIES-BULGARIAN ACAD SCIENCES</t>
  </si>
  <si>
    <t>2, ACAD G BONCHEV, SOFIA, 1113, BULGARIA</t>
  </si>
  <si>
    <t>1311-9702</t>
  </si>
  <si>
    <t>1314-4081</t>
  </si>
  <si>
    <t>CYBERN INF TECHNOL</t>
  </si>
  <si>
    <t>Cybern. Inf. Technol.</t>
  </si>
  <si>
    <t>MAR 1</t>
  </si>
  <si>
    <t>10.2478/cait-2022-0006</t>
  </si>
  <si>
    <t>Computer Science, Information Systems</t>
  </si>
  <si>
    <t>0J3MK</t>
  </si>
  <si>
    <t>WOS:000780009500006</t>
  </si>
  <si>
    <t>Hastamorir, MAS; Garcia, PMA; Rojas-Sepulveda, CM</t>
  </si>
  <si>
    <t>Sanchez Hastamorir, Marlon A.; Arguello Garcia, Pedro M.; Rojas-Sepulveda, Claudia M.</t>
  </si>
  <si>
    <t>Social differentiation and living conditions in the Cercado Grande de los Santuarios (2350-450 B.P.), a political and ritual center in the Altiplano Cundiboyacense, Colombia</t>
  </si>
  <si>
    <t>LATIN AMERICAN ANTIQUITY</t>
  </si>
  <si>
    <t>Muisca chiefdoms; funerary patterns; physiological stress; physical activity</t>
  </si>
  <si>
    <t>STANDARDIZED SCORING METHOD; POROTIC HYPEROSTOSIS; CRIBRA ORBITALIA; AGE ESTIMATION; PHASE-ANALYSIS; PALEOEPIDEMIOLOGY; ENTHESES; PROPOSAL; DISEASE; RIB</t>
  </si>
  <si>
    <t>This study explores the archaeological manifestations of power and social differentiation between Muisca societies that inhabited the north of the Altiplano Cundiboyacense, central Colombia, described as hierarchical and inequitable groups by the Spanish during the sixteenth century. The relationship between social differentiation and living conditions of the people buried in the Cercado Grande de los Santuarios (Tunja), an important political and ritual center, are explored through indicators of social inequality, expressed by grave goods (presence or absence of vessels, composition) and artificial cranial modification, and through indicators of both physiological stress (porotic hyperostosis, cribra orbitalia, enamel hypoplasia, periosteal reaction) and physical activity (entheseal changes and degenerative joint disease). The results suggest that the population did not exhibit radical differences in their living conditions. These findings suggest that if social differentiation really existed, it was not accompanied by a distinction involving true privilege or separation of the dominant group from the tasks of daily life.</t>
  </si>
  <si>
    <t>[Sanchez Hastamorir, Marlon A.] Direcc Tecn Prospecc Recuperac &amp; Identificac, Unidad Busqueda Personas Dadas Desaparecidas, Bogota, Colombia; [Arguello Garcia, Pedro M.] Univ Pedag &amp; Tecnol Colombia, Escuela Ciencias Sociales, Tunja, Colombia; [Rojas-Sepulveda, Claudia M.] Univ Nacl Colombia, Dept Antropol, Bogota, Colombia</t>
  </si>
  <si>
    <t>Hastamorir, MAS (corresponding author), Direcc Tecn Prospecc Recuperac &amp; Identificac, Unidad Busqueda Personas Dadas Desaparecidas, Bogota, Colombia.</t>
  </si>
  <si>
    <t>msanchezh@ubpdbusquedadesaparecidos.co; pedro.argtello@uptc.edu.co; cmrojass@unal.edu.co</t>
  </si>
  <si>
    <t>CAMBRIDGE UNIV PRESS</t>
  </si>
  <si>
    <t>32 AVENUE OF THE AMERICAS, NEW YORK, NY 10013-2473 USA</t>
  </si>
  <si>
    <t>1045-6635</t>
  </si>
  <si>
    <t>2325-5080</t>
  </si>
  <si>
    <t>LAT AM ANTIQ</t>
  </si>
  <si>
    <t>Lat. Am. Antiq.</t>
  </si>
  <si>
    <t>10.1017/laq.2022.41</t>
  </si>
  <si>
    <t>Anthropology; Archaeology</t>
  </si>
  <si>
    <t>Social Science Citation Index (SSCI); Arts &amp;amp; Humanities Citation Index (A&amp;amp;HCI)</t>
  </si>
  <si>
    <t>1S0AV</t>
  </si>
  <si>
    <t>WOS:000803723400001</t>
  </si>
  <si>
    <t>Higuera-Martinez, OI; Corazza, GE; Fernandez-Samaca, L</t>
  </si>
  <si>
    <t>Higuera-Martinez, Oscar Ivan; Corazza, Giovanni Emanuele; Fernandez-Samaca, Liliana</t>
  </si>
  <si>
    <t>PBL in the space-time continuum for engineering education</t>
  </si>
  <si>
    <t>EUROPEAN JOURNAL OF ENGINEERING EDUCATION</t>
  </si>
  <si>
    <t>ST-Continuum; creativity; engineering education; problem-based learning; project-based learning</t>
  </si>
  <si>
    <t>CREATIVITY; MODEL; STUDENTS</t>
  </si>
  <si>
    <t>This article presents how Problem- and Project-Based Learning (PBL) in engineering education can exploit the theoretical framework of the Space-Time (ST)-Continuum, according to which educational contexts can be classified in terms of the tightness vs. looseness of the relevant conceptual space S and available time T. By crossing these two dimensions, four quadrants are obtained in the ST-Continuum: tight space and tight time, loose space and tight time, tight space and loose time, loose space and loose time. Different pedagogies are adaptive to different quadrants. We show how PBL can be mapped onto the ST-Continuum depending on the context characteristics or the chosen problem or project. Further, this article discusses how the intelligence and creativity constructs can be developed through diverse educational scenarios, giving examples of PBL interventions that can be located in different quadrants. Moreover, the analysis shows how through suitable planning, it is possible to have educational activities that consider all the quadrants of the ST-Continuum, even in traditional education curricula or teacher-centered approaches. Finally, the article discusses how teaching practices can promote intelligence and creativity in the curricula at different PBL organisational levels depending on their relationship with the ST-Continuum.</t>
  </si>
  <si>
    <t>[Higuera-Martinez, Oscar Ivan; Fernandez-Samaca, Liliana] Univ Pedag &amp; Tecnol Colombia, Signal Proc Res Grp DSP UPTC, Sogamoso, Colombia; [Corazza, Giovanni Emanuele] Univ Bologna, DEI Marconi Inst Creat, Bologna, Italy; [Corazza, Giovanni Emanuele] Univ Paris Cite, LaPEA, Boulogne Billancourt, France; [Corazza, Giovanni Emanuele] Univ Gustave Eiffel, Boulogne Billancourt, France</t>
  </si>
  <si>
    <t>Universidad Pedagogica y Tecnologica de Colombia (UPTC); University of Bologna; UDICE-French Research Universities; Universite Paris Cite</t>
  </si>
  <si>
    <t>Higuera-Martinez, OI (corresponding author), Univ Pedag &amp; Tecnol Colombia, Signal Proc Res Grp DSP UPTC, Sogamoso, Colombia.</t>
  </si>
  <si>
    <t>oscar.higuera@uptc.edu.co</t>
  </si>
  <si>
    <t>CORAZZA, GIOVANNI EMANUELE/0000-0002-6898-4515</t>
  </si>
  <si>
    <t>0304-3797</t>
  </si>
  <si>
    <t>1469-5898</t>
  </si>
  <si>
    <t>EUR J ENG EDUC</t>
  </si>
  <si>
    <t>Eur. J. Eng. Educ.</t>
  </si>
  <si>
    <t>10.1080/03043797.2022.2149388</t>
  </si>
  <si>
    <t>6N9JS</t>
  </si>
  <si>
    <t>WOS:000889865400001</t>
  </si>
  <si>
    <t>Cuenu-Cabezas, F; Abonia, R; Castano, JAG</t>
  </si>
  <si>
    <t>Cuenu-Cabezas, Fernando; Abonia, Rodrigo; Gomez Castano, Jovanny A.</t>
  </si>
  <si>
    <t>Crystalline Derivatives of Dipyrazolo-1,5-diazocine and Dipyrazolopyrimidine: A Case of Unexpected Synthesis and Isostructural Polymorphism</t>
  </si>
  <si>
    <t>Schiff bases; polymorphism; 1; 5-diazocine; pyrazolopyrimidine; phenylmethanimines</t>
  </si>
  <si>
    <t>HIRSHFELD SURFACE-ANALYSIS; STRUCTURAL-CHARACTERIZATION; QUANTITATIVE-ANALYSIS; SCHIFF-BASES; CRYSTALEXPLORER; VISUALIZATION; ENERGIES</t>
  </si>
  <si>
    <t>Pyrazole-phenylmethanimines (Shiff bases), Py-N=CH-Ph, form molecular crystals whose supramolecular and self-assembly properties can be tuned according to the substitution made on the aromatic and pyrazole rings. In pursuit of the first pyrazole-pyridinemethanimine member, Py-N=CH-Pyr, by following the well-known synthetic scheme for these Shiff bases, two hitherto unknown crystalline derivatives of dipyrazolo-1,5-diazocine and dipyrazolopyrimidine were obtained instead, this depending on the use or not of acetic acid as the catalyst. 1,5-diazocine crystallizes in a single P-1 triclinic packing system (Z = 2, Z ' = 1), while dipyrazolopyrimidine exhibits isostructural dimorphic behavior by adopting two (pale pink and yellow) alike P2(1)/c monoclinic systems (both Z = 4, Z ' = 1) as a function of the solvent used. Crystal structures were resolved by means of X-ray diffraction technique and their intramolecular, intermolecular, and supramolecular assemblies analyzed with the assistance of decorated Hirshfeld surfaces and the topology study of electron density using the quantum-theory of atoms in molecules (QTAIM). Although both dipyrazolopyrimidine polymorphs are stabilized by the same type of noncovalent motifs, the pale pink crystal has a slightly more compact structure, with more efficient inter- and intramolecular interactions.</t>
  </si>
  <si>
    <t>[Cuenu-Cabezas, Fernando] Univ Quindio, Lab Quim Inorgan &amp; Catalisis, Programa Quim, Carrera 15 Calle 12 Norte, Armenia 630004, Colombia; [Abonia, Rodrigo] Univ Valle, Dept Quim, Grp Invest Compuestos Heterociclicos, Calle 13 100-00,AA 25360, Cali 76001, Colombia; [Gomez Castano, Jovanny A.] Univ Pedagog &amp; Tecnol Colombia UPTC, Grp Quim Fis Mol &amp; Modelamiento Comput QUIMOL, Fac Ciencias, Ave Cent Norte, Tunja 050030, Colombia</t>
  </si>
  <si>
    <t>Universidad del Quindio; Universidad del Valle; Universidad Pedagogica y Tecnologica de Colombia (UPTC)</t>
  </si>
  <si>
    <t>Cuenu-Cabezas, F (corresponding author), Univ Quindio, Lab Quim Inorgan &amp; Catalisis, Programa Quim, Carrera 15 Calle 12 Norte, Armenia 630004, Colombia.;Castano, JAG (corresponding author), Univ Pedagog &amp; Tecnol Colombia UPTC, Grp Quim Fis Mol &amp; Modelamiento Comput QUIMOL, Fac Ciencias, Ave Cent Norte, Tunja 050030, Colombia.</t>
  </si>
  <si>
    <t>fercuenu@uniquindio.edu.co; rodrigo.abonia@correounivalle.edu.co; jovanny.gomez@uptc.edu.co</t>
  </si>
  <si>
    <t>Gómez Castaño, Jovanny A./0000-0002-6654-1315; CUENU-CABEZAS, FERNANDO/0000-0003-2997-6720; ABONIA, RODRIGO/0000-0003-3256-0961</t>
  </si>
  <si>
    <t>Universidad del Quindio</t>
  </si>
  <si>
    <t>This research was funded by the Universidad del Quindio through the project 1050.</t>
  </si>
  <si>
    <t>10.3390/cryst12050714</t>
  </si>
  <si>
    <t>1Q3KI</t>
  </si>
  <si>
    <t>WOS:000802590400001</t>
  </si>
  <si>
    <t>Lizarazo, GAA; Vargas, SMZ; Garcia, AWV</t>
  </si>
  <si>
    <t>Lizarazo, Guillermo Alejandro Arcvalo; Vargas, Sandra Milena Zambrano; Vazquez Garcia, Angel Wilhelm</t>
  </si>
  <si>
    <t>Pecking Order Theory for capital structure analysis: Application in three sectors of the Colombian economy</t>
  </si>
  <si>
    <t>REVISTA FINANZAS Y POLITICA ECONOMICA</t>
  </si>
  <si>
    <t>capital structure; Pecking Order Theory; debt level; tourism; transport; gross domestic product; agricultural economics</t>
  </si>
  <si>
    <t>DECISIONS</t>
  </si>
  <si>
    <t>This study aims to verify whether managers in the agricultural, transport and storage, and tourism and food sectors of Colombia follow a hierarchy of preferences or Pecking Order when defining the capital structure of their companies. Based on Bloomberg and EMIS, the financial statements of 1,548 firms from 2017 to 2020 were used to build three panel data analysis models with fixed effects, one per sector. The findings show a negative relationship between profitability and retained earnings with level of indebtedness in the agricultural and tourism and food sectors. They also indicate that the level of indebtedness of the tourism and food sector increased with the economic crisis generated by COVID-19, while it decreased in the agricultural sector. The conclusions suggest that in these two sectors there is a hierarchy of preferences, but not so in the transport and storage sector, where only a negative relationship with profitability is observed.</t>
  </si>
  <si>
    <t>[Lizarazo, Guillermo Alejandro Arcvalo] Univ Pedag &amp; Tecnol Colombia, Adm Organizac, Tunja, Colombia; [Vargas, Sandra Milena Zambrano] Univ Autonoma Queretaro, Adm, Santiago de Queretaro, Mexico; [Vargas, Sandra Milena Zambrano] Univ Pedag &amp; Tecnol Colombia, Tunja, Colombia; [Vargas, Sandra Milena Zambrano] Grp Invest Ideas, Bogota, Colombia; [Vazquez Garcia, Angel Wilhelm] Univ Autonoma Metropolitana, Estudios Org, Ciudad De Mexico, Mexico; [Vazquez Garcia, Angel Wilhelm] Univ Autonoma Metropolitana, Dept Prod Econ, Unidad Xochimilco, Ciudad De Mexico, Mexico</t>
  </si>
  <si>
    <t>Universidad Pedagogica y Tecnologica de Colombia (UPTC); Universidad Autonoma de Queretaro; Universidad Pedagogica y Tecnologica de Colombia (UPTC); Universidad Autonoma Metropolitana - Mexico; Universidad Autonoma Metropolitana - Mexico</t>
  </si>
  <si>
    <t>Lizarazo, GAA (corresponding author), Univ Pedag &amp; Tecnol Colombia, Adm Organizac, Tunja, Colombia.</t>
  </si>
  <si>
    <t>guillermo.arevaloOl@uptc.edu.co; zambrano01@uptc.edu.co; avazquez@correo.xoc.uam.mx</t>
  </si>
  <si>
    <t>UNIV CATOLICA COLOMBIA, FAC ECONOMIA</t>
  </si>
  <si>
    <t>AV CARACAS 46-72, BOGOTA, 00000, COLOMBIA</t>
  </si>
  <si>
    <t>2248-6046</t>
  </si>
  <si>
    <t>2011-7663</t>
  </si>
  <si>
    <t>REV FINANZAS POLITIC</t>
  </si>
  <si>
    <t>Rev. Finanzas Politica Econ.</t>
  </si>
  <si>
    <t>10.14718/revfinanzpolitecon.v14.n1.2022.5</t>
  </si>
  <si>
    <t>3Q4YB</t>
  </si>
  <si>
    <t>gold, Green Submitted, Green Published</t>
  </si>
  <si>
    <t>WOS:000838237600005</t>
  </si>
  <si>
    <t>Molano, SM; Cardenas, DP; Gomez, HS; Alvarado, DM; Galindo, AF; Sanabria, JF; Gomez-Neita, JS</t>
  </si>
  <si>
    <t>Mauricio Molano, Sergio; Paola Cardenas, Diana; Snaider Gomez, Howard; Mairely Alvarado, Dayana; Fernando Galindo, Andres; Fabian Sanabria, Jeisson; Sebastian Gomez-Neita, Juan</t>
  </si>
  <si>
    <t>Assessment of glacier retreat in the Sierra Nevada del Cocuy, Colombia based on multisensor image classification</t>
  </si>
  <si>
    <t>Andes; Climate change; Climate variability; Accuracy; Supervised classification</t>
  </si>
  <si>
    <t>SNOW-COVER; ICE-AGE; TROPICAL ANDES; ACCURACY; AREA; CORDILLERA; AMERICA; CLIMATE; BASIN; TIME</t>
  </si>
  <si>
    <t>The Andean glaciers represent one of the most important water sources in South America. They have been significantly reduced in recent decades because of climate change and climate variability. The most extensive snow-capped peak in the Colombian Andes Mountains corresponds to the Sierra Nevada del Cocuy (SRC), a mountain range located toward the northeast of the Eastern Cordillera with snow at altitudes ranging from approximately 4800 to 5345 meters above sea level (masl). From Landsat-4 (1987), Landsat-5 (1991, 1997, 2009), Landsat-7 (2000, 2003), Landsat-8 (2014, 2016, 2017), and Sentinel-2 (2019, 2021) satellite imagery, a pixel-oriented classification was performed using the PCI Geomatics software, defining four cover types: glacier area, soil-rock, vegetation, and water. For accuracy validation, high spatial resolution satellite imagery (Google Earth similar to 1.0 m and Planet's high-resolution, analysis-ready mosaics of the world's tropics similar to 4.7 m) and field control points were used as reference data. Overall accuracy values (all coverages) ranged from 86-99%, with accuracy for glacier area coverage between 97-100%. The decrease in the glacier area is of 1099.59 ha over 34 years (1987-2021). This analysis revealed that the glacier area decreased by approximately 37.92% regarding the first scene (1987). According to this trend, the SRC glacier would be extinct by 2048. The rate of glacier retreat is mainly influenced by factors related to global warming, such as the increase in mean annual temperature and the decrease in precipitation rates and climate variability factors such as the El Nino phenomenon.</t>
  </si>
  <si>
    <t>[Mauricio Molano, Sergio; Paola Cardenas, Diana; Snaider Gomez, Howard; Mairely Alvarado, Dayana; Sebastian Gomez-Neita, Juan] Univ Fed Para, Inst Geociencias, Programa Posgrad Geol &amp; Geoquim, Belem, Para, Brazil; [Fernando Galindo, Andres; Fabian Sanabria, Jeisson; Sebastian Gomez-Neita, Juan] Univ Pedag &amp; Tecnol Colombia, Escuela Ingn Geol, Grp Invest Ingn Geol, Sogamoso, Colombia; [Sebastian Gomez-Neita, Juan] Univ Fed Rio Grande do Sul, Inst Geociencias, Programa Posgrad Geociencias, Porto Alegre, RS, Brazil</t>
  </si>
  <si>
    <t>Universidade Federal do Para; Universidad Pedagogica y Tecnologica de Colombia (UPTC); Universidade Federal do Rio Grande do Sul</t>
  </si>
  <si>
    <t>Gomez-Neita, JS (corresponding author), Univ Fed Para, Inst Geociencias, Programa Posgrad Geol &amp; Geoquim, Belem, Para, Brazil.;Gomez-Neita, JS (corresponding author), Univ Pedag &amp; Tecnol Colombia, Escuela Ingn Geol, Grp Invest Ingn Geol, Sogamoso, Colombia.;Gomez-Neita, JS (corresponding author), Univ Fed Rio Grande do Sul, Inst Geociencias, Programa Posgrad Geociencias, Porto Alegre, RS, Brazil.</t>
  </si>
  <si>
    <t>sergio.cardenas@ig.ufpa.br; diana.ruiz@ig.ufpa.br; howard.cepeda@ig.ufpa.br; dayana.sierra@ig.ufpa.br; andres.galindo@uptc.edu.co; jeissonsanabria48@gmail.com; juan.gomezneita@uptc.edu.co</t>
  </si>
  <si>
    <t>Molano Cardenas, Sergio Mauricio/0000-0002-3968-8055; Alvarado Sierra, Dayana Mairely/0000-0002-7843-8809; Gomez Neita, Juan Sebastian/0000-0001-9967-7123</t>
  </si>
  <si>
    <t>10.18273/revbol.v44n1-2022002</t>
  </si>
  <si>
    <t>YW9NY</t>
  </si>
  <si>
    <t>WOS:000753738800003</t>
  </si>
  <si>
    <t>Perinan-Morales, AA; Viafara-Gonzalez, JJ; Arcila-Valencia, JA</t>
  </si>
  <si>
    <t>Andres Perinan-Morales, Abel; Jairo Viafara-Gonzalez, John; Alexander Arcila-Valencia, Jose</t>
  </si>
  <si>
    <t>Triggering Factors that Reinforce or Change EFL Preservice Teachers' Beliefs During the Practicum</t>
  </si>
  <si>
    <t>PROFILE-ISSUES IN TEACHERS PROFESSIONAL DEVELOPMENT</t>
  </si>
  <si>
    <t>English teaching; preservice teachers; teachers' beliefs; teaching practicum</t>
  </si>
  <si>
    <t>CLASSROOM MANAGEMENT</t>
  </si>
  <si>
    <t>This exploratory case study seeks to examine the role that specific factors exert on the evolution of beliefs in preservice English teachers during their final teaching practicum. Data were collected through reflections, interviews, focus groups, and observations. The findings revealed that three groups of factors affect belief evolution during the practicum: participant subjectivity, contextual circumstances, and university support community. Subjectivities encompassed preservice teachers' fears, reactions to reallife teaching challenges, and enthusiasm to become teachers. Contextual circumstances incorporated classroom circumstances and cooperating teachers. The university support community concerned their peers and the university tutor. Implications discuss the relevance of curricular and reflective agendas that enrich the education of future teachers through beliefs exploration.</t>
  </si>
  <si>
    <t>[Andres Perinan-Morales, Abel] Inst Educ Juan Bautista Salle, Florencia, Colombia; [Jairo Viafara-Gonzalez, John] Univ Pedag &amp; Tecnol Colombia, Tunja, Colombia; [Alexander Arcila-Valencia, Jose] Inst Educ Sagrados Corazones, Florencia, Colombia</t>
  </si>
  <si>
    <t>Perinan-Morales, AA (corresponding author), Inst Educ Juan Bautista Salle, Florencia, Colombia.</t>
  </si>
  <si>
    <t>aperinan@juaanblasalle.edu.co; john.viafara@uptc.edu.co; jarcila@udla.edu.co</t>
  </si>
  <si>
    <t>Viafara Gonzalez, John Jairo/0000-0002-8409-6016</t>
  </si>
  <si>
    <t>UNIV NACIONAL COLOMBIA, FACULTAD CIENCIAS HUMANAS</t>
  </si>
  <si>
    <t>CIUDAD UNIV, DEPT LENGUAS EXTRANJERAS, BOGOTA, 00000, COLOMBIA</t>
  </si>
  <si>
    <t>1657-0790</t>
  </si>
  <si>
    <t>2256-5760</t>
  </si>
  <si>
    <t>PROFILE-BOGOTA</t>
  </si>
  <si>
    <t>Profile-Iss. Teach. Prof. Dev.</t>
  </si>
  <si>
    <t>10.15446/profile.v24n1.90342</t>
  </si>
  <si>
    <t>1X5MB</t>
  </si>
  <si>
    <t>WOS:000807496600002</t>
  </si>
  <si>
    <t>Alcover, CM; Nazar, G; Bargsted, M; Ramirez-Vielma, R; Pulido, N; Rodriguez, L</t>
  </si>
  <si>
    <t>Alcover, Carlos-Maria; Nazar, Gabriela; Bargsted, Mariana; Ramirez-Vielma, Raul; Pulido, Ninfa; Rodriguez, Lucia</t>
  </si>
  <si>
    <t>Transcultural Validation of the Nordic Age Discrimination Scale for the Spanish-Speaking Working Populations</t>
  </si>
  <si>
    <t>SPANISH JOURNAL OF PSYCHOLOGY</t>
  </si>
  <si>
    <t>age discrimination at work; Nordic Age Discrimination Scale (NADS); older workers; validation</t>
  </si>
  <si>
    <t>OLDER WORKERS; MEASUREMENT INVARIANCE; PSYCHOSOCIAL FACTORS; COMMON STEREOTYPES; SELF-PERCEPTIONS; FIT INDEXES; WORKPLACE; COMPETENCE; COVARIANCE; INTENTIONS</t>
  </si>
  <si>
    <t>Negative stereotypes about older workers can result in different types of age discrimination. The aim of this study was to run a transcultural adaptation and validation of the Nordic Age Discrimination Scale (NADS) into Spanish. Three independent samples of Chilean (N = 301), Colombian (N = 150), and Spanish (N = 209) workers over the age of 45, from different sectors and professional categories, answered a questionnaire including the NADS scale, measures of perceptions of inequality, workplace harassment and several scales related to outcome variables to test criterion and construct validity. The reliability index for the NADS was .85, a similar value for both Cronbach's alpha (alpha) and McDonald's omega (omega). CFA by country suggest good fit of this single-dimension structure in a final version of 5 items, and it presents scalar invariance; using the modification indices, partial invariance is achieved at the level of the variance of the errors. Both criterion and construct validity were verified, with strong evidence for criterion validity, and moderate results for construct validity. Therefore, the Spanish version of NADS had a single-dimension structure and adequate psychometric properties being a useful tool in measuring perceptions of age discrimination in different countries.</t>
  </si>
  <si>
    <t>[Alcover, Carlos-Maria] Univ Rey Juan Carlos, Madrid, Spain; [Nazar, Gabriela; Ramirez-Vielma, Raul] Univ Concepcion, Concepcion, Chile; [Bargsted, Mariana] Univ Adolfo Ibanez, Santiago, Chile; [Pulido, Ninfa; Rodriguez, Lucia] Univ Pedag &amp; Tecnol Colombia, Tunja, Colombia</t>
  </si>
  <si>
    <t>Universidad Rey Juan Carlos; Universidad de Concepcion; Universidad Adolfo Ibanez; Universidad Pedagogica y Tecnologica de Colombia (UPTC)</t>
  </si>
  <si>
    <t>Ramirez-Vielma, R (corresponding author), Univ Concepcion, Dept Psicol, Concepcion, Chile.</t>
  </si>
  <si>
    <t>rauramir@udec.cl</t>
  </si>
  <si>
    <t>Ramírez-Vielma, Raúl/P-8721-2014; Bargsted, Mariana/A-6373-2016</t>
  </si>
  <si>
    <t>Ramírez-Vielma, Raúl/0000-0001-9231-4944; Pulido Moreno, Ninfa del Carmen/0000-0002-9825-0037; Bargsted, Mariana/0000-0002-9282-0561; Alcover, Carlos-Maria/0000-0001-9632-9107</t>
  </si>
  <si>
    <t>Concurso Atraccion de Capital Humano Avanzado del Extranjero, Modalidad Estadias Cortas (MEC), Convocatoria [MEC80190085]</t>
  </si>
  <si>
    <t>Concurso Atraccion de Capital Humano Avanzado del Extranjero, Modalidad Estadias Cortas (MEC), Convocatoria</t>
  </si>
  <si>
    <t>This work was supported by the Concurso Atraccion de Capital Humano Avanzado del Extranjero, Modalidad Estadias Cortas (MEC), Convocatoria 2019 (Grant Number MEC80190085).</t>
  </si>
  <si>
    <t>1138-7416</t>
  </si>
  <si>
    <t>1988-2904</t>
  </si>
  <si>
    <t>SPAN J PSYCHOL</t>
  </si>
  <si>
    <t>Span. J. Psychol.</t>
  </si>
  <si>
    <t>MAR 28</t>
  </si>
  <si>
    <t>e15</t>
  </si>
  <si>
    <t>10.1017/SJP.2022.10</t>
  </si>
  <si>
    <t>Psychology; Psychology, Multidisciplinary</t>
  </si>
  <si>
    <t>ZZ8BN</t>
  </si>
  <si>
    <t>WOS:000773490000001</t>
  </si>
  <si>
    <t>Garcia-Delgado, H; Velandia, F; Bermudez, MA; Audemard, F</t>
  </si>
  <si>
    <t>Garcia-Delgado, Helbert; Velandia, Francisco; Bermudez, Mauricio A.; Audemard, Franck</t>
  </si>
  <si>
    <t>The present-day tectonic regimes of the Colombian Andes and the role of slab geometry in intraplate seismicity</t>
  </si>
  <si>
    <t>INTERNATIONAL JOURNAL OF EARTH SCIENCES</t>
  </si>
  <si>
    <t>Northern Andes; Focal mechanisms; Stress tensor; Flat slab; Neotectonics</t>
  </si>
  <si>
    <t>CRUSTAL STRESS PATTERN; NORTHERN ANDES; EASTERN CORDILLERA; SOUTH-AMERICA; CAUCA VALLEY; FOCAL MECHANISMS; DEFORMATION; FAULT; SUBDUCTION; EARTHQUAKE</t>
  </si>
  <si>
    <t>Understanding the present-day crustal stress field is fundamental to comprehending active deformation in complex intraplate settings. This is especially true in the Colombian North Andean Block (C-NAB), where the Nazca, Caribbean, and South American plates interact. Our main goals of this study are: (1) to improve our understanding of seismotectonics of the C-NAB, (2) to test the hypothesis that slab geometry controls intraplate stresses, and (3) to evaluate the coherence between crustal stresses and strain field data obtained from GPS data. We show that south of the slab tear that separates the Nazca Plate from a northern plate (Caribbean Plate? Coiba Microplate?), a maximum horizontal compression (SHmax) trending N83 degrees E is associated with a regional strike-slip faulting regime. In this region, the SHmax responds to the oblique subduction of the Nazca Plate, thus favoring the northeastern escape of the C-NAB. Oppositely, north of the slab tear, clockwise rotation in the SHmax to an NW-SE direction (N111 degrees E) is associated with a regional thrust-faulting tectonic regime. Overall, the correspondence between SHmax and subducting slabs underscores relations between plate geometry, plate motion, and intraplate stresses. Finally, significant angular differences between the SHmax and horizontal shortening obtained from GPS displacements are important north of the slab tear and the western forearc region. We hypothesize that north of the slab tear, strain accumulation is enhanced due to the coupling between the upper plate and flat-slab subduction, causing clockwise rigid body rotation of the C-NAB.</t>
  </si>
  <si>
    <t>[Garcia-Delgado, Helbert; Bermudez, Mauricio A.] Syracuse Univ, Dept Earth &amp; Environm Sci, Syracuse, NY 13244 USA; [Velandia, Francisco] Univ Ind Santander, Escuela Geol, Bucaramanga, Colombia; [Bermudez, Mauricio A.] Univ Pedag &amp; Tecnol Colombia, Escuela Ingn Geol, Sogamoso, Colombia; [Audemard, Franck] Fdn Venezolana Invest Sismol, Caracas, Venezuela</t>
  </si>
  <si>
    <t>Syracuse University; Universidad Industrial de Santander; Universidad Pedagogica y Tecnologica de Colombia (UPTC)</t>
  </si>
  <si>
    <t>Garcia-Delgado, H (corresponding author), Syracuse Univ, Dept Earth &amp; Environm Sci, Syracuse, NY 13244 USA.</t>
  </si>
  <si>
    <t>helbertgarciad@gmail.com</t>
  </si>
  <si>
    <t>Garcia-Delgado, Helbert/0000-0002-7714-7161; Velandia, Francisco/0000-0001-6263-0903; Bermudez, Mauricio A/0000-0003-0584-4790; Audemard, Franck/0000-0003-2046-5916</t>
  </si>
  <si>
    <t>1437-3254</t>
  </si>
  <si>
    <t>1437-3262</t>
  </si>
  <si>
    <t>INT J EARTH SCI</t>
  </si>
  <si>
    <t>Int. J. Earth Sci.</t>
  </si>
  <si>
    <t>10.1007/s00531-022-02227-9</t>
  </si>
  <si>
    <t>Geosciences, Multidisciplinary</t>
  </si>
  <si>
    <t>4L1YN</t>
  </si>
  <si>
    <t>WOS:000828443300001</t>
  </si>
  <si>
    <t>Cardoso, RDD; Rodriguez, MAM; Juvinao, DDL</t>
  </si>
  <si>
    <t>Cardoso, Rosalba Dalleth Doria; Rodriguez, Marcos Aurelio Mindiola; Juvinao, Danny Daniel Lopez</t>
  </si>
  <si>
    <t>ENVIRONMENTAL SUSTAINABILITY IN A MINING COMPANY DEDICATED TO THE EXPLOITATION OF STONE AGGREGATES IN ALBANIA, LA GUAJIRA</t>
  </si>
  <si>
    <t>INTERCIENCIA</t>
  </si>
  <si>
    <t>INDUSTRY; IMPACT; SAND; KEY</t>
  </si>
  <si>
    <t>In order to evaluate the preconditions for environmental sustainability in a mining company dedicated to the exploitation of stone aggregates in Albania, La Guajira, Colombia, a descriptive, non-experimental, transectional field study was carried out. The environmental problems generated by the mining processes carried out in the exploitation of such aggregates were identified and the application of environmental regulations was examined, in addition to analyzing the strategies and measures of environmental management as indicators that promote environmental sustainability in the mining company. It is concluded that, to promote environmental sustainability in the mining company dedicated to the exploitation of stone aggregates it is required, fundamental, to have clarity and knowledge regarding the nature and implications of the activities of the mines that exploit them, in addition to the responsibilities of an environmental nature that derive from its mining activities.</t>
  </si>
  <si>
    <t>[Cardoso, Rosalba Dalleth Doria; Rodriguez, Marcos Aurelio Mindiola; Juvinao, Danny Daniel Lopez] Univ La Guajira, Riohacha, Colombia; [Juvinao, Danny Daniel Lopez] Univ Pedag &amp; Tecnol Colombia, Tunja, Colombia; [Juvinao, Danny Daniel Lopez] Univ Privada Dr Rafael Belloso Chacin, Ciencias Gerenciales, Maracaibo, Venezuela</t>
  </si>
  <si>
    <t>Juvinao, DDL (corresponding author), Univ la Guajira, Fac Ingn, Grp Invest Ipaitug, Riohacha, Colombia.</t>
  </si>
  <si>
    <t>dlopezj@uniguajira.edu.co</t>
  </si>
  <si>
    <t>CARACAS</t>
  </si>
  <si>
    <t>APARTADO 51842, CARACAS 1050A, VENEZUELA</t>
  </si>
  <si>
    <t>0378-1844</t>
  </si>
  <si>
    <t>Interciencia</t>
  </si>
  <si>
    <t>1-2</t>
  </si>
  <si>
    <t>ZO9YD</t>
  </si>
  <si>
    <t>WOS:000766082200002</t>
  </si>
  <si>
    <t>Diaz-Valencia, BF; Moncada-Villa, E; Gomez, FR; Porras-Montenegro, N; Mejia-Salazar, JR</t>
  </si>
  <si>
    <t>Diaz-Valencia, Brayan Fernando; Moncada-Villa, Edwin; Gomez, Faustino Reyes; Porras-Montenegro, Nelson; Mejia-Salazar, Jorge Ricardo</t>
  </si>
  <si>
    <t>Bulk Plasmon Polariton Modes in Hyperbolic Metamaterials for Giant Enhancement of the Transverse Magneto-Optical Kerr Effect</t>
  </si>
  <si>
    <t>magneto-optical materials; TMOKE; magnetoplasmonics</t>
  </si>
  <si>
    <t>MAGNETOPLASMONIC CRYSTALS; INTEGRATION</t>
  </si>
  <si>
    <t>We demonstrate a concept for the giant enhancement of the transverse magneto-optical Kerr effect (TMOKE) using bulk plasmon polariton (BPP) modes in non-magnetic multilayer hyperbolic metamaterials (HMMs). Since the BPP modes are excited through the attenuated total reflection (ATR) mechanism, using a Si-based prism-coupler, we considered a single dielectric magneto-optical (MO) spacer between the prism and the HMM. The working wavelength was estimated, using the effective medium approach for a semi-infinite dielectric-plasmonic multilayer, considering the region where the system exhibits type II HMM dispersion relations. Analytical results, by means of the scattering matrix method (SMM), were used to explain the physical principle behind our concept. Numerical results for giant TMOKE values (close to their maximum theoretical values, +/- 1) were obtained using the finite element method (FEM), applying the commercial software COMSOL Multiphysics. Our proposal comprises a simple and experimentally feasible structure that enables the study of MO phenomena in HMMs, which may find application in future nanostructured magnetoplasmonic metamaterials for active nanophotonic devices.</t>
  </si>
  <si>
    <t>[Diaz-Valencia, Brayan Fernando; Porras-Montenegro, Nelson] Univ Valle, Dept Fis, Cali 25360, Colombia; [Moncada-Villa, Edwin] Univ Pedag &amp; Tecnol Colombia, Escuela Fis, Ave Cent Norte, Tunja 39115, Colombia; [Gomez, Faustino Reyes] Univ Sao Paulo, Inst Fis Sao Carlos, POB 369, BR-13566590 Sao Carlos, SP, Brazil; [Mejia-Salazar, Jorge Ricardo] Inst Nacl Telecomunicacoes Inatel, BR-37540000 Santa Rita Do Sapucai, Brazil</t>
  </si>
  <si>
    <t>Universidad del Valle; Universidad Pedagogica y Tecnologica de Colombia (UPTC); Universidade de Sao Paulo; Instituto Nacional de Telecomunicacoes (INATEL)</t>
  </si>
  <si>
    <t>jrmejia@inatel.br</t>
  </si>
  <si>
    <t>Mejia Salazar, J. Ricardo/I-8855-2016</t>
  </si>
  <si>
    <t>Mejia Salazar, J. Ricardo/0000-0003-1742-9957</t>
  </si>
  <si>
    <t>MCTIC, under the Brazil 6G project of the Radiocommunication Reference Center (Centro de Referencia em Radiocomunicacoes-CRR) of the National Institute of Telecommunications (Instituto Nacional de Telecomunicacoes-Inatel), Brazil [01245.010604/2020-14]; National Council for Scientific and Technological Development-CNPq [314671/2021-8]; Colombian agency COLCIENCIAS [848]; University of Sao Paulo (Postdoctoral Fellowship-PIPAE)</t>
  </si>
  <si>
    <t>MCTIC, under the Brazil 6G project of the Radiocommunication Reference Center (Centro de Referencia em Radiocomunicacoes-CRR) of the National Institute of Telecommunications (Instituto Nacional de Telecomunicacoes-Inatel), Brazil; National Council for Scientific and Technological Development-CNPq(Conselho Nacional de Desenvolvimento Cientifico e Tecnologico (CNPQ)); Colombian agency COLCIENCIAS(Departamento Administrativo de Ciencia, Tecnologia e Innovacion Colciencias); University of Sao Paulo (Postdoctoral Fellowship-PIPAE)</t>
  </si>
  <si>
    <t>Partial financial support was received from RNP, with resources from MCTIC, Grant No. 01245.010604/2020-14, under the Brazil 6G project of the Radiocommunication Reference Center (Centro de Referencia em Radiocomunicacoes-CRR) of the National Institute of Telecommunications (Instituto Nacional de Telecomunicacoes-Inatel), Brazil. We also acknowledge financial support from the Brazilian agencies National Council for Scientific and Technological Development-CNPq (314671/2021-8). B. F. Diaz-Valencia acknowledges the financial support from the Colombian agency COLCIENCIAS (Postdoctoral Fellowship-No. 848). F. Reyes-Gomez acknowledges the financial support from the University of Sao Paulo (Postdoctoral Fellowship-PIPAE).</t>
  </si>
  <si>
    <t>10.3390/molecules27165312</t>
  </si>
  <si>
    <t>4A8CE</t>
  </si>
  <si>
    <t>WOS:000845321300001</t>
  </si>
  <si>
    <t>Alvarez, DEB; Calderon, BYO</t>
  </si>
  <si>
    <t>Bohorquez Alvarez, Doris Eliana; Otalora Calderon, Betty Yanet</t>
  </si>
  <si>
    <t>Influence of Didactic Tools and Strategies in the classroom</t>
  </si>
  <si>
    <t>PANORAMA</t>
  </si>
  <si>
    <t>didactics; tools; strategies and techniques; reflection; training</t>
  </si>
  <si>
    <t>The present research seeks to describe the impact that the didactic tools and strategies of the graduates of the Bachelor's Degree in Basic Education with emphasis in Mathematics, Humanities and Spanish Language of CREAD Duitama have had, from their academic training at the normal and upetecist schools to their teaching work. Twenty graduates of the Socha and Soata teacher training colleges who are currently working in educational institutions were surveyed. The contribution of the curricula of the complementary cycles worked from the normal schools and the program in the teacher training of the last two years was analyzed; the influence of the use of didactic tools and strategies in the classroom by the graduates of the program was identified, valuing the contribution from the didactic contribution. Consequently, the generation of reflections is proposed, by means of an online questionnaire based on the implementation of teaching tools, strategies and techniques that promote significant learning. The type of research is descriptive research, as dependent variables are the didactic strategies in the classroom, as independent variables the curriculum of the teacher training program, the didactic tools and strategies, and the training in teaching competencies. The research demonstrates the importance of the use of strategies and tools, not only in physical but also in digital media in the teaching and learning process in the classroom, seen as mediating, motivating and energizing elements for the exercise of the teaching work. It can be concluded that this research demonstrates the positive impact that the degree has and that results in the contribution to the improvement of the educational quality, from the follow-up carried out from the analysis of the results, on the preparation in the different areas of the formative process.</t>
  </si>
  <si>
    <t>[Bohorquez Alvarez, Doris Eliana] UPTC, Idiomas Modernos, Boyaca, Colombia; [Otalora Calderon, Betty Yanet] UPTC, Informat Educ, Boyaca, Colombia</t>
  </si>
  <si>
    <t>Alvarez, DEB (corresponding author), UPTC, Idiomas Modernos, Boyaca, Colombia.</t>
  </si>
  <si>
    <t>doris.bohorquez@uptc.edu.co; betty.otalora@uptc.edu.co</t>
  </si>
  <si>
    <t>INST UNIV POLITECNICO GRANCOLOMBIANO</t>
  </si>
  <si>
    <t>CALLE 57 NUMERO 3-00 ESTE BLOQUE A, PRIMER PISO, BOGOTA, 00000, COLOMBIA</t>
  </si>
  <si>
    <t>1909-7433</t>
  </si>
  <si>
    <t>2145-308X</t>
  </si>
  <si>
    <t>Panarama</t>
  </si>
  <si>
    <t>3F2KD</t>
  </si>
  <si>
    <t>WOS:000830498600001</t>
  </si>
  <si>
    <t>Reales, TDM; Pena, CGF; Vasquez, HT</t>
  </si>
  <si>
    <t>Mendoza Reales, Teresa de Jesus; Florez Pena, Carmen Graciela; Torres Vasquez, Henry</t>
  </si>
  <si>
    <t>Comprehensive Reparation for the Unborn Victims of the Colombian Armed Conflict</t>
  </si>
  <si>
    <t>PROLEGOMENOS-DERECHOS Y VALORES</t>
  </si>
  <si>
    <t>internal conflict; transitional justice; repair; nasciturus; victims</t>
  </si>
  <si>
    <t>in some legislations, the unborn child is considered a person, as a result of the conviction that life and the person who contains it arise from the moment of conception. In other legislations, when someone is born, he is alive and completely separated from the mother, from that moment he is a person and a subject of rights. However, the fact that the fetus does not yet have the status of a person does not imply that it is totally devoid of rights. The Colombian Constitution reserves several rights, including the right to life, which, by the way, in our legislation is considered a person from the very moment of fertilization. However, even if the child is not yet a person, under current legislation, the unborn child has rights that must be safeguarded by the State and his or her lack of protection must give rise to processes of reparation or international responsibilities. This work explores the conditions in which the unborn child can be recognized as a victim and the mechanisms of reparation that would eventually be the most appropriate, based on jurisprudence and other precedents.</t>
  </si>
  <si>
    <t>[Mendoza Reales, Teresa de Jesus] Derechos Humanos, Derecho Penal &amp; Criminol, Bogota, Colombia; [Florez Pena, Carmen Graciela] Derechos Humanos, Bogota, Colombia; [Torres Vasquez, Henry] Univ Jaime I de Castellon, Sistema Penal, Castellon de La Plana, Castello, Spain; [Torres Vasquez, Henry] Univ Nacl Colombia, Bogota, Colombia; [Torres Vasquez, Henry] Univ Pedag &amp; Tecnol Colombia, Derecho Penal, Tunja, Boyaca, Colombia</t>
  </si>
  <si>
    <t>Reales, TDM (corresponding author), Derechos Humanos, Derecho Penal &amp; Criminol, Bogota, Colombia.</t>
  </si>
  <si>
    <t>tmendoza15@gmail.com; bps2790@gmail.com; henry.torres01@uptc.edu.co</t>
  </si>
  <si>
    <t>UNIV MILITAR NUEVA GRANADA</t>
  </si>
  <si>
    <t>FAC DERECHO, SEDE BOGOTA CRA 11 N 101-80, BOGOTA, 00000, COLOMBIA</t>
  </si>
  <si>
    <t>0121-182X</t>
  </si>
  <si>
    <t>1909-7727</t>
  </si>
  <si>
    <t>PROLEGOMENOS</t>
  </si>
  <si>
    <t>Prolegomenos</t>
  </si>
  <si>
    <t>10.18359/prole.5760</t>
  </si>
  <si>
    <t>Law</t>
  </si>
  <si>
    <t>Government &amp; Law</t>
  </si>
  <si>
    <t>2T3SP</t>
  </si>
  <si>
    <t>WOS:000822399000004</t>
  </si>
  <si>
    <t>Rodriguez, CEA; Pedreros, MDP; Velez, BLB</t>
  </si>
  <si>
    <t>Arteaga Rodriguez, Carlos Eduardo; Parra Pedreros, Marco David; Bustamante Velez, Blanca Lucia</t>
  </si>
  <si>
    <t>The Ideology of Peace in the Semana Headlines</t>
  </si>
  <si>
    <t>discourse analysis; peace process; ideology and power; journalistic discourse; written press</t>
  </si>
  <si>
    <t>The article analyzes the press headlines of the magazine Semana in order to unravel the ideology promoted by it regarding the peace process in the first fourth months of Ivan Duque's government. For this, the way in which the different post conflict actors were presented and named is identified, the discursive strategies used in the magazine were analyzed, in addition to the rhetorical language and its discursive implications. The paradigm that guides the study is the socio-critical one with a qualitative approach. The type of research is the critical analysis of the discourse. The analysis and interpretation method considers three stages: corpus exploratory, descriptive exploratory and analytical exploratory. A subcorpus of 23 headlines was taken. It is concluded that in its journalistic discourse the magazine creates and ideological structure about the beliefs, attitudes and values of different actors, establishing opinion groups in favor of the peace process and against the positions and decisions of the president that harm the process.</t>
  </si>
  <si>
    <t>[Arteaga Rodriguez, Carlos Eduardo] Univ Tolima, Ibague, Colombia; [Parra Pedreros, Marco David] Univ Nacl Colombia, 4, Bogota, Colombia; [Parra Pedreros, Marco David] Univ Catolica Colombia, Gobierno &amp; Gest Desarrollo Dept &amp; Municipal, Bogota, Colombia; [Bustamante Velez, Blanca Lucia] Univ Antioquia, Medellin, Colombia; [Bustamante Velez, Blanca Lucia] Univ Pedag &amp; Tecnol Colombia, Escuela Idiomas, Tunja, Colombia</t>
  </si>
  <si>
    <t>Universidad del Tolima; Universidad Nacional de Colombia; Universidad de Antioquia; Universidad Pedagogica y Tecnologica de Colombia (UPTC)</t>
  </si>
  <si>
    <t>Rodriguez, CEA (corresponding author), Univ Tolima, Ibague, Colombia.</t>
  </si>
  <si>
    <t>eduardoar123@hotmail.com; mdavidpp@gmail.com; lucia.bustamante@uptc.edu.co</t>
  </si>
  <si>
    <t>e13511</t>
  </si>
  <si>
    <t>10.19053/0121053X.n39.2022.13511</t>
  </si>
  <si>
    <t>ZP7ZF</t>
  </si>
  <si>
    <t>WOS:000766637600002</t>
  </si>
  <si>
    <t>Ortiz-Gonzalez, AD; Buitrago, HAL; Bulla-Castaneda, DM; Lancheros-Buitrago, DJ; Garcia-Corredor, DJ; Diaz-Anaya, AM; Tobon-Torreglosa, JC; Ortiz-Ortega, D; Pulido-Medellin, MO</t>
  </si>
  <si>
    <t>Daniela Ortiz-Gonzalez, Aura; Lopez Buitrago, H. Alexander; Maria Bulla-Castaneda, Diana; Johana Lancheros-Buitrago, D.; Jose Garcia-Corredor, Diego; Maria Diaz-Anaya, Adriana; Cesar Tobon-Torreglosa, Julio; Ortiz-Ortega, Diego; Orlando Pulido-Medellin, Martin</t>
  </si>
  <si>
    <t>Seroprevalence and risk factors associated with bovine herpesvirus 1 in dairy herds of Colombia</t>
  </si>
  <si>
    <t>VETERINARY WORLD</t>
  </si>
  <si>
    <t>cattle; cattle diseases; enzyme-linked immunosorbent assay; Infectious bovine rhinotracheitis</t>
  </si>
  <si>
    <t>VIRAL DIARRHEA VIRUS; RHINOTRACHEITIS; CATTLE; INFECTION; DIAGNOSIS</t>
  </si>
  <si>
    <t>Background and Aim: Infectious bovine rhinotracheitis (IBR) is an infectious disease widely distributed globally and is considered the main cause of various reproductive and respiratory tract diseases in cattle and buffaloes. This study aimed to estimate seroprevalence and determine risk factors associated with the presentation of IBR in the municipality of Sotaquira, Boyaca (Colombia). Materials and Methods: A descriptive cross-sectional study with simple random sampling was performed, and the sample size was 1,000 cattle. Blood samples were obtained by coccygeal venipuncture and processed through indirect enzyme linked immunosorbent assay using the Synbiotics (R) kit (Zoetis, New Jersey, USA) with a sensitivity and specificity of 96% and 98%, respectively. Data were processed using the statistical program EpiInfo (R) (Centers for Disease Control and Prevention; Atlanta, Georgia). Results: A high seroprevalence of 57.5% was established. Seroprevalence was the highest in cattle &gt;4 years of age (65.0% apparent seroprevalence [AS]; 67% true seroprevalence [TS]) and in the Holstein breed (65.5% AS; 67.8% TS). The breed and age of the animals were significantly associated with each other. The Holstein breed, age group &gt;4 years, uncertified semen, and fetal death were established as risk factors for IBR. In comparison, the age groups of &lt;1 and 1-2 years and the Normande breed were established as protective factors against the bovine herpesvirus-1 virus. Conclusion: Management factors, such as livestock from other owners and animal purchases, which affect disease presentation, are evident. The implementation and development of novel prevention and control measures for IBR at the national level are necessary.</t>
  </si>
  <si>
    <t>[Daniela Ortiz-Gonzalez, Aura; Lopez Buitrago, H. Alexander; Maria Bulla-Castaneda, Diana; Johana Lancheros-Buitrago, D.; Jose Garcia-Corredor, Diego; Maria Diaz-Anaya, Adriana; Orlando Pulido-Medellin, Martin] Univ Pedag &amp; Tecnol Colombia, Grp Invest Med Vet &amp; Zootecnia, Tunja, Colombia; [Maria Diaz-Anaya, Adriana] Univ Namur, Doctoral Program Biomed &amp; Pharmaceut Sci, Namur, Belgium; [Cesar Tobon-Torreglosa, Julio] Compania Colombiana Prod Vet, Bogota, Colombia; [Ortiz-Ortega, Diego] Corp Colombiana Invest Agr, Mosquera, Colombia</t>
  </si>
  <si>
    <t>Universidad Pedagogica y Tecnologica de Colombia (UPTC); University of Namur; Corporacion Colombiana de Investigacion Agropecuaria, AGROSAVIA</t>
  </si>
  <si>
    <t>Pulido-Medellin, MO (corresponding author), Univ Pedag &amp; Tecnol Colombia, Grp Invest Med Vet &amp; Zootecnia, Tunja, Colombia.</t>
  </si>
  <si>
    <t>aura.ortiz@uptc.edu.co; henryalexanderlopez@gmail.com; diana.bulla@uptc.edu.co; deisy.lancheros@uptc.edu.co; diegojose.garcia@uptc.edu.co; adrianamaria.diaz@uptc.edu.co; julio.tobon@vecol.com.co; dortiz@agrosavia.co; martin.pulido@uptc.edu.co</t>
  </si>
  <si>
    <t>Lancheros-Buitrago, Deisy Johana/0000-0002-7984-3881; ORTIZ ORTEGA, DIEGO/0000-0002-7042-2829; Lopez, Henrry/0000-0002-6482-2412; Garcia Corredor, Diego Jose/0000-0001-5122-5435; Pulido-Medellin, Martin Orlando/0000-0003-4989-1476; DIAZ ANAYA, ADRIANA MARIA/0000-0002-8192-6379; Bulla-Castaneda, Diana Maria/0000-0002-3740-9454; Tobon Torreglosa, Julio Cesar/0000-0003-2705-3770</t>
  </si>
  <si>
    <t>Corporacion Colombiana de Investigacion Agropecuaria, Colombia [M439]; Vecol - Empresa Colombiana de Productos Veterinarios, Colombia [M439]</t>
  </si>
  <si>
    <t>Corporacion Colombiana de Investigacion Agropecuaria, Colombia; Vecol - Empresa Colombiana de Productos Veterinarios, Colombia</t>
  </si>
  <si>
    <t>The study was funded by the agreement (Grant no. M439) made between Corporacion Colombiana de Investigacion Agropecuaria, Colombia and Vecol - Empresa Colombiana de Productos Veterinarios, Colombia. The authors would like to thank the support from the producers who participated in making this study possible. No one from Vecol was involved at any stage of the study.</t>
  </si>
  <si>
    <t>GUJARAT</t>
  </si>
  <si>
    <t>STAR, GULSHAN PARK, NH-8A, CHANDRAPUR RD, WANKANER, GUJARAT, 363 621, INDIA</t>
  </si>
  <si>
    <t>0972-8988</t>
  </si>
  <si>
    <t>2231-0916</t>
  </si>
  <si>
    <t>VET WORLD</t>
  </si>
  <si>
    <t>Vet. World</t>
  </si>
  <si>
    <t>10.14202/vetworld.2022.1550-1556</t>
  </si>
  <si>
    <t>Agriculture, Dairy &amp; Animal Science; Veterinary Sciences</t>
  </si>
  <si>
    <t>Agriculture; Veterinary Sciences</t>
  </si>
  <si>
    <t>2O7NA</t>
  </si>
  <si>
    <t>WOS:000819240100001</t>
  </si>
  <si>
    <t>Bulla-Castaneda, DM; Buitrago, HAL; Lancheros-Buitrago, DJ; Diaz-Anaya, AM; Garcia-Corredor, DJ; Tobon-Torreglosa, JC; Ortega, DO; Pulido-Medellin, MO</t>
  </si>
  <si>
    <t>Maria Bulla-Castaneda, Diana; Lopez Buitrago, Henry Alexander; Johana Lancheros-Buitrago, Deist; Maria Diaz-Anaya, Adriana; Jose Garcia-Corredor, Diego; Cesar Tobon-Torreglosa, Julio; Ortiz Ortega, Diego; Orlando Pulido-Medellin, Martin</t>
  </si>
  <si>
    <t>Seroprevalence and risk factors associated with the presence of bovine leptospirosis in the municipality of Sotaquira, Colombia</t>
  </si>
  <si>
    <t>OPEN VETERINARY JOURNAL</t>
  </si>
  <si>
    <t>Cattle; Leptospira; Leptospirosis; Prevalence</t>
  </si>
  <si>
    <t>MICROSCOPIC AGGLUTINATION-TEST; DAIRY GOATS; ANTIBODIES</t>
  </si>
  <si>
    <t>Background: Bovine leptospirosis is a zoonotic, infectious, and cosmopolitan disease of worldwide distribution, caused by the spirochete Leptospira spp., which has been diagnosed in humans; domestic mammals, such as dogs, sheep, goats, swine, horses and cattle; and wild animals. It is considered a significant cause of economic losses in livestock because it causes infertility, abortion and reduced milk production.Aim: To establish the prevalence and the main risk factors associated with Leptospira spp. in cattle in the municipality of Sotaquira, Colombia.Methods: An observational, descriptive, cross-sectional study with simple random sampling was carried out. 1,000 cattle of Ayrshire, Holstein, Jersey, Normande, Zebu, and crossbreeds were sampled. Blood samples were taken by coccygeal venipuncture and processed by microscopic agglutination technique; animals were considered positive when titers were &gt;= 1:100. The data obtained were processed with the statistical program EpiInfo (R).Results: A general apparent prevalence (AP) of 16% (160/1,000) was established, where the crossbreeds (20.5% AP), the 2-4 years age group (17% AP), and the serovars Leptospira interrogans serogroup Pomona (5.1%) and L. interrogans serogroup Sjroe serovar Hardjo (3.4%) presented the highest seropositivity. The variables barnyard, artificial insemination, and use of certified semen were identified as protective factors against the disease, while diarrhea was considered a risk factor.Conclusion: The prevalence in this study is within the range of those reported at the national level; however, it is essential to establish plans to control and prevent the disease.</t>
  </si>
  <si>
    <t>[Maria Bulla-Castaneda, Diana; Lopez Buitrago, Henry Alexander; Johana Lancheros-Buitrago, Deist; Maria Diaz-Anaya, Adriana; Jose Garcia-Corredor, Diego; Orlando Pulido-Medellin, Martin] Univ Pedag &amp; Tecnol Colombia, Grp Invest Med Vet &amp; Zootecnia GIDIMEVETZ, Tunja, Colombia; [Cesar Tobon-Torreglosa, Julio] Empresa Colombiana Prod Vet VECOL, Bogota, Colombia; [Ortiz Ortega, Diego] Corp Colombian Invest Agr Agrosavia, Bogota, Colombia</t>
  </si>
  <si>
    <t>Pulido-Medellin, MO (corresponding author), Univ Pedag &amp; Tecnol Colombia, Grp Invest Med Vet &amp; Zootecnia GIDIMEVETZ, Tunja, Colombia.</t>
  </si>
  <si>
    <t>martin.pulido@uptc.edu.cn</t>
  </si>
  <si>
    <t>UNIV TRIPOLI, FAC VET MED</t>
  </si>
  <si>
    <t>TRIPOLI</t>
  </si>
  <si>
    <t>UNIV TRIPOLI, FAC VET MED, TRIPOLI, 00000, LIBYA</t>
  </si>
  <si>
    <t>2226-4485</t>
  </si>
  <si>
    <t>2218-6050</t>
  </si>
  <si>
    <t>OPEN VET J</t>
  </si>
  <si>
    <t>Open Vet. J.</t>
  </si>
  <si>
    <t>10.5455/OVJ.2022.v12.i5.11</t>
  </si>
  <si>
    <t>5K2DU</t>
  </si>
  <si>
    <t>WOS:000869542400002</t>
  </si>
  <si>
    <t>Vega-Useche, L; Vega-Useche, C</t>
  </si>
  <si>
    <t>Vega-Useche, Leonel; Vega-Useche, Camilo</t>
  </si>
  <si>
    <t>How long should the pre-surgical fasting time be in patients with enteral tube nutrition</t>
  </si>
  <si>
    <t>INTERNATIONAL JOURNAL OF SURGERY OPEN</t>
  </si>
  <si>
    <t>Fasting; Enteral feeding; Enteral nutrition</t>
  </si>
  <si>
    <t>[Vega-Useche, Leonel] Fdn Univ Sanitas, Dept Anesthesiol &amp; Perioperat Med, Bogota, Colombia; [Vega-Useche, Leonel] Grp Invest ACEMED UPTC, Tunja, Colombia; [Vega-Useche, Camilo] Univ Pedagog &amp; Tecnol Colombia, Tunja, Colombia</t>
  </si>
  <si>
    <t>Vega-Useche, L (corresponding author), Fdn Univ Sanitas, Dept Anesthesiol &amp; Perioperat Med, Bogota, Colombia.</t>
  </si>
  <si>
    <t>ls.vegaus@unisanitas.edu.co; acamilovega@gmail.com</t>
  </si>
  <si>
    <t>2405-8572</t>
  </si>
  <si>
    <t>INT J SURG OPEN</t>
  </si>
  <si>
    <t>Int. J. Surg. Open</t>
  </si>
  <si>
    <t>10.1016/j.ijso.2022.100477</t>
  </si>
  <si>
    <t>Orthopedics</t>
  </si>
  <si>
    <t>3I6RV</t>
  </si>
  <si>
    <t>WOS:000832842200002</t>
  </si>
  <si>
    <t>Palacino-Rodriguez, F; Lozano, MA; Altamiranda-Saavedra, M; Beltran, NJ; Penagos, AC; Hueso-Olaya, D; Morales, IT; Rios, KJ; Camacho-Contreras, P; Palacino-Penagos, DA; Penagos-Arevalo, A; Arbelaez-Cortes, E</t>
  </si>
  <si>
    <t>Palacino-Rodriguez, Fredy; Lozano, Maria Alejandra; Altamiranda-Saavedra, Mariano; Beltran, Nini Johana; Penagos, Andrea Carolina; Hueso-Olaya, Dayana; Morales, Irina Tatiana; Rios, Kelly Johana; Camacho-Contreras, Paola; Palacino-Penagos, Diego Andres; Penagos-Arevalo, Alexander; Arbelaez-Cortes, Enrique</t>
  </si>
  <si>
    <t>Knowledge on Colombian insects and arachnids: a bibliometric approach</t>
  </si>
  <si>
    <t>STUDIES ON NEOTROPICAL FAUNA AND ENVIRONMENT</t>
  </si>
  <si>
    <t>Biodiversity; Neotropics; Insecta; Arachnida</t>
  </si>
  <si>
    <t>2 DECADES; BIODIVERSITY; SPIDERS; CONSERVATION; SYSTEMATICS; ENTOMOLOGY; EVOLUTION; PROGRESS; TRENDS</t>
  </si>
  <si>
    <t>Despite Arthropoda being a major animal taxon, it is underrepresented in South American scientific publications. Here, we present the results of a bibliometric analysis of published studies on insects and arachnids in Colombia to understand the general patterns of knowledge of both taxa across this megadiverse country. We compiled 3119 studies on insects and 353 on arachnids published between 1918 and 2019 in more than 600 journals. Research on both insects and arachnids reflects the effort done by researchers working in Colombian institutions, but because publications are mainly domestic, their international impact is limited. The studies included 19 taxonomic orders of insects and 72 families of arachnids with a bias toward a few well-studied taxa like Diptera, Lepidoptera, Hymenoptera, Araneidae, and Salticidae, while the majority of taxa are understudied. The geographic coverage of the studies was broad and includes Colombia's 32 departments, but their distribution was heterogeneous being the Andean region the most studied, while the Caribbean and Orinoquia regions could be considered knowledge gaps. Considering our analysis, we give recommendations to expand and advance the knowledge of Colombian insects and arachnids, a major scientific enterprise in which collaboration among researchers from different institutions is needed.</t>
  </si>
  <si>
    <t>[Palacino-Rodriguez, Fredy; Penagos-Arevalo, Alexander] Univ El Bosque, Grp Invest Biol, Dept Biol, Bogota, Colombia; [Palacino-Rodriguez, Fredy; Lozano, Maria Alejandra; Beltran, Nini Johana; Penagos, Andrea Carolina; Hueso-Olaya, Dayana; Rios, Kelly Johana; Camacho-Contreras, Paola; Palacino-Penagos, Diego Andres] Ctr Invest Acarol, Grp Invest Odonatos &amp; Otros Artropodos Colombia, Bogota, Colombia; [Altamiranda-Saavedra, Mariano] Tecnol Antioquia, Fac Derecho &amp; Ciencias Forenses, Grp Invest Bioforense, Medellin, Colombia; [Morales, Irina Tatiana] Univ Pedag &amp; Tecnol Colombia, Grp Invest Bioforense, Fac Derecho &amp; Ciencias Forenses, Ave Cent Norte, Tunja, Colombia; [Arbelaez-Cortes, Enrique] Univ Ind Santander, Grp Estudios Biodiversidad, Escuela Biol, Bucaramanga, Colombia</t>
  </si>
  <si>
    <t>Universidad El Bosque; Universidad Pedagogica y Tecnologica de Colombia (UPTC); Universidad Industrial de Santander</t>
  </si>
  <si>
    <t>Palacino-Rodriguez, F (corresponding author), Univ El Bosque, Grp Invest Biol, Dept Biol, Bogota, Colombia.;Palacino-Rodriguez, F (corresponding author), Ctr Invest Acarol, Grp Invest Odonatos &amp; Otros Artropodos Colombia, Bogota, Colombia.</t>
  </si>
  <si>
    <t>odonata107@gmail.com</t>
  </si>
  <si>
    <t>PALACINO RODRIGUEZ, FREDY/0000-0002-3119-6945; MORALES, IRINA/0000-0003-2456-5674</t>
  </si>
  <si>
    <t>0165-0521</t>
  </si>
  <si>
    <t>1744-5140</t>
  </si>
  <si>
    <t>STUD NEOTROP FAUNA E</t>
  </si>
  <si>
    <t>Stud. Neotrop. Fauna Environ.</t>
  </si>
  <si>
    <t>10.1080/01650521.2022.2035119</t>
  </si>
  <si>
    <t>ZU1DD</t>
  </si>
  <si>
    <t>WOS:000769585000001</t>
  </si>
  <si>
    <t>Olaya-Marin, EJ; Lemus-Portillo, C; Pedraza, MCE; Garcia, OAC; Roa-Fuentes, CA; Salazar-Galan, S; Pena, MB</t>
  </si>
  <si>
    <t>Olaya-Marin, Esther Julia; Lemus-Portillo, Ciromar; Pedraza, Monika Cristina Echavarria; Garcia, Oscar Andres Chaparro; Roa-Fuentes, Camilo Andres; Salazar-Galan, Sergio; Pena, Miguel Barrios</t>
  </si>
  <si>
    <t>Differences in body size and abundance of high Andean fishes, above and below the Neusa dam, Colombia</t>
  </si>
  <si>
    <t>endemic species; reservoir; flow regulation; indicators of hydrologic alteration; Andean streams</t>
  </si>
  <si>
    <t>RIVER-BASIN; HYDROLOGIC ALTERATION; RELATIVE ABUNDANCE; FRAMEWORK; INCREASE; IMPACTS; REGIME; FLOWS</t>
  </si>
  <si>
    <t>Introduction: Tropical rivers are increasingly being affected by fragmentation and regulation; and, in Colombia, dams are known to endanger endemic fishes through, among others, limited migration and reduced availability of sediment-based feeding networks. However, knowledge of native ichthyofauna affected by dams in high Andean rivers is still incipient. Objective: To assess the effects of the Neusa dam on the ichthyofauna. Methods: We compared two rivers??? sections, one above and one below the dam with the Richter IHA System, we sampled three 100 m long transects in each section, every two months, between 2017 and 2019. The fishes were returned to the river after body measurements. Results: We collected 729 individuals from five families; Trichomycterus bogotense were smaller under the dam; Oncorhynchus mykiss was smaller and less abundant; and there were no differences for Grundulus bogotensis and Eremophilus mutisii. Independently of climatic factors, O. mykiss and G. bogotensis were more abundant above the dam, and E. mutisii and T. bogotense under the dam. Conclusion: The five fish species differed in how the populations differed above and under the dam, suggesting that some are benefited by the dam, while others become smaller and less abundant.</t>
  </si>
  <si>
    <t>[Olaya-Marin, Esther Julia; Lemus-Portillo, Ciromar; Pedraza, Monika Cristina Echavarria; Garcia, Oscar Andres Chaparro] Univ Manuela Beltran, Av Circunvalar 60-00, Bogota, Colombia; [Roa-Fuentes, Camilo Andres] Univ Pedag &amp; Tecnol Colombia, Escuela Ciencias Biol, Ave Cent Norte 39-115, Tunja, Boyaca, Colombia; [Salazar-Galan, Sergio] Univ Nacl Colombia, Grp Invest Ingn Recursos Hidr, Bogota, Colombia; [Salazar-Galan, Sergio] Univ Politecn Valencia, Grp Invest Modelac Hidrol &amp; Ambiental, Valencia, Spain; [Olaya-Marin, Esther Julia; Pena, Miguel Barrios] Univ Tolima, Fac Ingn Forestal, Ibague, Colombia</t>
  </si>
  <si>
    <t>Universidad Manuela Beltran - UMB; Universidad Pedagogica y Tecnologica de Colombia (UPTC); Universidad Nacional de Colombia; Universitat Politecnica de Valencia; Universidad del Tolima</t>
  </si>
  <si>
    <t>Olaya-Marin, EJ (corresponding author), Univ Manuela Beltran, Av Circunvalar 60-00, Bogota, Colombia.;Olaya-Marin, EJ (corresponding author), Univ Tolima, Fac Ingn Forestal, Ibague, Colombia.</t>
  </si>
  <si>
    <t>estherjuliaolaya@gmail.com; ciromar.lemus@gmail.com; monikepe@hotmail.com; oscarandreschaparrog@gmail.com; camilo.roa@gmail.com; ansalazarga@unal.edu.co; mibarrios@ut.edu.co</t>
  </si>
  <si>
    <t>Salazar-Galán, Sergio/F-7096-2012; Barrios, Miguel I/I-9546-2014</t>
  </si>
  <si>
    <t>Barrios, Miguel I/0000-0002-7289-7887</t>
  </si>
  <si>
    <t>10.15517/rev.biol.trop.2022.49776</t>
  </si>
  <si>
    <t>2Z7TC</t>
  </si>
  <si>
    <t>WOS:000826774400002</t>
  </si>
  <si>
    <t>Garcia-Caceres, RG; Delgado-Tobon, AE; Escobar-Velasquez, JW</t>
  </si>
  <si>
    <t>Guillermo Garcia-Caceres, Rafael; Emilio Delgado-Tobon, Arnoldo; Wilmer Escobar-Velasquez, John</t>
  </si>
  <si>
    <t>Selection of learning strategies supported on SMAA-M</t>
  </si>
  <si>
    <t>Pedagogical strategies; Color theory; Decision making process; SMAA-M</t>
  </si>
  <si>
    <t>DECISION-MAKING; TEACHERS</t>
  </si>
  <si>
    <t>The present work introduces a systematic decision making process which, based on Stochastic Multicriteria Acceptability Analysis - Matching, is aimed at supporting the selection of pedagogical strategies according to the theoretical paradigms provided by the Color Theory and the Learning Styles concept. This novel procedure is illustrated by an example which allowed comparison with the traditional decision mechanism. The results show that the innovation is valuable for case, since it allows a more tuned-to-reality solution that prioritizes relevant pedagogical strategies and discards insignificant ones. Another underlying advantage of this novel process as compared to the traditional one is the possibility it offers to develop a broader and more detailed analysis, since it provides both the set of pedagogical strategies for a course or group of students and a personalized analysis for each student, thus facilitating the teacher's work.</t>
  </si>
  <si>
    <t>[Guillermo Garcia-Caceres, Rafael] Univ Pedagog &amp; Tecnol Colombia UPTC, Sch Ind Engn, Sogamoso, Colombia; [Emilio Delgado-Tobon, Arnoldo] Univ Militar Nueva Granada, Sch Ind Engn, Bogota, Colombia; [Wilmer Escobar-Velasquez, John] Univ Valle, Sch Ind Engn, Cali, Colombia</t>
  </si>
  <si>
    <t>Universidad Pedagogica y Tecnologica de Colombia (UPTC); Universidad Militar Nueva Granada; Universidad del Valle</t>
  </si>
  <si>
    <t>Garcia-Caceres, RG (corresponding author), Univ Pedagog &amp; Tecnol Colombia UPTC, Sch Ind Engn, Sogamoso, Colombia.</t>
  </si>
  <si>
    <t>rafael.garcia01@uptc.edu.co</t>
  </si>
  <si>
    <t>García-Cáceres, Rafael/0000-0003-0902-1038; Escobar, John Willmer/0000-0001-6175-9553</t>
  </si>
  <si>
    <t>e08978</t>
  </si>
  <si>
    <t>10.1016/j.heliyon.2022.e08978</t>
  </si>
  <si>
    <t>ZQ6PR</t>
  </si>
  <si>
    <t>WOS:000767225100142</t>
  </si>
  <si>
    <t>Tapias, JC; Farfan, CAR</t>
  </si>
  <si>
    <t>Tapias, Joselyn Corredor; Farfan, Cesar Augusto Romero</t>
  </si>
  <si>
    <t>Jaime Bernal Leongomez: Stellar linguist and excellent teacher (in memoriam)</t>
  </si>
  <si>
    <t>Biographical-Item</t>
  </si>
  <si>
    <t>[Tapias, Joselyn Corredor; Farfan, Cesar Augusto Romero] UPTC, Escuela Idiomas, Tunja, Colombia; [Tapias, Joselyn Corredor; Farfan, Cesar Augusto Romero] EPISTEME, Florianopolis, SC, Brazil</t>
  </si>
  <si>
    <t>Tapias, JC (corresponding author), UPTC, Escuela Idiomas, Tunja, Colombia.;Tapias, JC (corresponding author), EPISTEME, Florianopolis, SC, Brazil.</t>
  </si>
  <si>
    <t>joselyn1973@yahoo.es; cesar.romero@uptc.edu.co</t>
  </si>
  <si>
    <t>e14026</t>
  </si>
  <si>
    <t>10.19053/0121053X.n39.2022.14026</t>
  </si>
  <si>
    <t>ZR4YN</t>
  </si>
  <si>
    <t>WOS:000767790500001</t>
  </si>
  <si>
    <t>Isaza-Zapata, V; Maya, CE; Gomez, A; Bezzon, VDN; Supelano, I; Saavedra, IM; Parra, CA; Astudillo, JA; Bolanos, G; Dionizio, S; Izquierdo, JL; Moran, O</t>
  </si>
  <si>
    <t>Isaza-Zapata, V; Maya, C. E.; Gomez, A.; Bezzon, V. D. N.; Supelano, I; Saavedra, I. M.; Parra, C. A.; Astudillo, J. A.; Bolanos, G.; Dionizio, S.; Izquierdo, J. L.; Moran, O.</t>
  </si>
  <si>
    <t>Structural aspects and magnetoelectric behavior of hexagonal Sr1-xBaxMnO3 (x=0, 0.4) manganites: Effect of leakage currents</t>
  </si>
  <si>
    <t>PHYSICS LETTERS A</t>
  </si>
  <si>
    <t>Ferroelectric; Manganites; Multiferroics; Perovskites</t>
  </si>
  <si>
    <t>SRMNO3; REFINEMENT; SPIN</t>
  </si>
  <si>
    <t>Structural, morphological, magnetic, and electrical properties of the challenging Sr1-xBaxMnO3 (x=0, 0.4) manganite are discussed. Polycrystalline Sr1-xBaxMnO3 samples were prepared via the standard solid-state reaction. Conventional X-ray diffraction and synchrotron radiation measurements showed the hexagonal structure (space group P6(3)/mmc) of the samples. The stability of the hexagonal symmetry of Sr0.6Ba0.4MnO3 persisted up to 120 K. This result, along with the fact that the space group P6(3)/mmc is centrosymmetric, discounted the possibility of having a long-range ferroelectric ordering. Pristine SrMnO3 samples exhibited an antiferromagnetic transition at a Neel temperature similar to 280 K. In turn, Sr0.6Ba0.4MnO3 showed two transitions at similar to 325 K and similar to 270 K. Measurements of the electrical polarization versus the electric field showed closed loops, although visually distinct from those of a true ferroelectric material. Hence it was evident that spurious effects caused the polarization curves that resembled ferroelectric loops. Resistivity measurements on Sr0.6Ba0.4MnO3 showed the insulating nature of these samples. (C) 2022 Elsevier B.V. All rights reserved.</t>
  </si>
  <si>
    <t>[Isaza-Zapata, V; Maya, C. E.; Gomez, A.; Izquierdo, J. L.] Inst Univ Pascual Bravo, Fac Ingn, Grp Invest &amp; Innovac Energia GIIEN, Medellin 050001, Colombia; [Gomez, A.; Izquierdo, J. L.; Moran, O.] Univ Nacl Colombia, Fac Ciencias, Dept Fis, Adv Oxides Grp, Campus Medellin, Medellin 050001, Colombia; [Bezzon, V. D. N.] Fed Univ ABC, Ctr Nat &amp; Human Sci CCNH, Sao Paulo, SP, Brazil; [Supelano, I; Saavedra, I. M.; Parra, C. A.] Univ Pedag &amp; Tecnol Colombia, Grp Fis Mat, Escuela Fis, Ave Cent Norte 39-115, Tunja 150003, Colombia; [Astudillo, J. A.; Bolanos, G.; Dionizio, S.] Univ Cauca, Dept Fis, Lab Bajas Temp, Popayan 19000, Colombia</t>
  </si>
  <si>
    <t>Universidad Nacional de Colombia; Universidade Federal do ABC (UFABC); Universidad Pedagogica y Tecnologica de Colombia (UPTC); Universidad del Cauca</t>
  </si>
  <si>
    <t>Moran, O (corresponding author), Univ Nacl Colombia, Fac Ciencias, Dept Fis, Adv Oxides Grp, Campus Medellin, Medellin 050001, Colombia.</t>
  </si>
  <si>
    <t>omorac@unal.edu.co</t>
  </si>
  <si>
    <t>Gomez Zapata, Adrian/0000-0002-3536-1629; Supelano, Ivan/0000-0002-8020-2686; Saavedra Gaona, Indry Milena/0000-0002-8354-1886</t>
  </si>
  <si>
    <t>Direccion de Tecnologia e Innovacion of the Institucion Universitaria Pascual Bravo Grant [IN201709]; Universidad Nacional de Colombia-sede Medellin</t>
  </si>
  <si>
    <t>Direccion de Tecnologia e Innovacion of the Institucion Universitaria Pascual Bravo Grant; Universidad Nacional de Colombia-sede Medellin</t>
  </si>
  <si>
    <t>V. Isaza-Zapata, J.L. Izquierdo, and C.E. Maya acknowledge the financial support from Direccion de Tecnologia e Innovacion of the Institucion Universitaria Pascual Bravo Grant number IN201709. O.M. acknowledges the financial support of the Universidad Nacional de Colombia-sede Medellin. The authors want to thank Prof. Dr. Jose Luis Garcia for the collaboration with the synchrotron measurements.</t>
  </si>
  <si>
    <t>0375-9601</t>
  </si>
  <si>
    <t>1873-2429</t>
  </si>
  <si>
    <t>PHYS LETT A</t>
  </si>
  <si>
    <t>Phys. Lett. A</t>
  </si>
  <si>
    <t>MAY 6</t>
  </si>
  <si>
    <t>10.1016/j.physleta.2022.128019</t>
  </si>
  <si>
    <t>3T2QC</t>
  </si>
  <si>
    <t>WOS:000840124600001</t>
  </si>
  <si>
    <t>Monsalve-Pulido, J; Aguilar, J; Montoya, E</t>
  </si>
  <si>
    <t>Monsalve-Pulido, Julian; Aguilar, Jose; Montoya, Edwin</t>
  </si>
  <si>
    <t>Framework for the adaptation of an autonomous academic recommendation system as a service-oriented architecture</t>
  </si>
  <si>
    <t>EDUCATION AND INFORMATION TECHNOLOGIES</t>
  </si>
  <si>
    <t>Academic recommendation systems; Autonomous computing; Service-oriented architecture</t>
  </si>
  <si>
    <t>MODEL; SOMA</t>
  </si>
  <si>
    <t>The adaptation of traditional systems to service-oriented architectures is very frequent, due to the increase in technologies for this type of architecture. This has led to the construction of frameworks or methodologies for adapting computational projects to service-oriented architecture (SOA) technology. In this work, a framework for adaptation to SOA in an educational organization is presented, through a specific case of adaptation of an autonomous recommendation system. The framework has a business model that extracts the specific needs of the organization and that will help to project the service architecture from an administrative perspective for a generation of value. The framework has components that conform to the organizational governance of Information Technology (IT) linked to the control mechanisms managed by any IT government of the organization. Finally, the framework has a self-management process that integrates intelligent mechanisms or paradigms for any autonomous process that manages the SOA. In general, the framework describes a methodological process of four general phases, allowing to identify requirements, design services, develop them, and deploy them in an organization, to be managed through control mechanisms through governance. The framework was tested in the adaptation of an autonomous recommendation system for virtual learning environments (VLE), which has two main processes, the creation of an academic course and the use of the course.</t>
  </si>
  <si>
    <t>[Monsalve-Pulido, Julian] Univ Santo Tomas Secc Tunja, GIDINT, Boyaca, Colombia; [Monsalve-Pulido, Julian] Univ Pedag &amp; Tecnol Colombia, GIMI, Tunja, Colombia; [Aguilar, Jose; Montoya, Edwin] Univ EAFIT, GIDITIC, Medellin, Colombia; [Aguilar, Jose] Univ Los Andes, CEMISID, Merida, Venezuela; [Aguilar, Jose] Univ Alcala, Dept Automat, Alcala De Henares, Spain</t>
  </si>
  <si>
    <t>Universidad Santo Tomas USTA; Universidad Pedagogica y Tecnologica de Colombia (UPTC); Universidad EAFIT; University of Los Andes Venezuela; Universidad de Alcala</t>
  </si>
  <si>
    <t>Aguilar, J (corresponding author), Univ EAFIT, GIDITIC, Medellin, Colombia.;Aguilar, J (corresponding author), Univ Los Andes, CEMISID, Merida, Venezuela.;Aguilar, J (corresponding author), Univ Alcala, Dept Automat, Alcala De Henares, Spain.</t>
  </si>
  <si>
    <t>jmsistemas@gmail.com; aguilar@ula.ve; emontoya@eafit.edu.co</t>
  </si>
  <si>
    <t>; Aguilar, Jose/H-3017-2015</t>
  </si>
  <si>
    <t>Monsalve Pulido, Julian Alberto/0000-0002-0706-5881; Aguilar, Jose/0000-0003-4194-6882</t>
  </si>
  <si>
    <t>Analitica Avanzada e IA - Ministry of Science - Government of Antioquia - Republic of Colombia [64366]</t>
  </si>
  <si>
    <t>Analitica Avanzada e IA - Ministry of Science - Government of Antioquia - Republic of Colombia</t>
  </si>
  <si>
    <t>This work has been supported by the project 64366: Contenidos de aprendizaje inteligentes a traves del uso de herramientas de Big Data, Analitica Avanzada e IA - Ministry of Science - Government of Antioquia - Republic of Colombia.</t>
  </si>
  <si>
    <t>1360-2357</t>
  </si>
  <si>
    <t>1573-7608</t>
  </si>
  <si>
    <t>EDUC INF TECHNOL</t>
  </si>
  <si>
    <t>Educ. Inf. Technol.</t>
  </si>
  <si>
    <t>10.1007/s10639-022-11172-8</t>
  </si>
  <si>
    <t>Social Science Citation Index (SSCI)</t>
  </si>
  <si>
    <t>2N8FU</t>
  </si>
  <si>
    <t>WOS:000818610100005</t>
  </si>
  <si>
    <t>Sierra, MAC</t>
  </si>
  <si>
    <t>Castiblanco Sierra, Miguel Angel</t>
  </si>
  <si>
    <t>Geomorphological anthropogenic dynamics in the municipality of Chia (Cundinamarca, Colombia) [T1]</t>
  </si>
  <si>
    <t>retrospective mapping; anthropogeomorphological footprint; anthropogenic modeling; Bogota river; urbanization</t>
  </si>
  <si>
    <t>This article describes and analyzes the anthropogeomorphological interventions and changes in the territory of Chia, located in central Colombia in the Eastern Andean Mountain range. The research was based on the advances of the sub-discipline anthropogeomorphology and was elaborated from a documentary review, photo-interpretation of inputs, fieldwork and quantitative examination of data. The results show an account of human actions, with graphic examples of the phenomenon and characterizations at a scale of 1:10,000 for four reference periods (1940, 1977, 2000 and 2020); the patterns and trends of the interventions in relation to the natural morphogenic systems were also defined and the footprint of the anthropogeomorphs was estimated according to the magnitude of the excavations and artificial accumulations. We conclude on the current predominance of urbanogenic, transit, water management and waste modeling for the fluvial-lacustrine environments of the altiplano, while, on the mountainous flanks, the predominance of agro-genic and mining modeling is highlighted, with the increase of suburban morphologies.</t>
  </si>
  <si>
    <t>[Castiblanco Sierra, Miguel Angel] UPTC IGAC, Geog, Programa Estudios Posgrad Geog EPG, Boyaca, Colombia</t>
  </si>
  <si>
    <t>Sierra, MAC (corresponding author), UPTC IGAC, Geog, Programa Estudios Posgrad Geog EPG, Boyaca, Colombia.</t>
  </si>
  <si>
    <t>macastiblancos@unal.edu.co</t>
  </si>
  <si>
    <t>10.19053/01233769.13568</t>
  </si>
  <si>
    <t>5W4ED</t>
  </si>
  <si>
    <t>WOS:000877868500003</t>
  </si>
  <si>
    <t>Gasca-Alvarez, HJ; Costa-Neto, EM</t>
  </si>
  <si>
    <t>Gasca-Alvarez, H. J.; Costa-Neto, E. M.</t>
  </si>
  <si>
    <t>Insects as a food source for indigenous communities in Colombia: a review and research perspectives</t>
  </si>
  <si>
    <t>JOURNAL OF INSECTS AS FOOD AND FEED</t>
  </si>
  <si>
    <t>ethnoentomology; entomophagy; ethnic groups; indigenous people; traditional knowledge</t>
  </si>
  <si>
    <t>EDIBLE INSECTS; ANTHROPO-ENTOMOPHAGY; NUTRITIONAL-VALUE</t>
  </si>
  <si>
    <t>Insects have been used worldwide as a source of food, and edible species are eaten both as immature (eggs, larvae, pupae, and nymphs) and in some cases as adults. In this regard, several scholars and researchers seek to promote an alternative entomological trend and highlight the potential of insects as a high-quality nutritional option. The consumption of various edible species contributes to the nutritional health of indigenous, rural peoples, as well as those individuals who live in urban areas and use this kind of food resource, in accordance with insects' seasonal abundance. Colombia, due to its sociocultural origin, stands out as one of the Latin American countries that have the habit of consuming insects by presenting both biological and ethnic diversity. However, the use and diversity of edible insects in the country have been little studied. This review summarises the current status related to the knowledge of insects as food resources, with emphasis on ethnic groups established in the country. In Colombia, 69 edible insect species are currently reported, distributed in 49 genera, 27 families and 10 orders, and ingested by approximately 13 ethnic groups belonging principally to the Amazon and Caribbean regions. Guidelines and protocols are provided to establish research priorities in the study and use of edible insects in Colombia. In this way, the proposal of a general framework for the study and conservation of edible insect species, integrating a bioecological, socio-economic and institutional approach, will provide new perspectives for food security in this era of world food scarcity, and can play an interdisciplinary role (forestry, traditional medicine, agriculture, livestock) in mitigating the current global food crisis.</t>
  </si>
  <si>
    <t>[Gasca-Alvarez, H. J.] Inst Amazonico Invest Cient SINCHI, Sede Enlace, Calle 20 5-44, Bogota, Colombia; [Gasca-Alvarez, H. J.] Univ Pedag &amp; Tecnol Colombia, Programa Biol, Sede Cent Tunja, Ave Cent Norte 39-115, Boyaca, Colombia; [Gasca-Alvarez, H. J.] Corp Sentido Nat, Programa Invest, Bogota, Colombia; [Costa-Neto, E. M.] Feira de Santana State Univ, Dept Biol, Lab Ethnobiol, Av Transnordestina,S-N Novo Horizonte, BR-44036900 Feira De Santana, BA, Brazil</t>
  </si>
  <si>
    <t>Gasca-Alvarez, HJ (corresponding author), Inst Amazonico Invest Cient SINCHI, Sede Enlace, Calle 20 5-44, Bogota, Colombia.;Gasca-Alvarez, HJ (corresponding author), Univ Pedag &amp; Tecnol Colombia, Programa Biol, Sede Cent Tunja, Ave Cent Norte 39-115, Boyaca, Colombia.;Gasca-Alvarez, HJ (corresponding author), Corp Sentido Nat, Programa Invest, Bogota, Colombia.</t>
  </si>
  <si>
    <t>scarab7@gmail.com</t>
  </si>
  <si>
    <t>Costa Neto, Eraldo/H-7334-2012</t>
  </si>
  <si>
    <t>Costa Neto, Eraldo/0000-0003-0278-1974</t>
  </si>
  <si>
    <t>Postdoctoral Internship Program of the Ministry of Science, Technology and Innovation - MINCIENCIAS [848]</t>
  </si>
  <si>
    <t>Postdoctoral Internship Program of the Ministry of Science, Technology and Innovation - MINCIENCIAS</t>
  </si>
  <si>
    <t>We thank Jose Manuel Pino Moreno (Instituto de Biologia, Universidad Nacional Autonoma de Mexico) and Fernando Fernandez (Instituto de Ciencias Naturales, Universidad Nacional de Colombia) for providing important literature, and Professor Emeritus Howard Frank (Entomology and Nematology Department, University of Florida) for reviewing the English of the manuscript. This research is part of the project 'Diversity of insects as a food source for the indigenous communities of the Amazonian East', developed by Instituto Amazonico de Investigaciones Cientificas SINCHI, and supported by the Postdoctoral Internship Program of the Ministry of Science, Technology and Innovation -MINCIENCIAS (Number 848 of 2019). We also thank three anonymous reviewers for their comments and suggestions that helped us to improve the manuscript.</t>
  </si>
  <si>
    <t>WAGENINGEN ACADEMIC PUBLISHERS</t>
  </si>
  <si>
    <t>WAGENINGEN</t>
  </si>
  <si>
    <t>PO BOX 220, WAGENINGEN, 6700 AE, NETHERLANDS</t>
  </si>
  <si>
    <t>2352-4588</t>
  </si>
  <si>
    <t>J INSECTS FOOD FEED</t>
  </si>
  <si>
    <t>J. Insects Food Feed</t>
  </si>
  <si>
    <t>10.3920/JIFF2021.0148</t>
  </si>
  <si>
    <t>Agriculture, Multidisciplinary; Entomology; Food Science &amp; Technology</t>
  </si>
  <si>
    <t>Agriculture; Entomology; Food Science &amp; Technology</t>
  </si>
  <si>
    <t>2W3SC</t>
  </si>
  <si>
    <t>WOS:000824446700001</t>
  </si>
  <si>
    <t>Mercado-Gomez, JD; Morales-Puentes, ME; Gonzalez, MA; Velasco, JA</t>
  </si>
  <si>
    <t>Mercado-Gomez, Jorge D.; Morales-Puentes, Maria E.; Gonzalez, Mailyn A.; Velasco, Julian A.</t>
  </si>
  <si>
    <t>Seasonal droughts during the Miocene drove the evolution of Capparaceae towards Neotropical seasonally dry forests</t>
  </si>
  <si>
    <t>climate; comparative methods; Miocene; niche; phylogeny</t>
  </si>
  <si>
    <t>PHYLOGENETIC NICHE CONSERVATISM; ADAPTIVE RADIATION; TROPICAL FORESTS; PLANT DIVERSITY; DIVERSIFICATION; PATTERNS; ORIGIN; INFORMATION; REVISION; MODELS</t>
  </si>
  <si>
    <t>Introduction: Neotropical seasonally dry forest (NSDF) climatic constraints increased endemism, and phylogenetic niche conservatism in species that are restricted to this biome. NSDF have a large number of endemic Capparaceae taxa, but it is unknown if phylogenetic niche conservatism has played a role in this pattern. Objective: We carried out an evolutionary analysis of the climatic niche of neotropical species of Capparaceae to identify whether the climatic constraints of NSDF have played a major role throughout the family's evolutionary history. Methods: Using three chloroplastic (ndhF, matK, rbcL) and one ribosomal (rsp3) DNA sequences, we proposed a date phylogeny to reconstruct the evolutionary climatic niche dynamics of 24 Neotropical species of Capparaceae. We tested the relationship between niche dissimilarity and phylogenetic distance between species using the Mantel test. Likewise, we used a set of phylogenetic comparative methods (PGLS) on the phylogeny of Capparaceae to reconstruct the main evolutionary historic events in their niche. Results: Capparaceae originated in humid regions and subsequently, convergent evolution occurred towards humid and dry forest during the acidification phases of the Middle Miocene (16-11 Mya). However, adaptation towards drought stress was reflected only during the precipitation of the coldest quarter, where we found phylogenetic signal (Pagel k) for gradual evolution and, therefore, evidence of phylogenetic niche conservatism. We found convergent species-specific adaptations to both drought stress and rainfall during the Miocene, suggesting a non-phylogenetic structure in most climatic variables. Conclusions: Our study shows how the Miocene climate may have influenced the Capparaceae speciation toward driest environments. Further, highlights the complexity of climatic niche dynamics in this family, and therefore more detailed analyses are necessary in order to better understand the NSDF climatic constrictions affected the evolution of Capparaceae.</t>
  </si>
  <si>
    <t>[Mercado-Gomez, Jorge D.] Univ Sucre, Dept Biol &amp; Quim, Grp Evoluc &amp; Sistemat Trop, Sincelejo, Colombia; [Morales-Puentes, Maria E.] Univ Pedag &amp; Tecnol Colombia, Herbario UPTC, Grp Sistemat Biol, Tunja, Boyaca, Colombia; [Gonzalez, Mailyn A.] Inst Invest Recursos Biol Alexander von Humboldt, Lab Genet Conservac, Bogota, Colombia; [Velasco, Julian A.] Univ Nacl Autonoma Mexico, Inst Ciencias Atmosfera &amp; Cambio Climat, Ciudad De Mexico, Mexico</t>
  </si>
  <si>
    <t>Universidad Pedagogica y Tecnologica de Colombia (UPTC); Alliance; International Center for Tropical Agriculture - CIAT; Universidad Nacional Autonoma de Mexico</t>
  </si>
  <si>
    <t>Mercado-Gomez, JD (corresponding author), Univ Sucre, Dept Biol &amp; Quim, Grp Evoluc &amp; Sistemat Trop, Sincelejo, Colombia.</t>
  </si>
  <si>
    <t>jorge.mercado@unisucre.edu.co; maria.morales@uptc.edu; magonzalez@humboldt.org.co; javelasco@atmosfera.unam.mx</t>
  </si>
  <si>
    <t>Gonzalez, Mailyn/0000-0001-9150-5730; Velasco, Julian A/0000-0002-2183-5758; Mercado Gomez, Jorge David/0000-0002-4619-0028; Morales Puentes, Maria Eugenia/0000-0002-5332-9956</t>
  </si>
  <si>
    <t>COLCIENCIAS [647]; Universidad de Sucre</t>
  </si>
  <si>
    <t>COLCIENCIAS(Departamento Administrativo de Ciencia, Tecnologia e Innovacion Colciencias); Universidad de Sucre</t>
  </si>
  <si>
    <t>The first author acknowledges the doctoral scholarships 647 of COLCIENCIAS and Universidad de Sucre for the financial support of his doctoral studies. In addition, we thank Thomas Defler and Richard Abbott for its commentaries to the manuscript and English revision.</t>
  </si>
  <si>
    <t>10.15517/rev.biol.trop..v70i1.47504</t>
  </si>
  <si>
    <t>2P7RL</t>
  </si>
  <si>
    <t>WOS:000819933100001</t>
  </si>
  <si>
    <t>Garcia-Molano, JF; Cuervo-Bejarano, WJ; Rodolfi, M; Jaramillo-Garcia, LS; Ganino, T</t>
  </si>
  <si>
    <t>Francisco Garcia-Molano, Jose; Javier Cuervo-Bejarano, William; Rodolfi, Margherita; Stella Jaramillo-Garcia, Luz; Ganino, Tommaso</t>
  </si>
  <si>
    <t>Can Olive Pruning Forms Influence the Olive Rhizosphere? The Root Microbiota and the Rhizosphere Properties in the Alto Ricaurte (Colombia)</t>
  </si>
  <si>
    <t>Olea europaea L.; symbiosis; physical soil properties; chemical soil properties; nitrogen-fixing; enzymatic activity</t>
  </si>
  <si>
    <t>ARBUSCULAR MYCORRHIZAL FUNGI; SOIL ORGANIC-MATTER; PHOSPHORUS; RESPONSES; GROWTH; YIELD; TREES; SIZE</t>
  </si>
  <si>
    <t>(1) Background: Olive in Colombia is not a traditional crop, but in the Andean Region, ancient olive trees are widespread. The area is characterized by a climate condition with a high intensity of UV rays and meteoric events that negatively affect the olive grown. In this work, changes in the soil of olive trees subjected to different pruning will be established. (2) Methods: Olive trees of 2-years-old were cultivated in Boyaca (Colombia). Trees were pruned into a vase shape, globe shape, and natural shape. Physical, chemical, and biological soil analyses were carried out. (3) Results: In the olive tree, V and G pruning significantly increase the P content in the soil compared to NS, and these pruning forms reduce the OOC significantly in the rhizosphere soil by 87.5% and 78.3%, respectively. In all conditions, the roots established an association with Arbuscular Mycorhizal Fungi and stimulated the presence of other microorganisms, despite the trees being more vegetative than productive in this latitude. (4) Conclusions: The results of the study indicate that, in Colombian conditions, the pruning does not affect the rhizospheric soil conditions.</t>
  </si>
  <si>
    <t>[Francisco Garcia-Molano, Jose] Fdn Univ Juan de Castellanos, Programa Ingn Agr, Grp Invest Agr Organizac &amp; Frutos AO&amp;F, Tunja 150001, Colombia; [Javier Cuervo-Bejarano, William] Corp Univ Minuto Dios UNIMINUTO, Programa Ingn Agroecol, Grp Invest Agroecol &amp; Seguridad Alimentaria, Zipaquira 250252, Colombia; [Rodolfi, Margherita; Ganino, Tommaso] Univ Parma, Dept Food &amp; Drug, Parco Area Sci 27-A, I-43124 Parma, Italy; [Stella Jaramillo-Garcia, Luz] Univ Pedag &amp; Tecnol Colombia, Fac Ciencias Basicas Escuela Biol, Grp Invest Agr Organizac &amp; Frutos AO&amp;F, Tunja 150003, Colombia; [Ganino, Tommaso] CNR, Inst BioEcon IBE, Via Madonna Piano 10, I-50019 Sesto Fiorentino, Italy</t>
  </si>
  <si>
    <t>Corporacion Universitaria Minuto de Dios (UNIMINUTO); University of Parma; Universidad Pedagogica y Tecnologica de Colombia (UPTC); Consiglio Nazionale delle Ricerche (CNR); Istituto per la BioEconomia (IBE-CNR)</t>
  </si>
  <si>
    <t>Garcia-Molano, JF (corresponding author), Fdn Univ Juan de Castellanos, Programa Ingn Agr, Grp Invest Agr Organizac &amp; Frutos AO&amp;F, Tunja 150001, Colombia.;Rodolfi, M (corresponding author), Univ Parma, Dept Food &amp; Drug, Parco Area Sci 27-A, I-43124 Parma, Italy.</t>
  </si>
  <si>
    <t>jgarcia@jdc.edu.co; wcuervo@uniminuto.edu; margherita.rodolfi@unipr.it; luzstellajaramillog@gmail.com; tommaso.ganino@unipr.it</t>
  </si>
  <si>
    <t>RODOLFI, Margherita/0000-0002-3791-4952; GANINO, Tommaso/0000-0001-5590-2747; Cuervo-Bejarano, William Javier/0000-0003-4097-8890</t>
  </si>
  <si>
    <t>company Frutalia de Colombia(TM)</t>
  </si>
  <si>
    <t>We gratefully thank the company Frutalia de Colombia (TM), and the owner of the Huerto Olivanto orchard for their support to carry out this research.</t>
  </si>
  <si>
    <t>10.3390/agronomy12051159</t>
  </si>
  <si>
    <t>1P3OT</t>
  </si>
  <si>
    <t>WOS:000801923100001</t>
  </si>
  <si>
    <t>Matallana-Puerto, CA; Rosero-Lasprilla, L; Ordonez-Blanco, JC; Goncalves, RVS; Cardoso, JCF</t>
  </si>
  <si>
    <t>Andres Matallana-Puerto, Carlos; Rosero-Lasprilla, Liliana; Camilo Ordonez-Blanco, Juan; Soares Goncalves, Rogerio Victor; Fernandes Cardoso, Joao Custodio</t>
  </si>
  <si>
    <t>Rarity up in the mountain: Ecological niche modeling, phenology, and reproductive biology of the most commercialized Masdevallia species</t>
  </si>
  <si>
    <t>JOURNAL FOR NATURE CONSERVATION</t>
  </si>
  <si>
    <t>Andes; Endemism; Fly Pollination; Niche modeling; Orchidaceae</t>
  </si>
  <si>
    <t>ORCHID PLATANTHERA-PRAECLARA; CLIMATE-CHANGE; ANDEAN FOREST; POLLINATION; PLEUROTHALLIDINAE; EVOLUTIONARY; CONSEQUENCES; RANGE; PRECIPITATION; CONSERVATION</t>
  </si>
  <si>
    <t>Knowledge of how natural and anthropogenic factors can limit the distribution of rare species is key to develop conservation strategies. We show data on how both factors potentially affect the distribution of a rare high Andean orchid. We chose Masdevallia coccinea as a model because it is endangered and the most commercialized species of the entire genus. Using ecological niche modeling, we confirm its rarity, with a restricted potential occurrence equivalent to only 0.00005 % of South America, 0.0003 % of the Andes, and 0.0009 % of Colombia. We projected the future potential occurrence of M. coccinea and found that it can have a reduction of 43.49 % in the best-case scenario and 89.06 % in the worst-case scenario in 2100. We describe the flowering and fruiting phenologies and demonstrate that the precipitation two months before may determine the first one. Masdevallia coccinea is a rewardless species and, unlike most Pleurothallidinae species, we show that it is self-compatible but non-autonomous selfer. Thus, it is dependent on biotic pollination, performed only by Leucophenga sp. (Drosophilidae: Diptera) which has low efficiency (8.6 % of fruit set). This is the first pollinator report for the genus. While self-compatibility may be related to reproductive assurance, apparently inbreeding depression may affect populations since selfed fruits had less viable seeds. Nevertheless, self-pollination can be avoided by the retention of the anther cap on pollinia, giving more time until the pollinator flies away to another flower. We consider that the rarity of M. coccinea may be a result of both anthropogenic (habitat loss, climate change, and overcollection) and natural factors (high elevation distribution, self-compatibility, rewardless strategy, pollinator specificity, and low fruit set). The several new facets investigated here can be used for future conservation strategies of this emblematic species as well as other high Andean threatened species.</t>
  </si>
  <si>
    <t>[Andres Matallana-Puerto, Carlos; Rosero-Lasprilla, Liliana] Univ Pedag &amp; Tecnol Colombia, Fac Ciencias, Escuela Biol, Grp Invest Biol Conservac, Ave Cent Norte 39-115, Tunja, Boyaca, Colombia; [Andres Matallana-Puerto, Carlos] Univ Estadual Campinas, Inst Biol Vegetal, Programa Posgrad Biol Vegetal, BR-13083970 Campinas, SP, Brazil; [Camilo Ordonez-Blanco, Juan] Jardin Bot Bogota Jose Celestino Mutis, Ave Calle 63 68-95, Bogota, Colombia; [Soares Goncalves, Rogerio Victor] Univ Wollongong, Northfields Ave, Wollongong, NSW 2522, Australia; [Fernandes Cardoso, Joao Custodio] Univ Fed Alfenas, Inst Ciencias Nat, BR-37130000 Alfenas, MG, Brazil</t>
  </si>
  <si>
    <t>Universidad Pedagogica y Tecnologica de Colombia (UPTC); Universidade Estadual de Campinas; University of Wollongong; Universidade Federal de Alfenas</t>
  </si>
  <si>
    <t>Matallana-Puerto, CA (corresponding author), Univ Estadual Campinas, Inst Biol Vegetal, Programa Posgrad Biol Vegetal, BR-13083970 Campinas, SP, Brazil.</t>
  </si>
  <si>
    <t>Rosero, Liliana/B-8304-2019</t>
  </si>
  <si>
    <t>Rosero, Liliana/0000-0002-0163-9231</t>
  </si>
  <si>
    <t>ELSEVIER GMBH</t>
  </si>
  <si>
    <t>MUNICH</t>
  </si>
  <si>
    <t>HACKERBRUCKE 6, 80335 MUNICH, GERMANY</t>
  </si>
  <si>
    <t>1617-1381</t>
  </si>
  <si>
    <t>1618-1093</t>
  </si>
  <si>
    <t>J NAT CONSERV</t>
  </si>
  <si>
    <t>J. Nat. Conserv.</t>
  </si>
  <si>
    <t>10.1016/j.jnc.2021.126120</t>
  </si>
  <si>
    <t>Biodiversity Conservation; Ecology</t>
  </si>
  <si>
    <t>Biodiversity &amp; Conservation; Environmental Sciences &amp; Ecology</t>
  </si>
  <si>
    <t>0U8IV</t>
  </si>
  <si>
    <t>WOS:000787891800011</t>
  </si>
  <si>
    <t>Ramirez, M; Ariza, LR; Miranda, MEG; Vartika</t>
  </si>
  <si>
    <t>Ramirez, Maricela; Rodriguez Ariza, Lazaro; Gomez Miranda, Maria Elena; Vartika</t>
  </si>
  <si>
    <t>The Disclosures of Information on Cybersecurity in Listed Companies in Latin America-Proposal for a Cybersecurity Disclosure Index</t>
  </si>
  <si>
    <t>cybersecurity disclosure; disclosure index; cybersecurity governance; cybersecurity strategies; cybersecurity risk management; financial implications of cybersecurity risk</t>
  </si>
  <si>
    <t>GREENHOUSE-GAS EMISSIONS; ENVIRONMENTAL DISCLOSURE; CLIMATE-CHANGE; CORPORATE; PERFORMANCE; FIRMS</t>
  </si>
  <si>
    <t>For the corporate sphere, cybersecurity becomes an inescapable business responsibility, and accountability becomes a way of providing trust and ensuring resilience against cyber risks and high-impact cyber threats. The purpose of this study was to create a disclosure index that allows analysis of the scope of the disclosure of voluntary and mandatory cybersecurity information. The content analysis technique used focuses on the examination and identification of the cybersecurity information revealed in the annual reports and the 20 F annual forms of the companies with the highest stock market prices in Argentina, Brazil, Chile, Colombia, Mexico, and Peru during the period of 2016-2020. Longitudinal analysis indicates an increase over time in the disclosures and scope of information. The findings highlight that the country with the highest related disclosure is Argentina; the most extensive disclosures are due to the financial sector; and the strategy dimension represents the greatest weight in the index score. The study provides a novel instrument for measuring the content of disclosure on cybersecurity that is applicable in any specific context. In this case, the scope of disclosure in Latin America-a region which, according to our research, does not have previous studies on the subject-is evaluated.</t>
  </si>
  <si>
    <t>[Ramirez, Maricela] Pedag &amp; Technol Univ Colombia, Fac Econ &amp; Adm Sci, Tunja 150001, Colombia; [Rodriguez Ariza, Lazaro; Gomez Miranda, Maria Elena] Univ Granada, Dept Financial Econ &amp; Accounting, Granada 18071, Spain; [Vartika] Indian Inst Management Rohtak, Rohtak 124010, Haryana, India</t>
  </si>
  <si>
    <t>Universidad Pedagogica y Tecnologica de Colombia (UPTC); University of Granada; Indian Institute of Management (IIM System); Indian Institute of Management Rohtak</t>
  </si>
  <si>
    <t>Ramirez, M (corresponding author), Pedag &amp; Technol Univ Colombia, Fac Econ &amp; Adm Sci, Tunja 150001, Colombia.</t>
  </si>
  <si>
    <t>maricela@correo.ugr.es; lazaro@ugr.es; melena@ugr.es; vartikajnu3007@gmail.com</t>
  </si>
  <si>
    <t>Rodríguez, Lázaro/L-1383-2014</t>
  </si>
  <si>
    <t>Rodríguez, Lázaro/0000-0002-5650-7703; Gomez Miranda, Maria Elena/0000-0001-7426-7136; Ramirez, Maricela/0000-0002-3987-3197</t>
  </si>
  <si>
    <t>10.3390/su14031390</t>
  </si>
  <si>
    <t>0H8WV</t>
  </si>
  <si>
    <t>WOS:000779011600001</t>
  </si>
  <si>
    <t>Sermeno-Correa, C; Lopera-Toro, A; Moreno-Mancilla, O; Candamil-Banos, J; Ramirez-Restrepo, L; Taboada-Verona, C</t>
  </si>
  <si>
    <t>Sermeno-Correa, Carlos; Lopera-Toro, Alejandro; Moreno-Mancilla, Oscar; Candamil-Banos, Julian; Ramirez-Restrepo, Lorena; Taboada-Verona, Carlos</t>
  </si>
  <si>
    <t>Diversity of dung beetles (Coleoptera: Scarabaeidae) in three urban areas from Colombian Caribbean</t>
  </si>
  <si>
    <t>REVISTA PERUANA DE BIOLOGIA</t>
  </si>
  <si>
    <t>In this paper, diversity and composition of dung beetles assemblage was study in three urbanized areas with different ecological characteristics from Sucre department , Colombia. Individuals were captured with baited pitfall traps. Sampling effort, range-abundance curves, alpha and beta diversity indices were estimated and compared among the sites. Seven hundred ten individuals grouped into nine genera and 13 species were recorded. The completeness analysis yielded values above 97%. The most diverse assemblage in any of the three orders of q was found in the site with a mixture of buildings, gardens, and a patch of secondary vegetation forest, followed by the site with few facilities and open green spaces, and the least diverse site corresponded to the area surrounded by buildings with little vegetation cover. Sorensen-Dice index similarity among the three sites was 38%. The range-abundance curves showed higher species equitability in the most diverse site. The results show that the beetle assemblage composition depends on environmental conditions and the degree of urbanization. It was also evident that some species have high adaptability to urban spaces and others are potentially at risk of local extinction events.</t>
  </si>
  <si>
    <t>[Sermeno-Correa, Carlos] Univ Sucre, Invest Biomed, Sincelejo, Colombia; [Lopera-Toro, Alejandro] Fdn Ecotrop Colombia, Bogota, DC, Colombia; [Moreno-Mancilla, Oscar] Univ Pedag &amp; Tecnol Colombia, Grp Invest Sistemat Biol Sisbio, Tunja, Boyaca, Colombia; [Candamil-Banos, Julian] Univ Sucre, Sincelejo, Colombia; [Ramirez-Restrepo, Lorena] Dept Adm Gest Medio Ambiente DAG MA, Grp Conservac Ecosistemas, Ave SAN 20-08, Cali, Valle Del Cauca, Colombia; [Taboada-Verona, Carlos] Univ Sucre, Grp Evoluc &amp; Sistemat Trop, Sincelejo, Colombia; [Taboada-Verona, Carlos] MCS Consultoria &amp; Monitoreo Ambiental, Bogota, Colombia</t>
  </si>
  <si>
    <t>Taboada-Verona, C (corresponding author), Univ Sucre, Grp Evoluc &amp; Sistemat Trop, Sincelejo, Colombia.;Taboada-Verona, C (corresponding author), MCS Consultoria &amp; Monitoreo Ambiental, Bogota, Colombia.</t>
  </si>
  <si>
    <t>sermenoca@gmail.com; alejandro.lopera@gmail.com; felipemmancilla@gmail.com; juliancandamil92@gmail.com; lorena.ramirez.restrepo@gmail.com; carlostaboadaverona@gmail.com</t>
  </si>
  <si>
    <t>Sermeno Correa, Carlos Alberto/0000-0001-6513-3822</t>
  </si>
  <si>
    <t>Univ Nacional Mayor de San Marcos, Faculty  Biological Sciences</t>
  </si>
  <si>
    <t>Lima</t>
  </si>
  <si>
    <t>Ciudad Univ San Marcos,Av Carlos German Amezaga #375, Cercado, Lima, Cercado, PERU</t>
  </si>
  <si>
    <t>1561-0837</t>
  </si>
  <si>
    <t>1727-9933</t>
  </si>
  <si>
    <t>REV PERUANA BIOL</t>
  </si>
  <si>
    <t>Rev. Peruana Biol.</t>
  </si>
  <si>
    <t>e20887</t>
  </si>
  <si>
    <t>10.15381/rpb.v29i1.20887</t>
  </si>
  <si>
    <t>ZX7LV</t>
  </si>
  <si>
    <t>WOS:000772076300001</t>
  </si>
  <si>
    <t>Lopez-Lopez, W; Ossa, JC; Cudina, JN; Bustamante, MCA; Torres, M; Acevedo-Triana, C; Salas, G</t>
  </si>
  <si>
    <t>Lopez-Lopez, Wilson; Cesar Ossa, Julio; Nikola Cudina, Jean; Aguilar Bustamante, Maria Constanza; Torres, Michelle; Acevedo-Triana, Cesar; Salas, Gonzalo</t>
  </si>
  <si>
    <t>Analysis of production and collaboration networks in doctoral programs in psychology in Colombia</t>
  </si>
  <si>
    <t>ACTA COLOMBIANA DE PSICOLOGIA</t>
  </si>
  <si>
    <t>academic production; doctoral training programs; Colombia</t>
  </si>
  <si>
    <t>IBERO-AMERICAN PSYCHOLOGY; SCIENTIFIC PRODUCTION; IMPACT PAPERS; JOURNALS; PUBLICATION; CHALLENGES; VISIBILITY; HISTORY; INTERNATIONALIZATION; BIBLIOMETRICS</t>
  </si>
  <si>
    <t>The objective of doctoral training is the generation and dissemination of new knowledge; however, it is not clear how doctoral programs in Colombia relate to this type of production. Based on this, this study presents the general panorama of academic production across Colombian higher education institutions that offer doctoral training programs in psychology. The academic production was obtained from the Scopus database in a sample of 13 universities. After this search, 1345 documents were found with which an analysis was made regarding productivity indicators and the collaboration networks within the discipline in the country were identified. Subsequently, this information was contrasted with the national information registered in the Latin American and Caribbean Curriculum Vitae system (CvLAC) of 193 professors associated with the universities offering doctoral programs. As a result, when comparing national and international academic production, a greater correlation is found between the supervision of graduate theses and publication in national journals. In this sense, it is found that the impact of doctoral training on the generation of new knowledge is relative and has a limited scope, being mainly national journals the means of dissemination of this knowledge. It is recommended to evaluate the impact of products associated with postgraduate training and international visibility, with emphasis on indexed journals in international databases.</t>
  </si>
  <si>
    <t>[Lopez-Lopez, Wilson] Pontificia Univ Javeriana, Cra 5 39-00,Piso 2,Edificio Manuel Briceno, Bogota, Colombia; [Cesar Ossa, Julio] Fdn Univ Popayan, Popayan, Colombia; [Nikola Cudina, Jean] Fdn Univ Lumen Gentium, Cali, Colombia; [Aguilar Bustamante, Maria Constanza] Univ Catolica Colombia, Bogota, Colombia; [Torres, Michelle; Acevedo-Triana, Cesar] Univ Pedag &amp; Tecnol Colombia, Tunja, Boyaca, Colombia; [Salas, Gonzalo] Univ Catolica Maule, Talca, Chile</t>
  </si>
  <si>
    <t>Pontificia Universidad Javeriana; Universidad Pedagogica y Tecnologica de Colombia (UPTC); Universidad Catolica del Maule</t>
  </si>
  <si>
    <t>Lopez-Lopez, W (corresponding author), Pontificia Univ Javeriana, Cra 5 39-00,Piso 2,Edificio Manuel Briceno, Bogota, Colombia.</t>
  </si>
  <si>
    <t>lopezw@javeriana.edu.co</t>
  </si>
  <si>
    <t>Ossa, Julio Cesar/ABT-8122-2022; AGUILAR BUSTAMANTE, MARIA CONSTANZA/GZH-1036-2022</t>
  </si>
  <si>
    <t>Ossa, Julio Cesar/0000-0002-3079-3318; AGUILAR BUSTAMANTE, MARIA CONSTANZA/0000-0003-2990-9667; Salas, Gonzalo/0000-0003-0707-8188; Acevedo-Triana, Cesar/0000-0002-1296-9957; Lopez-Lopez, Wilson/0000-0002-2964-0402; Cudina, Jean Nikola/0000-0003-4004-7615</t>
  </si>
  <si>
    <t>UNIV CATOLICA COLOMBIA, FAC DISENO</t>
  </si>
  <si>
    <t>BOGOTA D C</t>
  </si>
  <si>
    <t>CARRERA 13 NO 47-49, BOGOTA D C, 00000, COLOMBIA</t>
  </si>
  <si>
    <t>0123-9155</t>
  </si>
  <si>
    <t>1909-9711</t>
  </si>
  <si>
    <t>ACTA COLOMB PSICOL</t>
  </si>
  <si>
    <t>Acta Colomb. Psicol.</t>
  </si>
  <si>
    <t>10.14718/ACP.2022.25.1.11</t>
  </si>
  <si>
    <t>Psychology, Clinical</t>
  </si>
  <si>
    <t>1P7KG</t>
  </si>
  <si>
    <t>WOS:000802183200010</t>
  </si>
  <si>
    <t>Larrota-Forerol, RA; Gonzalez-Sanabria, JS; Sarmiento-Rojas, JA</t>
  </si>
  <si>
    <t>Larrota-Forerol, Rafael-Andros; Gonzalez-Sanabria, Juan-Sebastian; Sarmiento-Rojas, Jorge-Andros</t>
  </si>
  <si>
    <t>Proposal for the Implementation of Crowdmapping for the Recognition of Social Housing in Urban City Councils</t>
  </si>
  <si>
    <t>collaborative map; collaborative platforms; crowdmapping; crowdsourcing; geolocation; workflow</t>
  </si>
  <si>
    <t>Presents a study of crowdmapping as a practice for collaborative mapping in information management in order to make a proposal for the implementation of Crowdmapping within the process of recognition of Social Interest Housing (VIS) carried out by urban curatorships as an alternative in the optimization of internal management processes. For this purpose, a review of the process and data management model of three pioneering and current collaborative platforms in this practice was carried out. The crowdmapping workflow was analyzed and it was integrated into the recognition process to be implemented using a collaborative platform. The design of tasks, assignment of roles and strategies for data collection were key elements within the workflow in order to develop participatory capabilities in the community and have a shared management with quality. The outcome was a Crowdsourced collaborative map that provides relevant information to officials and administrators of the curatorial offices in the stages of achieving VIS recognition.</t>
  </si>
  <si>
    <t>[Gonzalez-Sanabria, Juan-Sebastian; Sarmiento-Rojas, Jorge-Andros] Univ Pedagog &amp; Tecnol Colombia, Tunja Boyaca, Colombia</t>
  </si>
  <si>
    <t>Gonzalez-Sanabria, JS (corresponding author), Univ Pedagog &amp; Tecnol Colombia, Tunja Boyaca, Colombia.</t>
  </si>
  <si>
    <t>juansebastian.gonzalez@uptc.edu.co; jorge.sarmiento02@uptc.edu.co</t>
  </si>
  <si>
    <t>e15319</t>
  </si>
  <si>
    <t>10.19053/01211129.v31.n62.2022.15319</t>
  </si>
  <si>
    <t>6P9IQ</t>
  </si>
  <si>
    <t>WOS:000891238100001</t>
  </si>
  <si>
    <t>Medina-Jaramillo, C; Usgame-Fagua, K; Franco-Gonzalez, N; Lopez-Cordoba, A</t>
  </si>
  <si>
    <t>Medina-Jaramillo, Carolina; Usgame-Fagua, Karen; Franco-Gonzalez, Nelson; Lopez-Cordoba, Alex</t>
  </si>
  <si>
    <t>Single and Combined Effect of Mild-Heat Treatment and Alginate Coatings on Quality Preservation of Minimally Processed Bunching Green Onions</t>
  </si>
  <si>
    <t>food loss and waste; food preservation; hurdle technology; minimal processing</t>
  </si>
  <si>
    <t>ANTIOXIDANT ACTIVITY; EDIBLE COATINGS; FILMS; TEXTURE; FRUITS; SHOCKS; L.</t>
  </si>
  <si>
    <t>Bunching green onion is an Allium species that has been widely used in food flavorings and seasonings. This vegetable experiences a rapid loss of quality during storage due to physiological changes and microbial spoilage. In the current work, the single and combined effect of mild-heat treatment (55 degrees C for 60 s) and alginate edible coatings on the quality preservation of minimally processed bunching green onions was studied. Control and treated samples were stored at 4 degrees C for 15 days and examined periodically in terms of their respiration rate, weight loss, pH, soluble solids content, firmness, total polyphenol content, antioxidant activity, microbial count, decay ratio, and overall visual quality. The results showed that the combination of mild heat and alginate edible coatings was the most effective approach to slow down the respiration rate and the incidence of decay in the minimally processed bunching green onions. In addition, the treatments with alginate coating alone or combined with mild-heat treatment showed the best performance for maintaining the overall visual quality of the products during the storage.</t>
  </si>
  <si>
    <t>[Medina-Jaramillo, Carolina; Usgame-Fagua, Karen; Franco-Gonzalez, Nelson; Lopez-Cordoba, Alex] Univ Pedagog &amp; Tecnol Colombia, Fac Secc Duitama, Grp Invest Bioecon &amp; Sostenibilidad Agroalimentar, Escuela Adm Empresas Agropecuarias, Carrera 18 Con Calle 22, Duitama 150461, Colombia</t>
  </si>
  <si>
    <t>Lopez-Cordoba, A (corresponding author), Univ Pedagog &amp; Tecnol Colombia, Fac Secc Duitama, Grp Invest Bioecon &amp; Sostenibilidad Agroalimentar, Escuela Adm Empresas Agropecuarias, Carrera 18 Con Calle 22, Duitama 150461, Colombia.</t>
  </si>
  <si>
    <t>alex.lopez01@uptc.edu.co; alex.lopez01@uptc.edu.co; alex.lopez01@uptc.edu.co; alex.lopez01@uptc.edu.co</t>
  </si>
  <si>
    <t>Lopez-Cordoba, Alex/0000-0003-2434-5743; Medina-Jaramillo, Carolina/0000-0003-0623-912X</t>
  </si>
  <si>
    <t>Minciencias; Gobernacion de Boyaca through the PATRIMONIO AUTONOMO FONDO NACIONAL DE FINANCIAMIENTO PARA LA CIENCIA, LA TECNOLOGIA Y LA INNOVACION FRANCISCO JOSE DE CALDAS [75550]</t>
  </si>
  <si>
    <t>Minciencias; Gobernacion de Boyaca through the PATRIMONIO AUTONOMO FONDO NACIONAL DE FINANCIAMIENTO PARA LA CIENCIA, LA TECNOLOGIA Y LA INNOVACION FRANCISCO JOSE DE CALDAS</t>
  </si>
  <si>
    <t>10.3390/foods11050641</t>
  </si>
  <si>
    <t>ZW5LQ</t>
  </si>
  <si>
    <t>WOS:000771254600001</t>
  </si>
  <si>
    <t>Gonzalez-Sanabria, JS; Ramos-Corredor, FN; Amezquita-Becerra, G</t>
  </si>
  <si>
    <t>Gonzalez-Sanabria, Juan-Sebastian; Ramos-Corredor, Fabian-Nicolas; Amezquita-Becerra, German</t>
  </si>
  <si>
    <t>Automation Tool for Institutional Repositories Evaluation</t>
  </si>
  <si>
    <t>evaluation; institutional repositories; process automation; software development</t>
  </si>
  <si>
    <t>The rise of digital repositories has framed a significant advance in access to academic and scientific knowledge, increasing its impact due to greater reach and lower cost. However, these platforms are a new topic that initially did not have standards or models to carry out their implementation and operation, which is why there were inconsistencies between repositories on issues such as interoperability, digital preservation, among others. Due to the lack of standardization and the exponential increase in the number of repositories, different organizations and researchers made multiple proposals to standardize the processes and characteristics of these platforms. The proposals materialized in models, such as the Dublin Core and DataCite metadata schemes, and in guides for the evaluation and implementation of repositories, such as the Guide for the evaluation of institutional research repositories by RECOLECTA or the DINI certificate (Deutsche Initiative fur Netzwerk Information). The latter aim to evaluate the platforms in their entirety, including 8 sections with a total of 87 elements. Therefore, in this research an application was developed to automate the evaluation of repositories, automating processes that improve educational work using computer tools and their integration.</t>
  </si>
  <si>
    <t>[Gonzalez-Sanabria, Juan-Sebastian; Ramos-Corredor, Fabian-Nicolas; Amezquita-Becerra, German] Univ Pedagog &amp; Tecnol Colombia, Tunja Boyaca, Colombia</t>
  </si>
  <si>
    <t>juansebastian.gonzalez@uptc.edu.co; fabian.ramos01@uptc.edu.co; german.amezquita@uptc.edu.co</t>
  </si>
  <si>
    <t>Gonzalez-Sanabria, Juan-Sebastian/0000-0002-1024-6077</t>
  </si>
  <si>
    <t>e14724</t>
  </si>
  <si>
    <t>10.19053/01211129.v31.n61.2022.14724</t>
  </si>
  <si>
    <t>3S3XK</t>
  </si>
  <si>
    <t>WOS:000839532300001</t>
  </si>
  <si>
    <t>Laverde, JAM; Porras, OYP</t>
  </si>
  <si>
    <t>Moreno Laverde, Jhonny Alejandro; Patina Porras, Olga Yanneth</t>
  </si>
  <si>
    <t>Literary narratives as a tool in solving mathematical problems</t>
  </si>
  <si>
    <t>REIDOCREA-REVISTA EECTRONICA DE INVESTIGACION Y DOCENCIA CREATIVA</t>
  </si>
  <si>
    <t>Problem solving</t>
  </si>
  <si>
    <t>Reading, comprehension and interpretation are processes that are directly based on the construction of meaning and its application in life by the reader, that is, one of the concerns of teachers should be that their students understand what they read and thus awaken their interest to apply the knowledge acquired when solving problems of the mathematical environment. This article was approached with a qualitative approach under an action research design, where a series of phases were applied for the development of the strategy with the students. In the first place, a diagnostic test was applied that allowed to identify the strengths and difficulties that these presented in the interpretation and understanding of the statements, later a second phase was initiated, in this case using literary narratives in order to motivate students to the interest in reading and thus expand their vocabulary, level of comprehension and analysis of any text or statement to apply it in mathematical and communicative situations, to then improve performance in internal and external tests that involve this type of problem-solving situations.</t>
  </si>
  <si>
    <t>[Moreno Laverde, Jhonny Alejandro; Patina Porras, Olga Yanneth] Univ Pedagog &amp; Tecnol Colombia, Tunja, Boyaca, Colombia</t>
  </si>
  <si>
    <t>Laverde, JAM (corresponding author), Univ Pedagog &amp; Tecnol Colombia, Tunja, Boyaca, Colombia.</t>
  </si>
  <si>
    <t>UNIV GRANADA, FAC CIENCIAS EDUCACION</t>
  </si>
  <si>
    <t>CAMPUS UNIV CARTUJA S-N, GRANADA, 18071, SPAIN</t>
  </si>
  <si>
    <t>2254-5883</t>
  </si>
  <si>
    <t>REIDOCREA</t>
  </si>
  <si>
    <t>ReiDoCrea</t>
  </si>
  <si>
    <t>3N7GG</t>
  </si>
  <si>
    <t>WOS:000836312900001</t>
  </si>
  <si>
    <t>Romero-Hernandez, WA; Gonzalez-Sanabria, JS; Guiza-Pinzon, FD</t>
  </si>
  <si>
    <t>Romero-Hernandez, Wilmer-Andres; Gonzalez-Sanabria, Juan-Sebastian; Guiza-Pinzon, Fabian-David</t>
  </si>
  <si>
    <t>Collaborative Information Maps for the Delimitation of Properties, Bicycle Routes, and Tourist Sites in Tunja, Boyaca</t>
  </si>
  <si>
    <t>bicycle users; collective participation; crowd-mapping; data geolocation; land delimitation; touristic mapping</t>
  </si>
  <si>
    <t>New technologies and technological advances have contributed to a greater interaction with platforms such as crowdmapping, which allow people or organizations to have an information flow with which they can make contributions through collaborative maps. In order to understand its applications and uses, a systematic re-view was conducted on the application and importance of crowdmapping and its contribution to the creation of maps in different sectors or areas of society. From this review, the usefulness and efficiency of this type of mapping was determined regarding the delimitation of properties and bike routes, as well as the geolocation of tourist sites in Tunja (Boyaca), so that anyone acces-sing the maps could participate, appropriate the infor-mation, and contribute according to their interests. Said implementation makes its contribution people to know and be able to guide and provide relevant information to both citizens and tourists on the different routes for bicycle users or tourist sites in the city. In these cases, such information is provided by people who have li-ved the experience and want to share it, thus creating collaborative maps in real time. As for these maps, it is important to validate all the information in order for it to be completely real and for this type of platform to generate confidence for later implementation in other projects with a social aim.</t>
  </si>
  <si>
    <t>[Romero-Hernandez, Wilmer-Andres; Gonzalez-Sanabria, Juan-Sebastian; Guiza-Pinzon, Fabian-David] Univ Pedagog &amp; Tecnol Colombia, Tunja, Colombia</t>
  </si>
  <si>
    <t>Romero-Hernandez, WA (corresponding author), Univ Pedagog &amp; Tecnol Colombia, Tunja, Colombia.</t>
  </si>
  <si>
    <t>wilmer.romero02@uptc.edu.co; juansebastian.gonzalez@uptc.edu.co; fabian.guiza@uptc.edu.co</t>
  </si>
  <si>
    <t>Guiza Pinzon, Fabian David/0000-0001-9722-9124</t>
  </si>
  <si>
    <t>10.14483/23448350.19584</t>
  </si>
  <si>
    <t>5E9NZ</t>
  </si>
  <si>
    <t>WOS:000865949500009</t>
  </si>
  <si>
    <t>Bilbao, R; Ramos, V</t>
  </si>
  <si>
    <t>Bilbao, R.; Ramos, V</t>
  </si>
  <si>
    <t>Uniqueness and stability of equilibrium states for random non-uniformly expanding maps</t>
  </si>
  <si>
    <t>ERGODIC THEORY AND DYNAMICAL SYSTEMS</t>
  </si>
  <si>
    <t>random dynamical systems; stability; thermodynamical formalism</t>
  </si>
  <si>
    <t>THERMODYNAMIC FORMALISM; RANDOM TRANSFORMATIONS; ROBUST CLASSES; DECAY</t>
  </si>
  <si>
    <t>We consider a robust class of random non-uniformly expanding local homeomorphisms and Holder continuous potentials with small variation. For each element of this class we develop the thermodynamical formalism and prove the existence and uniqueness of equilibrium states among non-uniformly expanding measures. Moreover, we show that these equilibrium states and the random topological pressure vary continuously in this setting.</t>
  </si>
  <si>
    <t>[Bilbao, R.] UPTC, Escuela Matemat &amp; Estat, Sede Cent Norte Av Cent Norte 39-115, Tunja 150003, Boyaca, Colombia; [Ramos, V] Univ Fed Maranhao, Dept Matemat, Av Portugueses 1966, BR-65080805 Sao Luis, Maranhao, Brazil</t>
  </si>
  <si>
    <t>Universidad Pedagogica y Tecnologica de Colombia (UPTC); Universidade Federal do Maranhao</t>
  </si>
  <si>
    <t>Bilbao, R (corresponding author), UPTC, Escuela Matemat &amp; Estat, Sede Cent Norte Av Cent Norte 39-115, Tunja 150003, Boyaca, Colombia.</t>
  </si>
  <si>
    <t>rafael.alvarez@uptc.edu.co; ramos.vanessa@ufma.br</t>
  </si>
  <si>
    <t>ALVAREZ BILBAO, RAFAEL JOSE/0000-0001-8223-9434</t>
  </si>
  <si>
    <t>FAPEMA-Brazil</t>
  </si>
  <si>
    <t>FAPEMA-Brazil(Fundacao de Amparo a Pesquisa e Desenvolvimento Cientifico do Maranhao (FAPEMA))</t>
  </si>
  <si>
    <t>We would like to thank P. Varandas for useful suggestions and encouragement. We are grateful to the referee for their valuable comments which helped us to correct and improve the manuscript. RB thanks to K. Oliveira for many conversations and to IM-UFAL for the hospitality. VR thanks FAPEMA-Brazil for its financial support.</t>
  </si>
  <si>
    <t>0143-3857</t>
  </si>
  <si>
    <t>1469-4417</t>
  </si>
  <si>
    <t>ERGOD THEOR DYN SYST</t>
  </si>
  <si>
    <t>Ergod. Theory Dyn. Syst.</t>
  </si>
  <si>
    <t>PII S014338572200044X</t>
  </si>
  <si>
    <t>10.1017/etds.2022.44</t>
  </si>
  <si>
    <t>3F7PQ</t>
  </si>
  <si>
    <t>WOS:000830856900001</t>
  </si>
  <si>
    <t>Bilbao, RA</t>
  </si>
  <si>
    <t>Bilbao, Rafael A.</t>
  </si>
  <si>
    <t>Expanding measure has nonuniform specification property on random dynamical system</t>
  </si>
  <si>
    <t>CHAOS SOLITONS &amp; FRACTALS</t>
  </si>
  <si>
    <t>Random dynamical systems; Expanding measure; Nonuniform specification property</t>
  </si>
  <si>
    <t>In the present paper, we study the distribution of the return points in the fibers for a random nonuniformly expanding dynamical system, preserving an ergodic probability. We also show the abundance of nonlacunarity of hyperbolic times that are obtained along the orbits through the fibers. We conclude that any ergodic measure with positive Lyapunov exponents satisfies the nonuniform specification property among fibers. As consequences, we prove that any expanding measure is the limit of probability measures whose measures of disintegration on the fibers are supported on a finite number of return points and we prove that the average of the measures on the fibers corresponding to a disintegration, along the orbit (theta(n)(w))(n &gt;= 0) in the base dynamics is the limit of Dirac measures supported on return orbits on the fibers. (C) 2022 Elsevier Ltd. All rights reserved.</t>
  </si>
  <si>
    <t>[Bilbao, Rafael A.] UPTC, Escuela Matemat &amp; Estat, Sede Cent Norte Av.Cent Norte 39-115, Boyaca 150003, Colombia; [Bilbao, Rafael A.] Univ Fed Alagoas, UFAL, Inst Matemat, Av.Lourival Melo Mota,S-N Tabuleiro Martins, BR-57072900 Maceio, AL, Brazil</t>
  </si>
  <si>
    <t>Universidad Pedagogica y Tecnologica de Colombia (UPTC); Universidade Federal de Alagoas</t>
  </si>
  <si>
    <t>Bilbao, RA (corresponding author), Univ Fed Alagoas, UFAL, Inst Matemat, Av.Lourival Melo Mota,S-N Tabuleiro Martins, BR-57072900 Maceio, AL, Brazil.</t>
  </si>
  <si>
    <t>rafael.alvarez@uptc.edu.co</t>
  </si>
  <si>
    <t>IM-UFAL, Brazil</t>
  </si>
  <si>
    <t>Acknowledgements The author would like to thank K. Oliveira for pointing out this prob-lem and E. Santana for comments and for useful conversations. We also thank IM-UFAL, Brazil for the hospitality and the opportunity to develop part of this work.</t>
  </si>
  <si>
    <t>0960-0779</t>
  </si>
  <si>
    <t>1873-2887</t>
  </si>
  <si>
    <t>CHAOS SOLITON FRACT</t>
  </si>
  <si>
    <t>Chaos Solitons Fractals</t>
  </si>
  <si>
    <t>10.1016/j.chaos.2022.112009</t>
  </si>
  <si>
    <t>Mathematics, Interdisciplinary Applications; Physics, Multidisciplinary; Physics, Mathematical</t>
  </si>
  <si>
    <t>Mathematics; Physics</t>
  </si>
  <si>
    <t>1K7LK</t>
  </si>
  <si>
    <t>WOS:000798778300016</t>
  </si>
  <si>
    <t>Cifuentes, EA; Sierra, MA; Yepes, AF; Baldion, AM; Rojas, JA; Alvarez-Moreno, CA; Anzola, JM; Zambrano, MM; Huertas, MG</t>
  </si>
  <si>
    <t>Alejandra Cifuentes, Erika; Sierra, Maria A.; Felipe Yepes, Andres; Margarita Baldion, Ana; Antonio Rojas, Jose; Arturo Alvarez-Moreno, Carlos; Manuel Anzola, Juan; Mercedes Zambrano, Maria; Huertas, Monica G.</t>
  </si>
  <si>
    <t>Endotracheal tube microbiome in hospitalized patients defined largely by hospital environment</t>
  </si>
  <si>
    <t>RESPIRATORY RESEARCH</t>
  </si>
  <si>
    <t>Endotracheal tubes; Respiratory tract microbiome; Intensive care units (ICUs); Ventilator-associated pneumonia; Microbial diversity</t>
  </si>
  <si>
    <t>KLEBSIELLA-PNEUMONIAE; BIOFILM FORMATION; DENTAL PLAQUE; RISK-FACTORS; LUNG; INFECTIONS</t>
  </si>
  <si>
    <t>Background Studies of the respiratory tract microbiome primarily focus on airway and lung microbial diversity, but it is still unclear how these microbial communities may be affected by intubation and long periods in intensive care units (ICU), an aspect that today could aid in the understanding of COVID19 progression and disease severity. This study aimed to explore and characterize the endotracheal tube (ETT) microbiome by analyzing ETT-associated microbial communities. Methods This descriptive study was carried out on adult patients subjected to invasive mechanical ventilation from 2 to 21 days. ETT samples were obtained from 115 patients from ICU units in two hospitals. Bacteria isolated from endotracheal tubes belonging to the ESKAPE group were analyzed for biofilm formation using crystal violet quantification. Microbial profiles were obtained using Illumina sequencing of 16S rRNA gene. Results The ETT microbiome was mainly composed by the phyla Proteobacteria, Firmicutes and Bacteroidetes. Microbiome composition correlated with the ICU in which patients were hospitalized, while intubation time and diagnosis of ventilator-associated pneumonia (VAP) did not show any significant association. Conclusion These results suggest that the ICU environment, or medical practices, could be a key to microbial colonization and have a direct influence on the ETT microbiomes of patients that require mechanical ventilation.</t>
  </si>
  <si>
    <t>[Alejandra Cifuentes, Erika; Sierra, Maria A.; Manuel Anzola, Juan; Mercedes Zambrano, Maria; Huertas, Monica G.] Corp CorpoGen Res Ctr, Bogota, Colombia; [Sierra, Maria A.] Weill Cornell Med, Triinst Computat Biol &amp; Med Program, New York, NY USA; [Felipe Yepes, Andres; Margarita Baldion, Ana] Hosp Univ Fdn Santa Fe Bogota, Bogota, Colombia; [Antonio Rojas, Jose; Arturo Alvarez-Moreno, Carlos] Clin Univ Colombia, Clin Colsanitas, Bogota, Colombia; [Manuel Anzola, Juan; Mercedes Zambrano, Maria] Univ Cent, Bogota, Colombia; [Huertas, Monica G.] Univ Pedag &amp; Tecnol Colombia, Tunja, Boyaca, Colombia</t>
  </si>
  <si>
    <t>Cornell University; Universidad Pedagogica y Tecnologica de Colombia (UPTC)</t>
  </si>
  <si>
    <t>Huertas, MG (corresponding author), Corp CorpoGen Res Ctr, Bogota, Colombia.;Huertas, MG (corresponding author), Univ Pedag &amp; Tecnol Colombia, Tunja, Boyaca, Colombia.</t>
  </si>
  <si>
    <t>monica.huertas01@uptc.edu.co</t>
  </si>
  <si>
    <t>Huertas Valero, Monica Gabriela/0000-0001-6568-4595</t>
  </si>
  <si>
    <t>Colciencias/Minciencias [63967255342, 6396100270500]</t>
  </si>
  <si>
    <t>Colciencias/Minciencias</t>
  </si>
  <si>
    <t>The work was financed by Colciencias/Minciencias (Projects 63967255342 and 6396100270500). The funding agencies had no role in the design of the study, collection of samples, analysis and interpretation of the results, or in writing the manuscript.</t>
  </si>
  <si>
    <t>1465-993X</t>
  </si>
  <si>
    <t>RESP RES</t>
  </si>
  <si>
    <t>Respir. Res.</t>
  </si>
  <si>
    <t>JUN 24</t>
  </si>
  <si>
    <t>10.1186/s12931-022-02086-7</t>
  </si>
  <si>
    <t>Respiratory System</t>
  </si>
  <si>
    <t>2J2KZ</t>
  </si>
  <si>
    <t>WOS:000815494000001</t>
  </si>
  <si>
    <t>Montanez-Barrera, JA; Barroso-Maldonado, JM; Bedoya-Santacruz, AF; Mota-Babiloni, A</t>
  </si>
  <si>
    <t>Montanez-Barrera, J. A.; Barroso-Maldonado, J. M.; Bedoya-Santacruz, A. F.; Mota-Babiloni, Adrian</t>
  </si>
  <si>
    <t>Correlate d-informe d neural networks: A new machine learning framework to predict pressure drop in micro-channels</t>
  </si>
  <si>
    <t>INTERNATIONAL JOURNAL OF HEAT AND MASS TRANSFER</t>
  </si>
  <si>
    <t>Two-phase flow; Pressure drop; Zeotropic mixtures; Machine learning; Transfer learning; ANN; Micro-channels</t>
  </si>
  <si>
    <t>FLOW; MODELS; ANN</t>
  </si>
  <si>
    <t>Accurate pressure drop estimation in forced boiling phenomena is important during the thermal analysis and the geometric design of cryogenic heat exchangers. However, current methods to predict the pressure drop have one of two problems: lack of accuracy or generalization to different situations. In this work, we present the correlated-informed neural networks (CoINN), a new paradigm in applying the artificial neural network (ANN) technique combined with a successful pressure drop correlation as a mapping tool to predict the pressure drop of zeotropic mixtures in micro-channels. The proposed approach is inspired by Transfer Learning, which is highly used in deep learning problems with reduced datasets. Our method improves the ANN performance by transferring the knowledge of the Sun &amp; Mishima correlation for the pressure drop to the ANN. The correlation having physical and phenomenological implications for the pressure drop in micro-channels considerably improves the performance and generalization capabilities of the ANN. The final architecture consists of three inputs: the mixture vapor quality, the micro-channel inner diameter, and the available pressure drop correlation. The results show the benefits gained using the correlated-informed approach predicting experimental data used for training and a posterior test with a mean relative error (mre) of 6%, lower than the Sun &amp; Mishima correlation of 13%. Additionally, this approach can be extended to other mixtures and experimental settings, a missing feature in other approaches for mapping correlations using ANNs for heat transfer applications.(c) 2022 Elsevier Ltd. All rights reserved.</t>
  </si>
  <si>
    <t>[Montanez-Barrera, J. A.] Univ Guanajuato, Engn Div, Irapuato Salamanca campus, Salamanca 36885, Mexico; [Barroso-Maldonado, J. M.] CETYS Univ, Coll Engn, Mexicali 21259, BC, Mexico; [Bedoya-Santacruz, A. F.] Pedag &amp; Technol Univ Colombia, Dept Electromech Engn, Duitama 150461, Boyaca, Colombia; [Mota-Babiloni, Adrian] Univ Jaume I UJI, Dept Mech Engn &amp; Construct, ISTENER Res Grp, E-12071 Castellon de La Plana, Spain</t>
  </si>
  <si>
    <t>Universidad de Guanajuato; Universidad Pedagogica y Tecnologica de Colombia (UPTC); Universitat Jaume I</t>
  </si>
  <si>
    <t>Montanez-Barrera, JA (corresponding author), Univ Guanajuato, Engn Div, Irapuato Salamanca campus, Salamanca 36885, Mexico.</t>
  </si>
  <si>
    <t>ja.montanezbarrera@ugto.mx</t>
  </si>
  <si>
    <t>Mota Babiloni, Adrián/S-1594-2018</t>
  </si>
  <si>
    <t>Mota Babiloni, Adrián/0000-0002-2320-3666; Montanez Barrera, Alejandro/0000-0002-8103-4581; Barroso-Maldonado, Juan Manuel/0000-0003-2486-4180</t>
  </si>
  <si>
    <t>National Council of Science and Technology (CONACyT) , Mexico [CVU-736083]; Universidad de Guanajuato [IJC2019-038997-I]; Juan de la Cierva-Incorporacion [IJC2019-038997-I]; Spanish Research Agency [IJC2019-038997-I];  [MCIN/AEI/10.13039/501100011033]</t>
  </si>
  <si>
    <t xml:space="preserve">National Council of Science and Technology (CONACyT) , Mexico(Consejo Nacional de Ciencia y Tecnologia (CONACyT)); Universidad de Guanajuato; Juan de la Cierva-Incorporacion; Spanish Research Agency(Spanish Government); </t>
  </si>
  <si>
    <t>J.A.M.-B. thanks the National Council of Science and Technology (CONACyT) , Mexico, for his Assistantship No. CVU-736083. We thank Universidad de Guanajuato for the support in the realization of this research. We thank CETYS Universidad for the support in the completion of this research. Adri?n Mota-Babiloni acknowledges grant Juan de la Cierva-Incorporacion 2019 (IJC2019-038997-I) funded by the Spanish Research Agency (MCIN/AEI/10.13039/501100011033) .</t>
  </si>
  <si>
    <t>0017-9310</t>
  </si>
  <si>
    <t>1879-2189</t>
  </si>
  <si>
    <t>INT J HEAT MASS TRAN</t>
  </si>
  <si>
    <t>Int. J. Heat Mass Transf.</t>
  </si>
  <si>
    <t>SEP 15</t>
  </si>
  <si>
    <t>10.1016/j.ijheatmasstransfer.2022.123017</t>
  </si>
  <si>
    <t>Thermodynamics; Engineering, Mechanical; Mechanics</t>
  </si>
  <si>
    <t>Thermodynamics; Engineering; Mechanics</t>
  </si>
  <si>
    <t>1W4IS</t>
  </si>
  <si>
    <t>Green Submitted, Green Published</t>
  </si>
  <si>
    <t>WOS:000806739300007</t>
  </si>
  <si>
    <t>Lessons for the Implementability and Sustainability of the SURG-Africa Model of Malawi in Colombia Comment on Improving Access to Surgery Through Surgical Team Mentoring - Policy Lessons From Group Model Building With Local Stakeholders in Malawi</t>
  </si>
  <si>
    <t>Health Management; Healthcare Policies; Implementation; Quality in Healthcare; Latin America</t>
  </si>
  <si>
    <t>The development of models that allow improving the quality to achieve person-centered care is a challenge for any health system, especially in low- and middle-income countries, due to the economic difficulties inherent to the countries and to the cost involved in its implementation, which should be assumed by the states, avoiding that the economic burden is assumed by the population, and approaching the goal of universal health coverage. The availability of human talent and efficiency in the use of basic and specialized human talent is a necessity to improve safe access to health services, in this sense, the model proposed by SURG-Africa and whose sustainability in Malawi was evaluated, is an important reference for the establishment and sustainability of these models with other specialties and in other countries. Through this article, the elements of education, care model and financing for the implementation of the strategy in family medicine in the Colombian health system are explored.</t>
  </si>
  <si>
    <t>[Moreno, Jaime Hernan Rodriguez; Velandia, Jesus; Igua, Diana] Univ Pedagog Tecnolog Colombia UPTC, Dept Family Med, Tunja, Colombia</t>
  </si>
  <si>
    <t>Moreno, JHR (corresponding author), Univ Pedagog Tecnolog Colombia UPTC, Dept Family Med, Tunja, Colombia.</t>
  </si>
  <si>
    <t>6Q7AH</t>
  </si>
  <si>
    <t>WOS:000891762600041</t>
  </si>
  <si>
    <t>Geraily, G; Elmtalab, S; Mohammadi, N; Alirezaei, Z; Martinez-Ovalle, SA; Jabbari, I; Vega-Carrillo, HR; Karimi, AH</t>
  </si>
  <si>
    <t>Geraily, Ghazale; Elmtalab, Soheil; Mohammadi, Najmeh; Alirezaei, Zahra; Martinez-Ovalle, S. A.; Jabbari, Iraj; Vega-Carrillo, Hector Rene; Karimi, Amir Hossein</t>
  </si>
  <si>
    <t>Monte Carlo evaluation of out-of-field dose in 18 MV pelvic radiotherapy using a simplified female MIRD phantom</t>
  </si>
  <si>
    <t>BIOMEDICAL PHYSICS &amp; ENGINEERING EXPRESS</t>
  </si>
  <si>
    <t>radiotherapy; out-of-field dose; secondary cancer; Monte Carlo; MCNPX (R)</t>
  </si>
  <si>
    <t>SECONDARY-CANCER RISK; RADIATION-THERAPY; NEUTRON-SPECTRA; INTENSITY; PHOTON; BEAM; CARCINOMA; IMPACT</t>
  </si>
  <si>
    <t>This study was devoted to determining the unwanted dose due to scattered photons to the out-of-field organs and subsequently estimate the risk of secondary cancers in the patients undergoing pelvic radiotherapy. A typical 18 MV Medical Linear Accelerator (Varian Clinac 2100 C/D) was modeled using MCNPX (R) code to simulate pelvic radiotherapy with four treatment fields: anterior-posterior, posterior-anterior, right lateral, left lateral. Dose evaluation was performed inside Medical Internal Radiation Dose (MIRD) revised female phantom. The average photon equivalent dose in out-of-field organs is 8.53 mSv Gy(-1), ranging from 0.17 to 72.11 mSv Gy(-1), respectively, for the organs far from the Planning Treatment Volume (Brain) and those close to the treatment field (Colon). Evidence showed that colon with 4.3049% and thyroid with 0.0020% have the highest and lowest risk of secondary cancer, respectively. Accordingly, this study introduced the colon as an organ with a high risk of secondary cancer which should be paid more attention in the follow-up of patients undergoing pelvic radiotherapy. The authors believe that this simple Monte Carlo (MC) model can be also used in other radiotherapy plans and mathematical phantoms with different ages (from childhood to adults) to estimate the out-of-field dose. The extractable information by this simple MC model can be also employed for providing libraries for user-friendly applications (e.g. '.apk') which in turn increase the public knowledge about fatal cancer risk after radiotherapy and subsequently decrease the concerns in this regard among the public.</t>
  </si>
  <si>
    <t>[Geraily, Ghazale; Karimi, Amir Hossein] Univ Tehran Med Sci, Sch Med, Dept Med Phys &amp; Biomed Engn, Tehran, Iran; [Elmtalab, Soheil] Isfahan Univ Med Sci, Sch Med, Dept Med Phys, Esfahan, Iran; [Mohammadi, Najmeh] Sahand Univ Technol, Fac Sci, Dept Phys, Tabriz, Iran; [Alirezaei, Zahra] Bushehr Univ Med Sci, Sch Paramed, Bushehr, Iran; [Martinez-Ovalle, S. A.] Univ Pedag &amp; Tecnol Colombia, Boyaca, Tunja, Boyaca, Colombia; [Jabbari, Iraj] Univ Isfahan, Fac Phys, Dept Nucl Engn, Esfahan, Iran; [Vega-Carrillo, Hector Rene] Univ Autonomous Zacatecas, Acad Unit Nucl Studies, 10 Cipres St, Zacatecas 98068, Zacatecas, Mexico</t>
  </si>
  <si>
    <t>Tehran University of Medical Sciences; Isfahan University Medical Science; Sahand University of Technology; Universidad Pedagogica y Tecnologica de Colombia (UPTC); University of Isfahan</t>
  </si>
  <si>
    <t>Karimi, AH (corresponding author), Univ Tehran Med Sci, Sch Med, Dept Med Phys &amp; Biomed Engn, Tehran, Iran.</t>
  </si>
  <si>
    <t>amirhosseinkarimi.phd@gmail.com</t>
  </si>
  <si>
    <t>Karimi, Amir Hossein/F-3338-2018; Vega-Carrillo, Hector Rene/O-9346-2014</t>
  </si>
  <si>
    <t>Karimi, Amir Hossein/0000-0002-1598-8934; Martinez Ovalle, Segundo Agustin/0000-0003-3044-3008; Vega-Carrillo, Hector Rene/0000-0002-7081-9084</t>
  </si>
  <si>
    <t>Tehran University of Medical Sciences [97-02-30-38668]</t>
  </si>
  <si>
    <t>Tehran University of Medical Sciences(Tehran University of Medical Sciences)</t>
  </si>
  <si>
    <t>The work was supported by Tehran University of Medical Sciences [Grant number 97-02-30-38668].</t>
  </si>
  <si>
    <t>IOP Publishing Ltd</t>
  </si>
  <si>
    <t>BRISTOL</t>
  </si>
  <si>
    <t>TEMPLE CIRCUS, TEMPLE WAY, BRISTOL BS1 6BE, ENGLAND</t>
  </si>
  <si>
    <t>2057-1976</t>
  </si>
  <si>
    <t>BIOMED PHYS ENG EXPR</t>
  </si>
  <si>
    <t>Biomed. Phys. Eng. Express</t>
  </si>
  <si>
    <t>10.1088/2057-1976/ac35a1</t>
  </si>
  <si>
    <t>Radiology, Nuclear Medicine &amp; Medical Imaging</t>
  </si>
  <si>
    <t>WU7NQ</t>
  </si>
  <si>
    <t>WOS:000716728500001</t>
  </si>
  <si>
    <t>Paz, CG; Lares, M; Sandoval, J; Hernandez, MS</t>
  </si>
  <si>
    <t>Gutierrez Paz, Carina; Lares, Mary; Sandoval, Jorge; Hernandez, Maria S.</t>
  </si>
  <si>
    <t>PROTEIN ISOLATE EXTRACTION FROM QUINOA (Chenopodium quinua: Blanca Junin variety) FOR USE IN HIGH PROTEIN SUPPLEMENTS</t>
  </si>
  <si>
    <t>Quinoa is a pseudocereal that is recognized by the FAO as a powerful tool in the fight against hunger, poverty, and malnutrition, problems that affect two-thirds of the planet's inhabitants. Its high protein content, containing all essential amino acids, especially histidine and lysine (limited amino acids in cereals), provides an alternative to animal protein in cases of juvenile malnutrition. The present study aimed to obtain a protein iso-late from quinoa, Chenopodium quinoa: Blanca Junin variety, grown in Boyaca, Colombia (with four different methods), for use as an alternative in protein supplement products. The extraction process was carried out by applying: 1) enzymatic method in pre-cooked quinoa flour degreased with petroleum ether, 2) isoelectric precipitation in pre-cooked quinoa flour degreased with petroleum ether, 3) isoelectric precipitation and ultrasound applications to destarched quinoa flour, and 4) isoelectric precipitation in pre-cooked, destarched quinoa flour. The third method obtained the highest protein concentration, 72.4%, and is recommended for use in food because solvents can leave residues that are harmful to consumer health. Supplements made with this protein isolate can be employed not only in patients with malnutrition but also by athletes, among other uses.</t>
  </si>
  <si>
    <t>[Gutierrez Paz, Carina] Univ Nacl Colombia, Ciencia &amp; Tecnol Alimentos, Bogota, Colombia; [Gutierrez Paz, Carina] Pontificia Univ Javeriana, Calidad, Bogota, Colombia; [Gutierrez Paz, Carina] Calle 146F 73 A-20 Int 12-604, Bogota 111156, Colombia; [Lares, Mary] Univ Cent Venezuela, Ciencia &amp; Tecnol Alimentos, Caracas, Venezuela; [Lares, Mary] Univ Cent Venezuela, Caracas, Venezuela; [Lares, Mary] Hosp Mil Univ Dr Carlos Arvelo, Serv Endocrinol &amp; Enfermedades Metab, Caracas, Venezuela; [Sandoval, Jorge] Univ INCCA, Alimentos, Bogota, Colombia; [Sandoval, Jorge] Univ Pedag &amp; Tecnol Colombia, Seguridad &amp; Calidad Alimentaria, Bogota, Colombia; [Sandoval, Jorge] Univ Nacl Colombia, Bogota, Colombia; [Hernandez, Maria S.] Univ Los Andes, Bogota, Colombia; [Hernandez, Maria S.] Univ Nacl Colombia, Ciencias Agr, Bogota, Colombia; [Hernandez, Maria S.] Univ Nacl Colombia, Inst Ciencia &amp; Tecnol Alimentos, Bogota, Colombia</t>
  </si>
  <si>
    <t>Universidad Nacional de Colombia; Pontificia Universidad Javeriana; University of Central Venezuela; University of Central Venezuela; Universidad Pedagogica y Tecnologica de Colombia (UPTC); Universidad Nacional de Colombia; Universidad de los Andes (Colombia); Universidad Nacional de Colombia; Universidad Nacional de Colombia</t>
  </si>
  <si>
    <t>Paz, CG (corresponding author), Univ Nacl Colombia, Ciencia &amp; Tecnol Alimentos, Bogota, Colombia.;Paz, CG (corresponding author), Pontificia Univ Javeriana, Calidad, Bogota, Colombia.;Paz, CG (corresponding author), Calle 146F 73 A-20 Int 12-604, Bogota 111156, Colombia.</t>
  </si>
  <si>
    <t>cgutierrezp@unal.edu.co; marylares@hotmail.com; jlsandovals@unal.edu.co; mshernandez@unal.edu.co</t>
  </si>
  <si>
    <t>3Q1LO</t>
  </si>
  <si>
    <t>WOS:000837995800005</t>
  </si>
  <si>
    <t>Escobar, JW; Pena, WAH; Garcia-Caceres, RG</t>
  </si>
  <si>
    <t>Willmer Escobar, John; Hormaza Pena, William Adolfo; Guillermo Garcia-Caceres, Rafael</t>
  </si>
  <si>
    <t>Robust multiobjective scheme for closed-loop supply chains by considering financial criteria and scenarios</t>
  </si>
  <si>
    <t>Closed Supply Chain; Net Present Value (NPV); Financial Risk (FR); Epsilon Constraint; Robustness; FePIA</t>
  </si>
  <si>
    <t>NET PRESENT VALUE; OPTIMIZATION MODEL; NETWORK DESIGN; DEMAND; GREEN; DECISION</t>
  </si>
  <si>
    <t>This paper considers the closed-loop supply chain design problem by examining financial criteria and uncertainty in the parameters. A robust multiobjective optimization methodology is proposed by considering financial measures such as maximizing the net present value (NPV) and minimizing the financial risk (FR). The proposed methodology integrates various multiobjective optimization elements based on epsilon constraints and robustness measurements through the FePIA (named after the four steps of the procedure: Feature-Perturbation-Impact-Analysis) methodology. Similarly, an analysis of the parameter variability using scenarios was considered. The proposed method's efficiency was tested with real information from a multinational company operating in Colombia. The results show the effectiveness of the methodology in addressing real problems associated with supply chain design.(c) 2023 by the authors; licensee Growing Science, Canada</t>
  </si>
  <si>
    <t>[Willmer Escobar, John] Univ Valle, Dept Accounting &amp; Finance, Cali, Colombia; [Guillermo Garcia-Caceres, Rafael] Univ Pedag &amp; Tecnol UPTC, Sch Ind Engn, Tunja, Colombia</t>
  </si>
  <si>
    <t>Universidad del Valle; Universidad Pedagogica y Tecnologica de Colombia (UPTC)</t>
  </si>
  <si>
    <t>Escobar, JW (corresponding author), Univ Valle, Dept Accounting &amp; Finance, Cali, Colombia.</t>
  </si>
  <si>
    <t>john.wilmer.escobar@correounivalle.edu.co</t>
  </si>
  <si>
    <t>10.5267/j.ijiec.2022.12.004</t>
  </si>
  <si>
    <t>7K6CP</t>
  </si>
  <si>
    <t>WOS:000905369000001</t>
  </si>
  <si>
    <t>Gomez-Palacio, A; Pita, S; Abad-Franch, F; Monsalve, Y; Cantillo-Barraza, O; Monteiro, FA; Pavan, MG; Santos, WS; Panzera, A; Burgueno-Rodriguez, G; Panzera, F</t>
  </si>
  <si>
    <t>Gomez-Palacio, Andres; Pita, Sebastian; Abad-Franch, Fernando; Monsalve, Yoman; Cantillo-Barraza, Omar; Monteiro, Fernando A.; Pavan, Marcio G.; Santos, Walter S.; Panzera, Alejandra; Burgueno-Rodriguez, Gabriela; Panzera, Francisco</t>
  </si>
  <si>
    <t>Molecular and cytogenetic evidence for sibling species in the Chagas disease vector Triatoma maculata</t>
  </si>
  <si>
    <t>MEDICAL AND VETERINARY ENTOMOLOGY</t>
  </si>
  <si>
    <t>cryptic species; holocentric chromosomes; mitochondrial DNA; molecular systematics; phylogeography; rDNA clusters; Triatominae</t>
  </si>
  <si>
    <t>EVOLUTIONARY RELATIONSHIPS; MITOCHONDRIAL-DNA; REDUVIIDAE; HEMIPTERA; DIFFERENTIATION; BIOGEOGRAPHY; HETEROPTERA; POPULATIONS; STATE</t>
  </si>
  <si>
    <t>Triatoma maculata (Hemiptera, Reduviidae, Triatominae) occurs across dry-to-semiarid ecoregions of northern South America, where it transmits Trypanosoma cruzi, causative agent of Chagas disease. Using 207 field-caught specimens from throughout the species' range, mitochondrial(mt) DNA sequence data, and cytogenetics, we investigated interpopulation genetic diversity and the phylogenetic affinities of T. maculata. Mitochondrial DNA sequence analyses (cytb and nd4) disclosed a monophyletic T. maculata Glade encompassing three distinct geographic groups: Roraima formation (Guiana shield), Orinoco basin, and Magdalena basin (trans-Andean). Between-group cytb distances (11.0-12.8%) were larger than the similar to 7.5% expected for sister Triatoma species; the most recent common ancestor of these T. maculata groups may date back to the late Miocene. C-heterochromatin distribution and the sex-chromosome location of 45S ribosomal DNA clusters both distinguished Roraima bugs from Orinoco and Magdalena specimens. Cytb genealogies reinforced that T. maculata is not sister to Triatoma pseudomaculata and probably represents an early (middle-late Miocene) offshoot of the 'South American Triatomini lineage'. In sum, we report extensive genetic diversity and deep phylogeographic structuring in T. maculata, suggesting that it may consist of a complex of at least three sibling taxa. These findings have implications for the systematics, population biology, and perhaps medical relevance of T. maculata sensu Iato.</t>
  </si>
  <si>
    <t>[Gomez-Palacio, Andres] Univ Pedag &amp; Tecnol Colombia, Lab Invest Genet Evolut LIGE, Tunja, Colombia; [Pita, Sebastian; Panzera, Francisco] Univ Republica, Fac Ciencias, Secc Genet Evolut, Montevideo, Uruguay; [Abad-Franch, Fernando] Univ Brasilia, Fac Med, Nucleo Med Trop, Brasilia, DF, Brazil; [Abad-Franch, Fernando; Santos, Walter S.] Inst Leonidas &amp; Maria Deane Fiocruz Amazonia, Lab Ecol Doencas Transmissiveis Amazonia, Manaus, Amazonas, Brazil; [Monsalve, Yoman; Cantillo-Barraza, Omar] Univ Antioquia UdeA, Grp Biol &amp; Control Enfermedades Infecciosas BCEI, Medellin, Colombia; [Monteiro, Fernando A.; Pavan, Marcio G.] Inst Oswaldo Cruz Fiocruz, Lab Epidemiol &amp; Sistemat Mol, Rio De Janeiro, Brazil; [Pavan, Marcio G.] Inst Oswaldo Cruz Fiocruz, Lab Mosquitos Transmissores Hematozoarios, Rio De Janeiro, Brazil; [Santos, Walter S.] Minist Saude, Inst Evandro Chagas, Secretaria Vigilancia Saude, Lab Epidemiol Leishmanioses, Ananindeua, Brazil; [Panzera, Alejandra] Univ Maryland, Howard Hughes Med Inst, College Pk, MD 20742 USA; [Burgueno-Rodriguez, Gabriela] Univ Republ, Ctr Univ Reg CENUR Litoral Norte Sede Salto, Lab Genet Mol Humana, Salto, Uruguay</t>
  </si>
  <si>
    <t>Universidad Pedagogica y Tecnologica de Colombia (UPTC); Universidad de la Republica, Uruguay; Universidade de Brasilia; Fundacao Oswaldo Cruz; Universidad de Antioquia; Fundacao Oswaldo Cruz; Fundacao Oswaldo Cruz; Instituto Evandro Chagas; Howard Hughes Medical Institute; University System of Maryland; University of Maryland College Park; Universidad de la Republica, Uruguay</t>
  </si>
  <si>
    <t>Panzera, F (corresponding author), Univ Republica, Fac Ciencias, Secc Genet Evolut, Montevideo, Uruguay.</t>
  </si>
  <si>
    <t>fcopanzera@gmail.com</t>
  </si>
  <si>
    <t>Pita, Sebastian/0000-0002-4102-5808; Gomez-Palacio, Andres/0000-0002-1069-9199</t>
  </si>
  <si>
    <t>Comision Sectorial de Investigacion Cientifica [160]; Coordenacao de Aperfeicoamento de Pessoal de Nivel Superior [001]; Ministerio de Educacion y Cultura, Direccion Nacional de Innovacion, Ciencia y Tecnologia, Fondo Vaz Ferreira [II/FVF/2019/054]; FIOCRUZ</t>
  </si>
  <si>
    <t>Comision Sectorial de Investigacion Cientifica; Coordenacao de Aperfeicoamento de Pessoal de Nivel Superior(Coordenacao de Aperfeicoamento de Pessoal de Nivel Superior (CAPES)); Ministerio de Educacion y Cultura, Direccion Nacional de Innovacion, Ciencia y Tecnologia, Fondo Vaz Ferreira; FIOCRUZ</t>
  </si>
  <si>
    <t>Comision Sectorial de Investigacion Cientifica, Grant/Award Number: 160; Coordenacao de Aperfeicoamento de Pessoal de Nivel Superior, Grant/Award Number: Code 001; FIOCRUZ; Ministerio de Educacion y Cultura, Direccion Nacional de Innovacion, Ciencia y Tecnologia, Fondo Vaz Ferreira, Grant/Award Number: II/FVF/2019/054</t>
  </si>
  <si>
    <t>0269-283X</t>
  </si>
  <si>
    <t>1365-2915</t>
  </si>
  <si>
    <t>MED VET ENTOMOL</t>
  </si>
  <si>
    <t>Med. Vet. Entomol.</t>
  </si>
  <si>
    <t>10.1111/mve.12633</t>
  </si>
  <si>
    <t>Entomology; Veterinary Sciences</t>
  </si>
  <si>
    <t>7F6NI</t>
  </si>
  <si>
    <t>WOS:000901961400001</t>
  </si>
  <si>
    <t>Argote, ZLP; Daza, DD; Roncancio, NR</t>
  </si>
  <si>
    <t>Paba Argote, Zuany Luz; De Castro Daza, Diana; Ramirez Roncancio, Nancy</t>
  </si>
  <si>
    <t>The dialogic nature of regulation in collaborative digital argumentative writing practices</t>
  </si>
  <si>
    <t>DIALOGIC PEDAGOGY</t>
  </si>
  <si>
    <t>social regulation; positionings; dialogic interaction; collaborative writing; digital technology</t>
  </si>
  <si>
    <t>This article discusses the dialogic nature of regulating perspectives on a controversial topic during students' argumentative writing in remote teaching. The emerging collaborative writing processes mediated by digital technology are importantly changed as responses to physical distancing in education, as demanded by the measures of biosecurity established by the national government to prevent the transmission of COVID-19. Our analysis is framed in a sociocultural perspective, which contributes to our understanding of the concepts related to dialogism, regulation, positionings on a topic, collaborative writing, and digital technology as a tool for dialogic interaction. Our qualitative, idiographic study analyzes the argumentative utterances produced by a dyad of students enrolled in a Textual Production course at a Colombian public university who write a critical commentary over four (4) weeks using Google Docs application. The findings indicate that the participants discuss and negotiate decisions in the group writing situation and that during this dialogic interaction, the ideas are influenced by the thoughts of the other. When they communicate with each other, their discourses regulate their positionings on the social situation that is the subject of the dialogue. It is also possible to identify both the possibilities of the pedagogical mode and its potential limitations for dialogic interaction, which synchronously and asynchronously facilitate or restrict the performance of the joint writing activity. It can be concluded that within the framework of remote teaching. digital technology has become a flexible mode of pedagogical practice that supports dialogic interaction, enables regulation among peers for discussion. negotiation, and positioning on a topic, and facilitates the construction of collective knowledge that emerges in argumentative collaborative writing.</t>
  </si>
  <si>
    <t>[Paba Argote, Zuany Luz] Univ Valle, Psychol, Cali, Colombia; [Paba Argote, Zuany Luz] Univ Magdalena, Magdalena, Colombia; [De Castro Daza, Diana] Univ Valle, Fac Psychol, Dept Dev Sci Cognit &amp; Neurosci, Cali, Colombia; [Ramirez Roncancio, Nancy] Univ Pedagog &amp; Tecnol Colombia, Tunja, Colombia</t>
  </si>
  <si>
    <t>Universidad del Valle; Universidad del Magdalena; Universidad del Valle; Universidad Pedagogica y Tecnologica de Colombia (UPTC)</t>
  </si>
  <si>
    <t>Argote, ZLP (corresponding author), Univ Valle, Psychol, Cali, Colombia.</t>
  </si>
  <si>
    <t>De Castro Daza, Diana Patricia/0000-0002-2213-5817</t>
  </si>
  <si>
    <t>UNIV PITTSBURGH, UNIV LIBRARY SYSTEM</t>
  </si>
  <si>
    <t>PITTSBURGH</t>
  </si>
  <si>
    <t>3960 FORBES AVE, PITTSBURGH, PA 15260 USA</t>
  </si>
  <si>
    <t>2325-3290</t>
  </si>
  <si>
    <t>DIALOGIC PEDAGOG</t>
  </si>
  <si>
    <t>Dialogic Pedagog.</t>
  </si>
  <si>
    <t>DT1</t>
  </si>
  <si>
    <t>DT21</t>
  </si>
  <si>
    <t>10.5195/dpj.2022.468</t>
  </si>
  <si>
    <t>0Z9XI</t>
  </si>
  <si>
    <t>WOS:000791421700001</t>
  </si>
  <si>
    <t>Melendez-Florez, MP; Valbuena, DS; Cepeda, S; Rangel, N; Forero-Castro, M; Martinez-Aguero, M; Rondon-Lagos, M</t>
  </si>
  <si>
    <t>Melendez-Florez, Maria Paula; Valbuena, Duvan Sebastian; Cepeda, Sebastian; Rangel, Nelson; Forero-Castro, Maribel; Martinez-Aguero, Maria; Rondon-Lagos, Milena</t>
  </si>
  <si>
    <t>Profile of Chromosomal Alterations, Chromosomal Instability and Clonal Heterogeneity in Colombian Farmers Exposed to Pesticides</t>
  </si>
  <si>
    <t>FRONTIERS IN GENETICS</t>
  </si>
  <si>
    <t>pesticides; chromosomal alterations; chromosomal instability; clonal heterogeneity; occupational exposure</t>
  </si>
  <si>
    <t>IN-SITU HYBRIDIZATION; ACUTE LYMPHOBLASTIC-LEUKEMIA; SISTER-CHROMATID EXCHANGES; PERIPHERAL-BLOOD; CYTOGENETIC ANALYSIS; MULTIPLE-MYELOMA; MYELODYSPLASTIC SYNDROMES; OCCUPATIONAL-EXPOSURE; GENE AMPLIFICATION; BREAST-CARCINOMAS</t>
  </si>
  <si>
    <t>Pesticides are a group of environmental pollutants widely used in agriculture to protect crops, and their indiscriminate use has led to a growing public awareness about the health hazards associated with exposure to these substances. In fact, exposure to pesticides has been associated with an increased risk of developing diseases, including cancer. In a study previously published by us, we observed the induction of specific chromosomal alterations and, in general, the deleterious effect of pesticides on the chromosomes of five individuals exposed to pesticides. Considering the importance of our previous findings and their implications in the identification of cytogenetic biomarkers for the monitoring of exposed populations, we decided to conduct a new study with a greater number of individuals exposed to pesticides. Considering the above, the aim of this study was to evaluate the type and frequency of chromosomal alterations, chromosomal variants, the level of chromosomal instability and the clonal heterogeneity in a group of thirty-four farmers occupationally exposed to pesticides in the town of Simijaca, Colombia, and in a control group of thirty-four unexposed individuals, by using Banding Cytogenetics and Molecular Cytogenetics (Fluorescence in situ hybridization). Our results showed that farmers exposed to pesticides had significantly increased frequencies of chromosomal alterations, chromosomal variants, chromosomal instability and clonal heterogeneity when compared with controls. Our results confirm the results previously reported by us, and indicate that occupational exposure to pesticides induces not only chromosomal instability but also clonal heterogeneity in the somatic cells of people exposed to pesticides. This study constitutes, to our knowledge, the first study that reports clonal heterogeneity associated with occupational exposure to pesticides. Chromosomal instability and clonal heterogeneity, in addition to reflecting the instability of the system, could predispose cells to acquire additional instability and, therefore, to an increased risk of developing diseases.</t>
  </si>
  <si>
    <t>[Melendez-Florez, Maria Paula; Valbuena, Duvan Sebastian; Cepeda, Sebastian; Forero-Castro, Maribel; Rondon-Lagos, Milena] Univ Pedagog &amp; Tecnol Colombia, Sch Biol Sci, Tunja, Colombia; [Rangel, Nelson] Pontificia Univ Javeriana, Fac Ciencias, Dept Nutr &amp; Bioquim, Bogota, Colombia; [Martinez-Aguero, Maria] Univ Rosario, Fac Ciencias Nat, Ctr Invest Microbiol &amp; Biotecnol UR CIMBIUR, Bogota, Colombia</t>
  </si>
  <si>
    <t>Universidad Pedagogica y Tecnologica de Colombia (UPTC); Pontificia Universidad Javeriana; Universidad del Rosario</t>
  </si>
  <si>
    <t>Rondon-Lagos, M (corresponding author), Univ Pedagog &amp; Tecnol Colombia, Sch Biol Sci, Tunja, Colombia.;Martinez-Aguero, M (corresponding author), Univ Rosario, Fac Ciencias Nat, Ctr Invest Microbiol &amp; Biotecnol UR CIMBIUR, Bogota, Colombia.</t>
  </si>
  <si>
    <t>sandra.rondon01@uptc.edu.co; maria.martinez@urosario.edu.co</t>
  </si>
  <si>
    <t>Rondon Lagos, Milena/0000-0002-3160-9316</t>
  </si>
  <si>
    <t>FRONTIERS MEDIA SA</t>
  </si>
  <si>
    <t>LAUSANNE</t>
  </si>
  <si>
    <t>AVENUE DU TRIBUNAL FEDERAL 34, LAUSANNE, CH-1015, SWITZERLAND</t>
  </si>
  <si>
    <t>1664-8021</t>
  </si>
  <si>
    <t>FRONT GENET</t>
  </si>
  <si>
    <t>Front. Genet.</t>
  </si>
  <si>
    <t>FEB 24</t>
  </si>
  <si>
    <t>10.3389/fgene.2022.820209</t>
  </si>
  <si>
    <t>Genetics &amp; Heredity</t>
  </si>
  <si>
    <t>ZQ1TJ</t>
  </si>
  <si>
    <t>WOS:000766894400001</t>
  </si>
  <si>
    <t>Ballesteros-Ricaurte, JA; Fabregat, R; Carrillo-Ramos, A; Parra, C; Pulido-Medellin, MO</t>
  </si>
  <si>
    <t>Ballesteros-Ricaurte, Javier Antonio; Fabregat, Ramon; Carrillo-Ramos, Angela; Parra, Carlos; Pulido-Medellin, Martin Orlando</t>
  </si>
  <si>
    <t>Systematic Literature Review of Models Used in the Epidemiological Analysis of Bovine Infectious Diseases</t>
  </si>
  <si>
    <t>ELECTRONICS</t>
  </si>
  <si>
    <t>bovine; computer applications; epidemiology; infectious diseases; machine learning</t>
  </si>
  <si>
    <t>MOUTH-DISEASE; DAIRY-HERD; CATTLE; CONTACT; HEALTH; VALIDATION; NETWORK; SPREAD; IMPACT; RISK</t>
  </si>
  <si>
    <t>There are different bovine infectious diseases that show economic losses and social problems in various sectors of the economy. Most of the studies are focused on some diseases (for example, tuberculosis, salmonellosis, and brucellosis), but there are few studies on other diseases which are not officially controlled but also have an impact on the economy. This work is a systematic literature review on models (as a theoretical scheme, generally in mathematical form) used in the epidemiological analysis of bovine infectious diseases in the dairy farming sector. In this systematic literature review, criteria were defined for cattle, models, and infectious diseases to select articles on Scopus, IEEE, Xplorer, and ACM databases. The relations between the found models (model type, function and the proposed objective in each work) and the bovine infectious diseases, and the different techniques used and the works over infectious disease in humans, are presented. The outcomes obtained in this systematic literature review provide the state-of-the-art inputs for research on models for the epidemiological analysis of infectious bovine diseases. As a consequence of these outcomes, this work also presents an approach of EiBeLec, which is an adaptive and predictive system for the bovine ecosystem, combining a prediction model that uses machine-learning techniques and an adaptive model that adapts the information presented to end users.</t>
  </si>
  <si>
    <t>[Ballesteros-Ricaurte, Javier Antonio] Univ Pedagog &amp; Tecnol Colombia, Escuela Ingn Sistemas &amp; Computac, Tunja 150003, Colombia; [Ballesteros-Ricaurte, Javier Antonio; Carrillo-Ramos, Angela; Parra, Carlos] Pontificia Univ Javeriana, Ingn, Bogota 110231, Colombia; [Fabregat, Ramon] Univ Girona, Broadband Commun &amp; Distributed Syst, Girona 17007, Spain; [Pulido-Medellin, Martin Orlando] Univ Pedagog &amp; Tecnol Colombia, Escuela Med Vet, Tunja 150003, Colombia</t>
  </si>
  <si>
    <t>Universidad Pedagogica y Tecnologica de Colombia (UPTC); Pontificia Universidad Javeriana; Universitat de Girona; Universidad Pedagogica y Tecnologica de Colombia (UPTC)</t>
  </si>
  <si>
    <t>Ballesteros-Ricaurte, JA (corresponding author), Univ Pedagog &amp; Tecnol Colombia, Escuela Ingn Sistemas &amp; Computac, Tunja 150003, Colombia.;Ballesteros-Ricaurte, JA (corresponding author), Pontificia Univ Javeriana, Ingn, Bogota 110231, Colombia.</t>
  </si>
  <si>
    <t>javier.ballesteros@uptc.edu.co</t>
  </si>
  <si>
    <t>; Fabregat Gesa, Ramon/C-6314-2008</t>
  </si>
  <si>
    <t>Pulido-Medellin, Martin Orlando/0000-0003-4989-1476; Fabregat Gesa, Ramon/0000-0002-3551-7304</t>
  </si>
  <si>
    <t>Boyaca Government</t>
  </si>
  <si>
    <t>This research is financed by the Boyaca Government through the scholarship obtained in the call number 733 of the Ministry of science technology and innovation (MinCiencias) aimed to the Formation of High Performance Human Capital.</t>
  </si>
  <si>
    <t>2079-9292</t>
  </si>
  <si>
    <t>ELECTRONICS-SWITZ</t>
  </si>
  <si>
    <t>Electronics</t>
  </si>
  <si>
    <t>10.3390/electronics11152463</t>
  </si>
  <si>
    <t>Computer Science, Information Systems; Engineering, Electrical &amp; Electronic; Physics, Applied</t>
  </si>
  <si>
    <t>Computer Science; Engineering; Physics</t>
  </si>
  <si>
    <t>3R9AD</t>
  </si>
  <si>
    <t>gold, Green Accepted</t>
  </si>
  <si>
    <t>WOS:000839196300001</t>
  </si>
  <si>
    <t>Cortes, J; Castro, A; Arboleda, G; Sepulveda, V; Piragauta, N; Higuera, O</t>
  </si>
  <si>
    <t>Cortes, Jorge; Castro, Adriana; Arboleda, Guillermo; Sepulveda, Victor; Piragauta, Nidia; Higuera, Omar</t>
  </si>
  <si>
    <t>Hydrogeological and hydrogeochemical evaluation of groundwaters and surface waters in potential coalbed methane areas in Colombia</t>
  </si>
  <si>
    <t>INTERNATIONAL JOURNAL OF COAL GEOLOGY</t>
  </si>
  <si>
    <t>Hydrogeochemistry; Hydrogeology; Vertical electrical soundings; Water-rock interactions; Multivariate statistical analysis</t>
  </si>
  <si>
    <t>SHALLOW GROUNDWATER; BASIN; GAS</t>
  </si>
  <si>
    <t>A hydrogeological, hydrogeophysical, and hydrogeochemical study characterized 701 groundwaters and surface waters and 105 electrical resistivity measurements in sedimentary basins with great potential for unconventional hydrocarbon reservoirs, coal bed methane type (CBM). The study site was around the main coal mines of Cerrejon in La Guajira, Calenturitas and La Jagua in Cesar, Guacamayas in Cordoba, and timber type mines located in Catatumbo, Cundinamarca, and Boyaca departments in Colombia. The main hydrochemical facies in groundwater draining the sedimentary strata from Oligocene to Paleocene intervals in the Colombian coal zones were SO4-Ca-Mg, HCO3--Ca, HCO3-Ca-Mg, and SO4-HCO3 mixed waters. Depending on the type of rock drained along with the migration route of the groundwaters, the main anions found were SO42- &gt; HCO3- &gt; Cl-. The cations Ca2+ and Mg2+ (when associated with dolomite) were considered limestone contributions, while Na+ had a sandstone and shale. The geochemical processes explaining the groundwaters and surface waters chemical compositions included dissolution of halite and other salts in the La Guajira area; gypsum, calcite, and dolomite dissolution, plagioclase dissolution, pyrite oxidation, sulfate reduction with releasing of Fe(OH)(2), and dissolution and/or precipitation of silica; and mixing waters in different proportions and combinations in Catatumbo, Boyacn, and Cundinamarca. Multivariate statistical analyses were applied to describe similarities between hydrochemical composition, inorganic facies, and spatial distribution. Hydrogeological and hydrophysical results revealed that the Cerrejon area is an aquifer due to its groundwater table. The rest of the producer areas are aquitards. The coal layers in Cerrejon formation, due to its secondary porosity and high fracturing, behave as a semiconfined to confined aquifer with a high-water content, which must be relieved (depressurized) at the time of the exploitation. Because of its composition, particle size, and degree of consolidation, the coal units of the rest of the studied zones do not transmit the groundwater effectively, generating aquitards rather than aquifers. The 105 vertical electrical soundings permitted the determination of the depth and thickness of coal layers in each producer zone associated with its resistivity (Omega.m.).</t>
  </si>
  <si>
    <t>[Cortes, Jorge; Castro, Adriana; Arboleda, Guillermo] Antek SAS, Calle 25B 85B-54, Bogota, Colombia; [Sepulveda, Victor] Natl Hydrocarbon Agcy, Av Calle 26 59-65,Piso 2, Bogota, Colombia; [Piragauta, Nidia; Higuera, Omar] Colciencias, Carrera 7B Bis 132-28, Bogota, Colombia; [Cortes, Jorge] Petromarkers Inc, 16850 Saturn Lane, Pearland, TX 77058 USA</t>
  </si>
  <si>
    <t>Cortes, J (corresponding author), Antek SAS, Calle 25B 85B-54, Bogota, Colombia.;Cortes, J (corresponding author), Petromarkers Inc, 16850 Saturn Lane, Pearland, TX 77058 USA.;Sepulveda, V (corresponding author), Univ Queensland, Brisbane, Qld, Australia.</t>
  </si>
  <si>
    <t>laboratorio@empirialabs.com; v.sepulvedac@uq.net.au</t>
  </si>
  <si>
    <t>Castro Rodriguez, Adriana/0000-0002-4195-8210</t>
  </si>
  <si>
    <t>Agencia Nacional de Hidrocarburos - ANH (National Hydrocarbon Agency) [FP44842-569-2014]</t>
  </si>
  <si>
    <t>Agencia Nacional de Hidrocarburos - ANH (National Hydrocarbon Agency)</t>
  </si>
  <si>
    <t>This study was carried out by Antek S.A.S under the contract No FP44842-569-2014 for the Agencia Nacional de Hidrocarburos -ANH (National Hydrocarbon Agency) and Colciencias. The authors are deeply grateful to NHA, Colciencias, and Antek S.A.S for the analytical data for this publication. We are grateful to Dr. Jorge E. Mari ~no from UPTC, Sogamoso, Colombia, and Dr. Javier Garces from the University of Antioquia, Medellin, Colombia, for their constructive comments and suggestions on improving the original paper.</t>
  </si>
  <si>
    <t>0166-5162</t>
  </si>
  <si>
    <t>1872-7840</t>
  </si>
  <si>
    <t>INT J COAL GEOL</t>
  </si>
  <si>
    <t>Int. J. Coal Geol.</t>
  </si>
  <si>
    <t>10.1016/j.coal.2022.103937</t>
  </si>
  <si>
    <t>Energy &amp; Fuels; Geosciences, Multidisciplinary</t>
  </si>
  <si>
    <t>Energy &amp; Fuels; Geology</t>
  </si>
  <si>
    <t>2Q7WK</t>
  </si>
  <si>
    <t>WOS:000820629900001</t>
  </si>
  <si>
    <t>Jaimes-Acero, YC; Granados-Comba, A; Bolivar-Leon, R</t>
  </si>
  <si>
    <t>Jaimes-Acero, Yenny-Carolina; Granados-Comba, Adriana; Bolivar-Leon, Rafael</t>
  </si>
  <si>
    <t>Soft Skills Requirements for Engineering Entrepreneurship</t>
  </si>
  <si>
    <t>entrepreneurship in engineering; soft skills in engineering; soft skills for entrepreneurship</t>
  </si>
  <si>
    <t>MARKET</t>
  </si>
  <si>
    <t>Entrepreneurship is a vector that helps economic growth, social scaling, and job generation. However, the soft skills required for engineering entrepreneurship are unclear. This research aims to determine which of these skills are highly demanded as a reference to improve competitiveness among engineers and undergraduate programs. A survey was designed and applied to graduated mechanical engineers from the University of Pamplona. The instrument with excellent validity and reliability, according to Cronbach's Alpha, included 4 different dimensions evaluating 10 soft skills with 18 indicators. The statistical tools used were the Kolmogorov-Smirnov test, median, mode, Kruskal-Wallis ANOVA, and the Games-Howell post hoc test. All soft skills investigated are required to start an engineering venture at a high development level. Likewise, the surveyed engineers demonstrated a high level of development of these skills in such a way that the gap between those required to start an engineering entrepreneurial venture and those developed is minor. In addition, the most effective way to increase its development is training in administrative areas or personal development. Likewise, there is a small gap between the skills developed by the respondents and those required in a venture, and the way to overcome this gap is training in administrative areas or personal development. Engineers dedicated to teaching, or working in public institutions, have less developed three of the six entrepreneurship indicators. Finally, the gap between soft skills developed in undergraduate programs and those required in entrepreneurship is significant. Engineering programs must include experiential training in soft skills and entrepreneurship in their curriculum.</t>
  </si>
  <si>
    <t>[Jaimes-Acero, Yenny-Carolina] Serv Nacl Aprendizaje SENA, Pamplona Norte Santander, Colombia; [Granados-Comba, Adriana] Univ Pedagog &amp; Tecnol Colombia, Tunja Boyaca, Colombia; [Bolivar-Leon, Rafael] Univ Pamplona, Pamplona Norrte Santande, Colombia</t>
  </si>
  <si>
    <t>Servicio Nacional de Aprendizaje; Universidad Pedagogica y Tecnologica de Colombia (UPTC)</t>
  </si>
  <si>
    <t>Jaimes-Acero, YC (corresponding author), Serv Nacl Aprendizaje SENA, Pamplona Norte Santander, Colombia.</t>
  </si>
  <si>
    <t>ycjaimesa@misena.edu.co; adriana.granados@uptc.edu.co; rbolivarl@unipamplona.edu.co</t>
  </si>
  <si>
    <t>MAR 25</t>
  </si>
  <si>
    <t>e14167</t>
  </si>
  <si>
    <t>10.19053/01211129.v30.n56.2021.14167</t>
  </si>
  <si>
    <t>0V1XG</t>
  </si>
  <si>
    <t>WOS:000788137700001</t>
  </si>
  <si>
    <t>Cheng, PH; Molina, J; Lin, MC; Liu, HH; Chang, CY</t>
  </si>
  <si>
    <t>Cheng, Ping-Han; Molina, Jose; Lin, Mei-Chun; Liu, Hsiang-Hu; Chang, Chun-Yen</t>
  </si>
  <si>
    <t>A New TPACK Training Model for Tackling the Ongoing Challenges of COVID-19</t>
  </si>
  <si>
    <t>APPLIED SYSTEM INNOVATION</t>
  </si>
  <si>
    <t>pre-service teacher education; science education; CloudClassRoom; TPACK</t>
  </si>
  <si>
    <t>PEDAGOGICAL CONTENT KNOWLEDGE; PRESERVICE TEACHERS; TECHNOLOGY INTEGRATION; MATHEMATICS TEACHERS; SCIENCE TEACHERS; EDUCATION; STUDENTS; ICT; PERCEPTIONS; ADVANTAGES</t>
  </si>
  <si>
    <t>This study investigated the effects of integrating the CloudClassRoom (CCR) and the DEmo-CO-design/teach-feedback-DEbriefing (DECODE) model to improve pre-service teachers' online technological pedagogical and content knowledge (TPACK). The DECODE model includes four stages: Teacher's DEmonstrations, Students CO-train in using CloudClassRoom, Students CO-design a CloudClassRoom-integrated course, Students CO-teach, and finally DE-brief what they have learned through the stages mentioned above. This model integrates teacher-student experiences, teaching-learning processes, and technology-embedded systems to promote collaborative and active learning, information and resources sharing, and creative communication. A self-evaluating questionnaire with open-ended questions evaluated participants' technological pedagogical and content knowledge outcomes. CloudClassRoom significantly increases technology-related knowledge considering the current social distancing measures provoked by COVID-19. The findings show that DECODE with CloudClassRoom provides an integrated process for improving pre-service teachers' technological pedagogical and content knowledge, assisting pre-service teachers in designing educational technology-integrated courses.</t>
  </si>
  <si>
    <t>[Cheng, Ping-Han; Chang, Chun-Yen] Natl Taiwan Normal Univ, Sci Educ Ctr, Taipei 116, Taiwan; [Cheng, Ping-Han] Natl Taipei Univ Educ, Dept Sci Educ, Taipei 106, Taiwan; [Molina, Jose] Univ Pedagog &amp; Tecnol Colombia, Fac Ciencias Educ, Tunja 150003, Colombia; [Lin, Mei-Chun; Liu, Hsiang-Hu; Chang, Chun-Yen] Natl Taiwan Normal Univ, Grad Inst Sci Educ, Taipei 116, Taiwan</t>
  </si>
  <si>
    <t>National Taiwan Normal University; National Taipei University of Education; Universidad Pedagogica y Tecnologica de Colombia (UPTC); National Taiwan Normal University</t>
  </si>
  <si>
    <t>Chang, CY (corresponding author), Natl Taiwan Normal Univ, Sci Educ Ctr, Taipei 116, Taiwan.;Chang, CY (corresponding author), Natl Taiwan Normal Univ, Grad Inst Sci Educ, Taipei 116, Taiwan.</t>
  </si>
  <si>
    <t>phcheng@mail.ntue.edu.tw; jose.molina05@uptc.edu.co; fresh438@gmail.com; thomas7549@gmail.com; changcy@ntnu.edu.tw</t>
  </si>
  <si>
    <t>Chang, Chun-Yen/B-1307-2008</t>
  </si>
  <si>
    <t>Chang, Chun-Yen/0000-0003-2373-2004; Cheng, Ping-Han/0000-0001-5768-6865; Lin, Mei-Chun/0000-0002-9814-7339</t>
  </si>
  <si>
    <t>National Science Council of Taiwan [MOST 107-2634-F-008-003, MOST 110-2423-H-003-003]; National Taiwan Normal University (NTNU) from The Featured Areas Research Center Program within the Ministry of Education (MOE) in Taiwan</t>
  </si>
  <si>
    <t>National Science Council of Taiwan(Ministry of Science and Technology, Taiwan); National Taiwan Normal University (NTNU) from The Featured Areas Research Center Program within the Ministry of Education (MOE) in Taiwan</t>
  </si>
  <si>
    <t>This work was financially supported by the National Science Council of Taiwan under contracts the MOST 107-2634-F-008-003, the MOST 110-2423-H-003-003 and the Institute for Research Excellence in Learning Sciences of National Taiwan Normal University (NTNU) from The Featured Areas Research Center Program within the framework of the Higher Education Sprout Project by the Ministry of Education (MOE) in Taiwan.</t>
  </si>
  <si>
    <t>2571-5577</t>
  </si>
  <si>
    <t>APPL SYST INNOV</t>
  </si>
  <si>
    <t>Appl. Syst. Innov.</t>
  </si>
  <si>
    <t>10.3390/asi5020032</t>
  </si>
  <si>
    <t>Computer Science, Information Systems; Engineering, Electrical &amp; Electronic; Telecommunications</t>
  </si>
  <si>
    <t>Computer Science; Engineering; Telecommunications</t>
  </si>
  <si>
    <t>0R5WF</t>
  </si>
  <si>
    <t>WOS:000785664100001</t>
  </si>
  <si>
    <t>Pulido-Medellin, MO; Lopez-Buitrago, HA; Bulla-Castaneda, DM; Garcia-Corredor, DJ; Diaz-Anaya, AM; Giraldo-Forero, JC; Higuera-Piedrahita, RI</t>
  </si>
  <si>
    <t>Pulido-Medellin, Martin-Orlando; Lopez-Buitrago, Henry-Alexander; Bulla-Castaneda, Diana-Maria; Garcia-Corredor, Diego-Jose; Diaz-Anaya, Adriana-Maria; Giraldo-Forero, Julio-Cesar; Higuera-Piedrahita, Rosa-Isabel</t>
  </si>
  <si>
    <t>Diagnosis of Gastrointestinal Parasites in Bovines of the Department of Boyaca, Colombia</t>
  </si>
  <si>
    <t>helminths; nematodes; parasitic diseases; parasitology; prevalence</t>
  </si>
  <si>
    <t>DAIRY-CATTLE; PURPOSE CATTLE; NEMATODES; PREVALENCE; IMPACT; STATE; INFECTIONS; RESISTANCE; BURDEN; HERDS</t>
  </si>
  <si>
    <t>Parasitic diseases are considered to be one of the most prevalent pathologies worldwide. They are characterized as one of the most critical sanitary problems in cattle, causing a decrease in the productive capacity of parasitized animals, which translates into economic losses. Intestinal parasitism in cattle is caused by protozoa and helminths, and its manifestation is generally multi-etiological. Clinical signs in gastrointestinal parasitism may vary depending on parasite load, parasite species, and host immunity. This research aimed to determine the prevalence of the main parasitic families affecting cattle in the central province of the department of Boyaca. A cross-sectional study with simple random sampling was carried out, where 716 fecal samples were taken and processed using a modified Ritchie technique. An overall prevalence of 95,6% was determined, and the most prevalent families were Trichostrongylidae, Eimeriidae, Taeniidae, and Trichuridae. The age showed no significant statistical association with most of the parasitic families, except for the Strongyloididae family. The breeds showed a correlation with the Trichostrongylidae, Eimeriidae, Strongylidae, Chabertiidae, and Taeniidae families. The results show the high prevalence of GIP (gastrointestinal parasites) in cattle of the central province of the department of Boyaca.</t>
  </si>
  <si>
    <t>[Pulido-Medellin, Martin-Orlando; Lopez-Buitrago, Henry-Alexander; Bulla-Castaneda, Diana-Maria; Garcia-Corredor, Diego-Jose; Diaz-Anaya, Adriana-Maria; Giraldo-Forero, Julio-Cesar; Higuera-Piedrahita, Rosa-Isabel] Univ Pedagog &amp; Tecnol Colombia, Tunja, Boyaca, Colombia; [Diaz-Anaya, Adriana-Maria] Univ Namur, Namur, Belgium; [Giraldo-Forero, Julio-Cesar] Univ INCCA Colombia, Bogota, Distrito Capita, Colombia; [Higuera-Piedrahita, Rosa-Isabel] Univ Nacl Autonoma Mexico, Cuautitlan, Mexico</t>
  </si>
  <si>
    <t>Universidad Pedagogica y Tecnologica de Colombia (UPTC); University of Namur; Universidad Nacional Autonoma de Mexico</t>
  </si>
  <si>
    <t>Pulido-Medellin, MO (corresponding author), Univ Pedagog &amp; Tecnol Colombia, Tunja, Boyaca, Colombia.</t>
  </si>
  <si>
    <t>martin.pulido@uptc.edu.co; henryalexanderlopez@gmail.com; diana.bulla@uptc.edu.co; diegojose.garcia@uptc.edu.co; jcesargiraldo@gmail.com; rhiguera05@comunidad.unam.mx</t>
  </si>
  <si>
    <t>Garcia Corredor, Diego Jose/0000-0001-5122-5435; Giraldo Forero, Julio Cesar/0000-0001-7308-8443; Bulla-Castaneda, Diana Maria/0000-0002-3740-9454; Pulido-Medellin, Martin Orlando/0000-0003-4989-1476; Higuera Piedrahita, Rosa Isabel/0000-0002-9231-1556; Lopez, Henrry/0000-0002-6482-2412</t>
  </si>
  <si>
    <t>10.14483/23448350.18500</t>
  </si>
  <si>
    <t>1N4IP</t>
  </si>
  <si>
    <t>WOS:000800621400009</t>
  </si>
  <si>
    <t>Cardenas, OE; Vega-Rodriguez, S; Cardenas-Chaparro, A; De Leon-Rodriguez, A; de Loera, D</t>
  </si>
  <si>
    <t>Eliecer Cardenas, Oswaldo; Vega-Rodriguez, Sarai; Cardenas-Chaparro, Agobardo; De Leon-Rodriguez, Antonio; Loera, Denisse de</t>
  </si>
  <si>
    <t>Effect of Solar and Artificial Radiation on Elaidinization and Degradation of Z-Bixin Extracted from Bixa Orellana Seeds</t>
  </si>
  <si>
    <t>beta-carotene; Bixin; Elaidinization; Oxidation; Total degradation</t>
  </si>
  <si>
    <t>ANNATTO; MODEL; STABILITY; PRODUCTS; KINETICS</t>
  </si>
  <si>
    <t>Z-bixin is the main metabolite contained in Achiote, which is widely used as a food condiment and pigment. Z-bixin plays an important role in photosynthesis. It is used to develop artificial solar cells and scavenge radical oxygen and nitrogen species. In this work, the photochemistry of Z-bixin with solar irradiation and lamps at 365 and 410 nm was determined in solution. The ultraviolet-visible spectroscopy (UV-Vis) and Ultra High Performance Liquid Chromatography (UHPLC) analysis showed that elaidinization of Z-bixin to E-bixin can be reached under radiation. This is in accordance with the computational evaluation that indicates that the mechanism consists of three bond rotations with an energy requirement of 5.43 and 5.23 kcal/mol for the first and second steps and no energy barriers to the last step. After elaidinization, total degradation was observed through a cascade reaction that generated CO, CO2, H2CO, and HCl.</t>
  </si>
  <si>
    <t>[Eliecer Cardenas, Oswaldo; Vega-Rodriguez, Sarai; Loera, Denisse de] Univ Autonoma San Luis Potosi, Fac Ciencias Quim, Av Dr. Manuel Nava 6 Zona Univ, Mexico City 78210, DF, Mexico; [Cardenas-Chaparro, Agobardo] Univ Pedagog &amp; Tecnol Colombia, Escuela Ciencias Quim, Avenida Cent Norte, Bogota, Colombia; [De Leon-Rodriguez, Antonio] Inst Potosino Invest Cientif &amp; Tecnol AC, Camino Presa San Jose 2055 Col Lomas 4 Sec, Mexico City 78216, DF, Mexico</t>
  </si>
  <si>
    <t>Universidad Autonoma de San Luis Potosi; Universidad Pedagogica y Tecnologica de Colombia (UPTC)</t>
  </si>
  <si>
    <t>de Loera, D (corresponding author), Univ Autonoma San Luis Potosi, Fac Ciencias Quim, Av Dr. Manuel Nava 6 Zona Univ, Mexico City 78210, DF, Mexico.;De Leon-Rodriguez, A (corresponding author), Inst Potosino Invest Cientif &amp; Tecnol AC, Camino Presa San Jose 2055 Col Lomas 4 Sec, Mexico City 78216, DF, Mexico.</t>
  </si>
  <si>
    <t>aleonr@ipicyt.edu.mx; atenea.deloera@uaslp.mx</t>
  </si>
  <si>
    <t>Vega Rodriguez, Sarai/0000-0002-9434-9515; De Leon Rodriguez, Antonio/0000-0003-3347-3499</t>
  </si>
  <si>
    <t>CONACyT [945756]</t>
  </si>
  <si>
    <t>CONACyT(Consejo Nacional de Ciencia y Tecnologia (CONACyT))</t>
  </si>
  <si>
    <t>The authors thank M.S. Gerardo Cedillo Valverde, from Instituto de Investigaciones en Materiales-UNAM, for the NMR analysis. M.S. O. E. Cardenas thanks CONACyT for the Ph.D. Scholarship number 945756.</t>
  </si>
  <si>
    <t>JUL 21</t>
  </si>
  <si>
    <t>e202201336</t>
  </si>
  <si>
    <t>10.1002/slct.202201336</t>
  </si>
  <si>
    <t>3B0AE</t>
  </si>
  <si>
    <t>WOS:000827612000001</t>
  </si>
  <si>
    <t>Maglianesi, MA; Maruyama, PK; Temeles, EJ; Schleuning, M; Zanata, TB; Sazima, M; Gutierrez-Zamora, A; Marin-Gomez, OH; Rosero-Lasprilla, L; Ramirez-Burbano, MB; Ruffini, AE; Salamanca-Reyes, JR; Sazima, I; Nunez-Rosas, LE; Arizmendi, MD; Rahbek, C; Dalsgaard, B</t>
  </si>
  <si>
    <t>Maglianesi, Maria A.; Maruyama, Pietro K.; Temeles, Ethan J.; Schleuning, Matthias; Zanata, Thais B.; Sazima, Marlies; Gutierrez-Zamora, Aquiles; Marin-Gomez, Oscar H.; Rosero-Lasprilla, Liliana; Ramirez-Burbano, Monica B.; Ruffini, Alejandra E.; Salamanca-Reyes, J. Ricardo; Sazima, Ivan; Nunez-Rosas, Laura E.; del Coro Arizmendi, Maria; Rahbek, Carsten; Dalsgaard, Bo</t>
  </si>
  <si>
    <t>Behavioural and morphological traits influence sex-specific floral resource use by hummingbirds</t>
  </si>
  <si>
    <t>JOURNAL OF ANIMAL ECOLOGY</t>
  </si>
  <si>
    <t>behaviour; hummingbirds; morphological traits; niche breadth; niche overlap; pollen loads; resource similarity; sex differences</t>
  </si>
  <si>
    <t>DIMORPHISM; POLLINATION; EVOLUTION; NETWORKS; SPECIALIZATION; ECOLOGY; ORGANIZATION; TROCHILIDAE; ADAPTATION; PLANTS</t>
  </si>
  <si>
    <t>Research on resource partitioning in plant-pollinator mutualistic systems is mainly concentrated at the levels of species and communities, whereas differences between males and females are typically ignored. Nevertheless, pollinators often show large sexual differences in behaviour and morphology, which may lead to sex-specific patterns of resource use with the potential to differentially affect plant reproduction and diversification. We investigated variation in behavioural and morphological traits between sexes of hummingbird species as potential mechanisms underlying sex-specific flower resource use in ecological communities. To do so, we compiled a dataset of plant-hummingbird interactions based on pollen loads for 31 hummingbird species from 13 localities across the Americas, complemented by data on territorial behaviour (territorial or non-territorial) and morphological traits (bill length, bill curvature, wing length and body mass). We assessed the extent of intersexual differences in niche breadth and niche overlap in floral resource use across hummingbird species. Then, we tested whether floral niche breadth and overlap between sexes are associated with sexual dimorphism in behavioural or morphological traits of hummingbird species while accounting for evolutionary relatedness among the species. We found striking differences in patterns of floral resource use between sex. Females had a broader floral niche breadth and were more dissimilar in the plant species visited with respect to males of the same species, resulting in a high level of resource partitioning between sexes. We found that both territoriality and morphological traits were related to sex-specific resource use by hummingbird species. Notably, niche overlap between sexes was greater for territorial than non-territorial species, and moreover, niche overlap was negatively associated with sexual dimorphism in bill curvature across hummingbird species. These results reveal the importance of behavioural and morphological traits of hummingbird species in sex-specific resource use and that resource partitioning by sex is likely to be an important mechanism to reduce intersexual competition in hummingbirds. These findings highlight the need for better understanding the putative role of intersexual variation in shaping patterns of interactions and plant reproduction in ecological communities.</t>
  </si>
  <si>
    <t>[Maglianesi, Maria A.] Univ Estatal Distancia, Vicerrectoria Invest, San Jose, Costa Rica; [Maruyama, Pietro K.] Univ Fed Minas Gerais Belo Horizonte, Dept Genet Ecol &amp; Evolucao, ICB, Belo Horizonte, MG, Brazil; [Temeles, Ethan J.] Amherst Coll, Dept Biol, Amherst, MA 01002 USA; [Schleuning, Matthias] Senckenberg Biodivers &amp; Climate Res Ctr SBiK F, Frankfurt Main, Germany; [Zanata, Thais B.] Univ Fed Mato Grosso, Inst Biociencias, Dept Bot &amp; Ecol, Cuiaba, Brazil; [Sazima, Marlies] Univ Estadual Campinas, Inst Biol, Dept Biol Vegetal, Campinas, Brazil; [Gutierrez-Zamora, Aquiles] Univ Narino, Dept Biol, Pasto, Colombia; [Marin-Gomez, Oscar H.] Univ Quindio, Grp Invest &amp; Asesoria Estadist, Armenia, Colombia; [Marin-Gomez, Oscar H.; Rahbek, Carsten] Univ Quindio, Grp Invest &amp; Asesoria Estadist, Programa Biol, Armenia, Colombia; [Rosero-Lasprilla, Liliana] Univ Pedag &amp; Tecnol Colombia, Grp Invest Biol Conservac, Tunja, Colombia; [Ramirez-Burbano, Monica B.] Univ Valle, Fac Ciencias Nat, Dept Biol, Grp Ecol &amp; Diversidad Vegetal, Cali, Colombia; [Ruffini, Alejandra E.] Univ Nacl Comahue, Ctr Reg Univ Bariloche, San Carlos De Bariloche, Rio Negro, Argentina; [Salamanca-Reyes, J. Ricardo] Univ Pedag &amp; Tecnol Colombia, Escuela Biol, Tunja, Colombia; [Sazima, Ivan] Univ Estadual Campinas, Inst Biol, Museu Biodiversidade Biol, Campinas, Brazil; [Nunez-Rosas, Laura E.; del Coro Arizmendi, Maria] Univ Nacl Autonoma Mexico, Fac Estudios Super Iztacala, Tlalnepantla, Estado De Mexic, Mexico; [Rahbek, Carsten; Dalsgaard, Bo] Univ Copenhagen, Ctr Macroecol Evolut &amp; Climate, GLOBE Inst, Copenhagen O, Denmark; [Rahbek, Carsten] Peking Univ, Inst Ecol, Beijing, Peoples R China; [Rahbek, Carsten] Univ Southern Denmark, Danish Inst Adv Study, Odense, Denmark; [Dalsgaard, Bo] Univ Copenhagen, GLOBE Inst, Sect Mol Ecol &amp; Evolut, Copenhagen, Denmark</t>
  </si>
  <si>
    <t>Universidad Estatal a Distancia (UNED); Amherst College; Senckenberg Biodiversitat &amp; Klima- Forschungszentrum (BiK-F); Senckenberg Gesellschaft fur Naturforschung (SGN); Universidade Federal de Mato Grosso; Universidade de Sao Paulo; Universidade Estadual de Campinas; Universidad del Quindio; Universidad del Quindio; Universidad Pedagogica y Tecnologica de Colombia (UPTC); Universidad del Valle; Universidad Nacional del Comahue; Universidad Pedagogica y Tecnologica de Colombia (UPTC); Universidade de Sao Paulo; Universidade Estadual de Campinas; Universidad Nacional Autonoma de Mexico; University of Copenhagen; Peking University; University of Southern Denmark; University of Copenhagen</t>
  </si>
  <si>
    <t>Maglianesi, MA (corresponding author), Univ Estatal Distancia, Vicerrectoria Invest, San Jose, Costa Rica.</t>
  </si>
  <si>
    <t>mmaglianesi@uned.ac.cr</t>
  </si>
  <si>
    <t>Gómez, Oscar H. Marín/I-9667-2019; Schleuning, Matthias/H-2154-2015; Maruyama, Pietro Kiyoshi/I-9561-2016; Rosero, Liliana/B-8304-2019; Rahbek, Carsten/GVQ-0752-2022</t>
  </si>
  <si>
    <t>Gómez, Oscar H. Marín/0000-0002-0743-8350; Schleuning, Matthias/0000-0001-9426-045X; Maruyama, Pietro Kiyoshi/0000-0001-5492-2324; Rosero, Liliana/0000-0002-0163-9231; Rahbek, Carsten/0000-0003-4585-0300; Nunez Rosas, Laura Edith/0000-0001-7705-8110; Ramirez-Burbano, Monica B./0000-0002-3810-8119</t>
  </si>
  <si>
    <t>Consejo Nacional para Investigaciones Cientificas y Tecnologicas; Conselho Nacional de Desenvolvimento Cientifico e Tecnologico [302781/2016-1, 300992/79-ZO]; Coordenacao de Aperfeicoamento de Pessoal de Nivel Superior [8105/2014-6]; Direccion General de Asuntos del Personal Academico, Universidad Nacional Autonoma de Mexico [PAPIIT IN221920]; Fundacao Amazonia Paraense de Amparo a Pesquisa [2015/21457-4]; Hessisches Ministerium fur Wissenschaft und Kunst; Ministerio de Ciencia, Tecnologia y Telecomunicaciones</t>
  </si>
  <si>
    <t>Consejo Nacional para Investigaciones Cientificas y Tecnologicas; Conselho Nacional de Desenvolvimento Cientifico e Tecnologico(Conselho Nacional de Desenvolvimento Cientifico e Tecnologico (CNPQ)); Coordenacao de Aperfeicoamento de Pessoal de Nivel Superior(Coordenacao de Aperfeicoamento de Pessoal de Nivel Superior (CAPES)); Direccion General de Asuntos del Personal Academico, Universidad Nacional Autonoma de Mexico(Universidad Nacional Autonoma de Mexico); Fundacao Amazonia Paraense de Amparo a Pesquisa(Fundacao Amazonia de Amparo a Estudos e Pesquisas (FAPESPA)); Hessisches Ministerium fur Wissenschaft und Kunst; Ministerio de Ciencia, Tecnologia y Telecomunicaciones</t>
  </si>
  <si>
    <t>Consejo Nacional para Investigaciones Cientificas y Tecnologicas; Conselho Nacional de Desenvolvimento Cientifico e Tecnologico, Grant/Award Number: 302781/2016-1 and 300992/79-ZO; Coordenacao de Aperfeicoamento de Pessoal de Nivel Superior, Grant/Award Number: 8105/2014-6; Direccion General de Asuntos del Personal Academico, Universidad Nacional Autonoma de Mexico, Grant/Award Number: PAPIIT IN221920; Fundacao Amazonia Paraense de Amparo a Pesquisa, Grant/Award Number: 2015/21457-4; Hessisches Ministerium fur Wissenschaft und Kunst; Ministerio de Ciencia, Tecnologia y Telecomunicaciones</t>
  </si>
  <si>
    <t>0021-8790</t>
  </si>
  <si>
    <t>1365-2656</t>
  </si>
  <si>
    <t>J ANIM ECOL</t>
  </si>
  <si>
    <t>J. Anim. Ecol.</t>
  </si>
  <si>
    <t>10.1111/1365-2656.13746</t>
  </si>
  <si>
    <t>Ecology; Zoology</t>
  </si>
  <si>
    <t>Environmental Sciences &amp; Ecology; Zoology</t>
  </si>
  <si>
    <t>6I5KN</t>
  </si>
  <si>
    <t>WOS:000802077100001</t>
  </si>
  <si>
    <t>Ferro, D; Gil, J; Jimenez, A; Manrique, C; Martinez, CA</t>
  </si>
  <si>
    <t>Ferro, Daniela; Gil, Jhon; Jimenez, Ariel; Manrique, Carlos; Martinez, Carlos A.</t>
  </si>
  <si>
    <t>Estimation of lactation curves of Gyr cattle and some associated production parameters in the Colombian low tropic</t>
  </si>
  <si>
    <t>REVISTA COLOMBIANA DE CIENCIAS PECUARIAS</t>
  </si>
  <si>
    <t>Bos indicus; bovines; cattle; cows; lactation; lactation function shape; lactation parameters; linear models; milk production; milk yield; model comparison; nonlinear models; statistical modelling; tropical dairy operations</t>
  </si>
  <si>
    <t>FRIESIAN COWS; PERSISTENCY; MODEL</t>
  </si>
  <si>
    <t>Background: The Gyr breed is widely used in Colombian low tropic dairy production systems. During the last 10 years, the Asociacion Colombians de Criadores de Ganado Cebu dagger - ASOCEBU, has been leading a dairy milk control program which led to the creation of a dataset that permits to carry out the first analysis of milk yield in Gyr cattle in the country using records from several herds. Objectives: To study milk production dynamics of Gyr cattle in the Colombian low tropic through the estimation of lactation curves and four derived production parameters: total milk yield between 5 and 305 days (TMY305), peak milk yield (PMY), days at peak (DP) and persistency (P). Methods: 13,798 daily milk yield records from 1,510 cows performing in 103 herds were used; the total number of lactations was 2,480. Four models were considered: Wood, Wiltmink, Papajcsik &amp; Bordero, and a second-degree polynomial. Mean square error, mean absolute error, mean square error of prediction, Akaike and Bayesian information criteria were used to select the model better describing each lactation using the majority rule, that is, the model selected by most criteria was the chosen one. The shape of each fitted lactation curve was checked using basic results from calculus which permitted the classification of the estimated curves into two groups: typical and atypical; only typical functions were used to compute the four aforementioned production parameters. Results: The second-order polynomial was the model most frequently selected, while the Papajcsik &amp; Bordero model had the lowest frequency. Average TMY305, PMY, DP and P were 3,489.86 kg, 17.28 kg, 57.17 days, and 0.83, respectively, with coefficients of variation: 0.27, 0.21, 0.41, and 0.16. Conclusions: This study permitted to identify individuals with outstanding phenotypic performance. To the best of our knowledge, this is the first study of this kind involving thousands of lactations from Gyr cows performing in several regions of Colombian low tropic.</t>
  </si>
  <si>
    <t>[Ferro, Daniela; Gil, Jhon] Univ Pedagog &amp; Tecnol Colombia, Fac Secc Duitama, Escuela Matemat &amp; Estadist, Bogota, Colombia; [Jimenez, Ariel] Asociac Colombiana Criadores Ganado Cebu ASOCEBU, Bogota, Colombia; [Manrique, Carlos] Univ Nacl Colombia, Dept Prod Anim, Bogota, Colombia; [Martinez, Carlos A.] Corp Colombiana Invest Agr AGROSAVIA, Direcc Invest &amp; Desarrollo, Sede Cent, Mosquera, Colombia</t>
  </si>
  <si>
    <t>Universidad Pedagogica y Tecnologica de Colombia (UPTC); Universidad Nacional de Colombia; Corporacion Colombiana de Investigacion Agropecuaria, AGROSAVIA</t>
  </si>
  <si>
    <t>Martinez, CA (corresponding author), Km 14 via Mosquera, Cundinamarca, Colombia.</t>
  </si>
  <si>
    <t>cmartinez@agroavia.co</t>
  </si>
  <si>
    <t>Asociacion Colombiana de Criadores de Ganado Cebu - ASOCEBU</t>
  </si>
  <si>
    <t>This study was partially funded by Asociacion Colombiana de Criadores de Ganado Cebu - ASOCEBU.</t>
  </si>
  <si>
    <t>UNIV ANTIOQUIA, FAC CIENCIAS AGRARIAS</t>
  </si>
  <si>
    <t>CIUDADELA ROBLEDO, CARRERA 75 NO 65-87 OF 6-225, APARTADO AEREO 1226, MEDELLIN, 00000, COLOMBIA</t>
  </si>
  <si>
    <t>0120-0690</t>
  </si>
  <si>
    <t>2256-2958</t>
  </si>
  <si>
    <t>REV COLOMB CIENC PEC</t>
  </si>
  <si>
    <t>Rev. Colomb Cienc. Pecu.</t>
  </si>
  <si>
    <t>10.17533/udea.rccp.v35n1a01</t>
  </si>
  <si>
    <t>2P6KU</t>
  </si>
  <si>
    <t>WOS:000819848200001</t>
  </si>
  <si>
    <t>Caycho-Rodriguez, T; Vilca, LW; Cervigni, M; Gallegos, M; Martino, P; Calandra, M; Anacona, CAR; Lopez-Calle, C; Moreta-Herrera, R; Chacon-Andrade, ER; Lobos-Rivera, ME; Del Carpio, P; Quintero, Y; Robles, E; Lombardo, MP; Recalde, OG; Figares, AB; White, M; Burgos-Videla, C</t>
  </si>
  <si>
    <t>Caycho-Rodriguez, Tomas; Vilca, Lindsey W.; Cervigni, Mauricio; Gallegos, Miguel; Martino, Pablo; Calandra, Manuel; Rey Anacona, Cesar Armando; Lopez-Calle, Claudio; Moreta-Herrera, Rodrigo; Rene Chacon-Andrade, Edgardo; Elias Lobos-Rivera, Marlon; Del Carpio, Perla; Quintero, Yazmin; Robles, Erika; Panza Lombardo, Macerlo; Gamarra Recalde, Olivia; Buschiazzo Figares, Andres; White, Michael; Burgos-Videla, Carmen</t>
  </si>
  <si>
    <t>Cross-national measurement invariance of the Purpose in Life Test in seven Latin American countries</t>
  </si>
  <si>
    <t>FRONTIERS IN PSYCHOLOGY</t>
  </si>
  <si>
    <t>measurement invariance; cross-cultural; purpose in life; Latin American; Analysis Alignment</t>
  </si>
  <si>
    <t>IN-LIFE; PSYCHOMETRIC PROPERTIES; FACTORIAL STRUCTURE; INTERNAL CONSISTENCY; VALIDATION; WELL; BIFACTOR; SUPPORT; VERSION; SENSITIVITY</t>
  </si>
  <si>
    <t>The Purpose in Life Test (PIL) is a measure of purpose in life widely used in many cultures and countries; however, cross-cultural assessments are scarce. The present study aimed to evaluate the cross-cultural measurement invariance of the PIL in the general population of seven Latin American countries (Colombia, Ecuador, El Salvador, Mexico, Paraguay, Argentina, and Uruguay). A total of 4306 people participated, selected by non-probabilistic convenience sampling, where Uruguay has the highest mean age (M = 41.8; SD = 16.6 years); while Ecuador has the lowest mean age (M = 24.6; SD = 7.8 years). Furthermore, in each country, there is a higher proportion of women (&gt;60%) than men (&lt;40%). Using Multi-Group Confirmatory Factor Analysis, the factorial structure does not show evidence of invariance among the included countries. However, based on the Multi-Group Factor Analysis Alignment, there is evidence that a three-dimensional structure of the PIL (Meaning of existence, Freedom to make meaning in daily life and Will to find meaning in the face of future challenges) is the same in the participating countries. Results based on item response theory indicate that most PIL items can significantly differentiate responses according to the level of life purpose. In addition, people with low life purpose will tend to choose the lower response alternatives on the PIL; while people with higher life purpose will choose higher response alternatives. The findings indicate that the PIL has the potential to increase knowledge about how people conceive and experience their purpose in life in different countries.</t>
  </si>
  <si>
    <t>[Caycho-Rodriguez, Tomas] Univ Privada Norte, Fac Ciencias Salud, Lima, Peru; [Vilca, Lindsey W.] Univ Norbert Wiener, South Amer Ctr Educ &amp; Res Publ Hlth, Lima, Peru; [Cervigni, Mauricio; Martino, Pablo; Calandra, Manuel] Univ Nacl Rosario, Fac Psicol, Rosario, Argentina; [Cervigni, Mauricio; Martino, Pablo; Calandra, Manuel] Univ Nacl Rosario, Fac Psicol, Ctr Invest Neurociencias Rosario, Rosario, Argentina; [Cervigni, Mauricio; Martino, Pablo; Calandra, Manuel] Univ Nacl Rosario, Fac Psicol, Lab Cognic &amp; Emoc, Rosario, Argentina; [Cervigni, Mauricio; Martino, Pablo] Consejo Nacl Invest Cient &amp; Tecn, Buenos Aires, DF, Argentina; [Gallegos, Miguel] Univ Catolica Maule, Fac Ciencias Salud, Talca, Chile; [Gallegos, Miguel] Pontificia Univ Catolica Minas Gerais, Programa Posgrad Psicol, Belo Horizonte, MG, Brazil; [Rey Anacona, Cesar Armando] Univ Pedag &amp; Tecnol Colombia, Fac Psicol, Tunja, Colombia; [Lopez-Calle, Claudio] Univ Cuenca, Fac Psicol, Cuenca, Ecuador; [Moreta-Herrera, Rodrigo] Pontificia Univ Catolica Ecuador, Escuela Psicol, Ambato, Ecuador; [Rene Chacon-Andrade, Edgardo; Elias Lobos-Rivera, Marlon] Univ Tecnol El Salvador, Fac Ciencias Sociales, Escuela Psicol, San Salvador, El Salvador; [Del Carpio, Perla; Quintero, Yazmin] Univ Guanajuato, Guanajuato, Mexico; [Robles, Erika] Univ Autonoma Estado Mexico, Fac Ciencias Comportamiento, Toluca, Mexico; [Panza Lombardo, Macerlo] Univ Nacl Este, Fac Ciencias Salud, Ciudad Del Este, Paraguay; [Gamarra Recalde, Olivia] Univ Catolica Asuncion, Fac Ciencias Salud, Asuncion, Paraguay; [Buschiazzo Figares, Andres] Ctr Estudios Adlerianos, Montevideo, Uruguay; [White, Michael] Univ Peruana Union, Fac Ciencias Humanas &amp; Educ, Lima, Peru; [Burgos-Videla, Carmen] Univ Atacama, Inst Invest Ciencias Sociales &amp; Educ, Copiapo, Chile</t>
  </si>
  <si>
    <t>Universidad Privada del Norte; Universidad Norbert Wiener; National University of Rosario; National University of Rosario; National University of Rosario; Consejo Nacional de Investigaciones Cientificas y Tecnicas (CONICET); Universidad Catolica del Maule; Pontificia Universidade Catolica de Minas Gerais; Universidad Pedagogica y Tecnologica de Colombia (UPTC); Universidad de Cuenca; Pontificia Universidad Catolica del Ecuador; Universidad de Guanajuato; Universidad Catolica Nuestra Senora de la Asuncion; Universidad Peruana Union; Universidad de Atacama</t>
  </si>
  <si>
    <t>Caycho-Rodriguez, T (corresponding author), Univ Privada Norte, Fac Ciencias Salud, Lima, Peru.</t>
  </si>
  <si>
    <t>tomas.caycho@upn.pe</t>
  </si>
  <si>
    <t>Moreta-Herrera, Rodrigo/M-5266-2018</t>
  </si>
  <si>
    <t>Moreta-Herrera, Rodrigo/0000-0003-0134-5927; Lopez Calle, Claudio/0000-0003-0679-6954; Caycho-Rodriguez, Tomas/0000-0002-5349-7570; del Carpio Ovando, Perla Shiomara/0000-0002-4907-783X; Lobos Rivera, Marlon Elias/0000-0002-7995-6122</t>
  </si>
  <si>
    <t>1664-1078</t>
  </si>
  <si>
    <t>FRONT PSYCHOL</t>
  </si>
  <si>
    <t>Front. Psychol.</t>
  </si>
  <si>
    <t>SEP 16</t>
  </si>
  <si>
    <t>10.3389/fpsyg.2022.974133</t>
  </si>
  <si>
    <t>5A1QO</t>
  </si>
  <si>
    <t>WOS:000862669000001</t>
  </si>
  <si>
    <t>Rodriguez-Burgos, AM; Briceno-Zuluaga, FJ; Jimenez, JLA; Hearn, A; Penaherrera-Palma, C; Espinoza, E; Ketchum, J; Klimley, P; Steiner, T; Arauz, R; Joan, E</t>
  </si>
  <si>
    <t>Rodriguez-Burgos, Aura Maria; Javier Briceno-Zuluaga, Francisco; Avila Jimenez, Julian Leonardo; Hearn, Alex; Penaherrera-Palma, Cesar; Espinoza, Eduardo; Ketchum, James; Klimley, Peter; Steiner, Todd; Arauz, Randall; Joan, Elpis</t>
  </si>
  <si>
    <t>The impact of climate change on the distribution of Sphyrna lewini in the tropical eastern Pacific</t>
  </si>
  <si>
    <t>MARINE ENVIRONMENTAL RESEARCH</t>
  </si>
  <si>
    <t>KUENM; Ecological niche modelling; Upwelling; Hammerhead shark; Climate change</t>
  </si>
  <si>
    <t>SCALLOPED HAMMERHEAD SHARK; COCO NATIONAL-PARK; SPECIES DISTRIBUTION; OCEAN ACIDIFICATION; HABITAT PREFERENCES; MOVEMENT PATTERNS; HUMBOLDT CURRENT; CIRCULATION; FUTURE; CARCHARHINIFORMES</t>
  </si>
  <si>
    <t>Variability and climate change due to anthropic influence have brought about alterations to marine ecosystems, that, in turn, have affected the physiology and metabolism of ectotherm species, such as the common hammerhead shark (Sphyrna lewini). However, the impact that climate variability may have on this species' distribution, particularly in the Eastern Tropical Pacific Marine Corridor, which is considered an area with great marine biodiversity, is unknown. The purpose of this research was to evaluate the effect of derivate impact of climate change on the oceanographic distribution of the hammerhead shark (Sphyrna lewini) in the Eastern Tropical Pacific Marine Corridor, contrasting the present and future scenarios for 2050. The methodology used was an ecological niche model based on the KUENM R package software that uses the maximum entropy algorithm (MaxEnt). The modelling was made for the year 2050 under RCP2.6 and RCP8.5 scenarios. A total of 952 models were made, out of which only one met the statistical parameters established as optimal, for future scenarios. The environmental suitability for S.lewini shows that this species would migrate to the south in the Chilean Pacific, associated with a possible warming that the equatorial zone will have and the possible cooling that the subtropical zone of the South Pacific will have by 2050, the product of changes in oceanographic dynamics.</t>
  </si>
  <si>
    <t>[Rodriguez-Burgos, Aura Maria; Javier Briceno-Zuluaga, Francisco] Univ Mil Nueva Granada, Fac Ciencias Basicas &amp; Aplicadas, Cajica, Colombia; [Rodriguez-Burgos, Aura Maria; Javier Briceno-Zuluaga, Francisco] JEAI IRD UMNG CHARISMA, Cajica, Colombia; [Avila Jimenez, Julian Leonardo] Pedag &amp; Technol Univ Colombia, Tunja, Colombia; [Hearn, Alex] Univ San Francisco Quito, Galapagos Sci Ctr, Quito, Ecuador; [Hearn, Alex; Penaherrera-Palma, Cesar; Espinoza, Eduardo; Klimley, Peter; Arauz, Randall; Joan, Elpis] MigraMar, Sir Francis Drake Blvd, Olema, CA USA; [Espinoza, Eduardo] Inst Nacl Biodiversidad INABIO, Direcc Parque Nacl Galapagos, Quito, Ecuador; [Ketchum, James] Ctr Invest Biol Noroeste, Pelagios Kakunja, La Paz, Mexico; [Klimley, Peter] Univ Calif Davis, Davis, CA 95616 USA; [Steiner, Todd] Turtle Isl Restorat Network, Forest Knolls, CA USA; [Arauz, Randall] Fins Attached, Colorado Springs, CO USA</t>
  </si>
  <si>
    <t>Universidad Pedagogica y Tecnologica de Colombia (UPTC); CIBNOR - Centro de Investigaciones Biologicas del Noroeste; Telefonica SA; University of California System; University of California Davis</t>
  </si>
  <si>
    <t>Rodriguez-Burgos, AM (corresponding author), Univ Mil Nueva Granada, Fac Ciencias Basicas &amp; Aplicadas, Cajica, Colombia.</t>
  </si>
  <si>
    <t>aurismarobu@gmail.com; francisco.briceno@unimilitar.edu.co; julianleonardo.avilajimenez@gmail.com; ahearn@usfq.edu.ec; crpenaherrera@gmail.com; eespinoza@galapagos.gob.ec; jtketchum@ucdavis.edu; apklimley@ucdavis.edu; tsteiner@tirn.net; rarauz@finsattached.org; elpis_joan@hotmail.com</t>
  </si>
  <si>
    <t>Rodriguez-Burgos, Aura Maria/0000-0002-9104-4417; Avila-Jimenez, Julian/0000-0002-5768-1746; Briceno Zuluaga, Francisco Javier/0000-0002-2696-0996</t>
  </si>
  <si>
    <t>CHARISMA project (JEAL-IRD/UMNG); Militar Nueva Granada University [EXT-CLAS-3638]; IRD-FRANCE [EXT-CLAS-3638]; Colombia Biodiversa - Alejandro Angel Escobar Foundation</t>
  </si>
  <si>
    <t>CHARISMA project (JEAL-IRD/UMNG); Militar Nueva Granada University; IRD-FRANCE; Colombia Biodiversa - Alejandro Angel Escobar Foundation</t>
  </si>
  <si>
    <t>Aura Maria Rodriguez Burgos and Francisco Brice ~no Zuluaga was supported by the CHARISMA project (JEAL-IRD/UMNG). This article was derived from the research project EXT-CLAS-3638 financed by the vice-rectorate for research of the Militar Nueva Granada University and the IRD-FRANCE, validity 2021-1. Likewise, we thank Migramar for making part of the data used in this work available. Finally, Aura Maria Rodriguez Burgos would like to thank the financial support provided by the scholarship named Colombia Biodiversa awarded by the Alejandro ' Angel Escobar Foundation.</t>
  </si>
  <si>
    <t>0141-1136</t>
  </si>
  <si>
    <t>1879-0291</t>
  </si>
  <si>
    <t>MAR ENVIRON RES</t>
  </si>
  <si>
    <t>Mar. Environ. Res.</t>
  </si>
  <si>
    <t>10.1016/j.marenvres.2022.105696</t>
  </si>
  <si>
    <t>Environmental Sciences; Marine &amp; Freshwater Biology; Toxicology</t>
  </si>
  <si>
    <t>Environmental Sciences &amp; Ecology; Marine &amp; Freshwater Biology; Toxicology</t>
  </si>
  <si>
    <t>4R2AR</t>
  </si>
  <si>
    <t>WOS:000856571600001</t>
  </si>
  <si>
    <t>Caycho-Rodriguez, T; Vilca, LW; Cervigni, M; Gallegos, M; Martino, P; Calandra, M; Anacona, CAR; Lopez-Calle, C; Moreta-Herrera, R; Chacon-Andrade, ER; Lobos-Rivera, ME; del Carpio, P; Quintero, Y; Robles, E; Lombardo, MP; Recalde, OG; Figares, AB; White, M; Videla, CB; Carbajal-Leon, C</t>
  </si>
  <si>
    <t>Caycho-Rodriguez, Tomas; Vilca, Lindsey W.; Cervigni, Mauricio; Gallegos, Miguel; Martino, Pablo; Calandra, Manuel; Rey Anacona, Cesar Armando; Lopez-Calle, Claudio; Moreta-Herrera, Rodrigo; Rene Chacon-Andrade, Edgardo; Elias Lobos-Rivera, Marlon; del Carpio, Perla; Quintero, Yazmin; Robles, Erika; Panza Lombardo, Macerlo; Gamarra Recalde, Olivia; Buschiazzo Figares, Andres; White, Michael; Burgos Videla, Carmen; Carbajal-Leon, Carlos</t>
  </si>
  <si>
    <t>Cross-cultural measurement invariance of the purpose in life test - Short form (PIL-SF) in seven Latin American countries</t>
  </si>
  <si>
    <t>CURRENT PSYCHOLOGY</t>
  </si>
  <si>
    <t>Measurement invariance; Latin America; Purpose in life, cross-cultural research/comparison; Item response theory</t>
  </si>
  <si>
    <t>FACTOR-ANALYTIC EVALUATION; ITEM RESPONSE THEORY; NOETIC GOALS SONG; HORIZON OIL-SPILL; PSYCHOMETRIC PROPERTIES; INTERNAL CONSISTENCY; FACTORIAL STRUCTURE; EMERGING ADULTHOOD; PERSONAL GOALS; IN-LIFE</t>
  </si>
  <si>
    <t>The aim was to test the cross-cultural measurement invariance of the PIL-SF in a sample of people from seven Latin American countries. Additionally, the characteristics of the PIL-SF items were evaluated and to assess the relationship between purpose in life, as measured by the PIL-SF, and fear of COVID-19. A total of 4306 people from seven Latin American countries participated in the study. The results indicated that the PIL-SF is invariant in the seven participating countries and, therefore, there is evidence that the items reflect the purpose of life in the same way in all countries. This allows comparisons of purpose in life between countries that are free of bias, reflecting the true differences in how countries respond to items. From IRT, the discrimination parameters are adequate and indicate that the items cover a wide range of the purpose in life construct. The difficulty parameters are adequate and increase monotonically. This indicates that people would need a higher level of purpose in life to respond to the higher response categories. Thus, the PIL-SF items would be useful in determining people with a relatively high degree of purpose in life. Identifying people with different levels of purpose in life would allow them to be part of intervention programs, either to support those with low levels or to maintain and reinforce their purpose in life. The evidence of cross-country measurement invariance of the PIL-SF provides a measure to be used in cross-cultural studies about the meaning of life.</t>
  </si>
  <si>
    <t>[Caycho-Rodriguez, Tomas] Univ Privada Norte, Fac Ciencias Salud, Av Alfredo Mendiola 6062, Lima, Peru; [Vilca, Lindsey W.] Univ Norbert Wiener, South Amer Ctr Educ &amp; Res Publ Hlth, Lima, Peru; [Cervigni, Mauricio; Gallegos, Miguel; Martino, Pablo; Calandra, Manuel] Univ Nacl Rosario, Fac Psicol, Rosario, Argentina; [Cervigni, Mauricio; Martino, Pablo; Calandra, Manuel] Univ Nacl Rosario, Fac Psicol, Ctr Invest Neurociencias Rosario, Rosario, Argentina; [Cervigni, Mauricio; Martino, Pablo; Calandra, Manuel] Univ Nacl Rosario, Fac Psicol, Lab Cognic &amp; Emoc, Rosario, Argentina; [Cervigni, Mauricio; Gallegos, Miguel; Martino, Pablo] Consejo Nacl Invest Cient &amp; Tecn, Mendoza, Argentina; [Gallegos, Miguel] Univ Catolica Maule, Talca, Chile; [Gallegos, Miguel] Pontificia Univ Catolica Minas Gerais, Belo Horizonte, MG, Brazil; [Rey Anacona, Cesar Armando] Univ Pedag &amp; Tecnol Colombia, Tunja, Colombia; [Lopez-Calle, Claudio] Univ Cuenca, Fac Psicol, Cuenca, Ecuador; [Moreta-Herrera, Rodrigo] Pontificia Univ Catolica Ecuador, Escuela Psicol, Ambato, Ecuador; [Rene Chacon-Andrade, Edgardo; Elias Lobos-Rivera, Marlon] Univ Tecnol El Salvador, Fac Ciencias Sociales, Escuela Psicol, San Salvador, El Salvador; [del Carpio, Perla; Quintero, Yazmin] Univ Guanajuato, Guanajuato, Mexico; [Robles, Erika] Univ Autonoma Estado Mexico, Toluca, Mexico; [Panza Lombardo, Macerlo] Univ Nacl Este, Ciudad Del Este, Paraguay; [Gamarra Recalde, Olivia] Sensorium, Asuncion, Paraguay; [Buschiazzo Figares, Andres] Ctr Estudios Adlerianos, Montevideo, Uruguay; [White, Michael] Univ Peruana Union, Fac Ciencias Humanas &amp; Educ, Lima, Peru; [Burgos Videla, Carmen] Univ Atacama, Inst Invest Ciencias Sociales &amp; Educ, Copiapo, Chile; [Carbajal-Leon, Carlos] Univ Peruana Ciencias Aplicadas, Fac Psicol, Lima, Peru</t>
  </si>
  <si>
    <t>Universidad Privada del Norte; Universidad Norbert Wiener; National University of Rosario; National University of Rosario; National University of Rosario; Consejo Nacional de Investigaciones Cientificas y Tecnicas (CONICET); Universidad Catolica del Maule; Pontificia Universidade Catolica de Minas Gerais; Universidad Pedagogica y Tecnologica de Colombia (UPTC); Universidad de Cuenca; Pontificia Universidad Catolica del Ecuador; Universidad de Guanajuato; Universidad Peruana Union; Universidad de Atacama; Universidad Peruana de Ciencias Aplicadas (UPC)</t>
  </si>
  <si>
    <t>Caycho-Rodriguez, T (corresponding author), Univ Privada Norte, Fac Ciencias Salud, Av Alfredo Mendiola 6062, Lima, Peru.</t>
  </si>
  <si>
    <t>Vilca, Lindsey W./S-3926-2019; Moreta-Herrera, Rodrigo/M-5266-2018</t>
  </si>
  <si>
    <t>Vilca, Lindsey W./0000-0002-8537-9149; Moreta-Herrera, Rodrigo/0000-0003-0134-5927; del Carpio Ovando, Perla Shiomara/0000-0002-4907-783X</t>
  </si>
  <si>
    <t>1046-1310</t>
  </si>
  <si>
    <t>1936-4733</t>
  </si>
  <si>
    <t>CURR PSYCHOL</t>
  </si>
  <si>
    <t>Curr. Psychol.</t>
  </si>
  <si>
    <t>10.1007/s12144-022-03465-5</t>
  </si>
  <si>
    <t>3F9JQ</t>
  </si>
  <si>
    <t>Green Published, Bronze</t>
  </si>
  <si>
    <t>WOS:000830976700002</t>
  </si>
  <si>
    <t>Ruiz, JI; Castro-Abril, P; Lopez-Lopez, W; Paez, D; Mendez, L; Castro-Molinares, S; Yadira-Cepeda, Z; Caicedo-Bucheli, MA; Amaris, MD; Moncayo, JE; Camelo-Mendoza, R; Orduz-Gualdron, FS; Beltran-Espitia, M; Mongui, ZL; Dominguez, E; Alejo-Riveros, A; Perez-Cervantes, LE; Castillo, CO; Alvarado-Pinzon, L; Restrepo-Soto, JA; Alejo-Castillo, E; Orejuela, J; Rocha, A; Arizabaleta, MP</t>
  </si>
  <si>
    <t>Ignacio Ruiz, Jose; Castro-Abril, Pablo; Lopez-Lopez, Wilson; Paez, Dario; Mendez, Lander; Castro-Molinares, Suly; Yadira-Cepeda, Zulma; Alejandra Caicedo-Bucheli, Maria; Amaris, Maria del Carmen; Eduardo Moncayo, Jorge; Camelo-Mendoza, Rossana; Steward Orduz-Gualdron, Frank; Beltran-Espitia, Manuel; Lorena Mongui, Zulma; Dominguez, Elsy; Alejo-Riveros, Argemiro; Eduardo Perez-Cervantes, Luis; Orozco Castillo, Carolina; Alvarado-Pinzon, Laura; Alberto Restrepo-Soto, Jaime; Alejo-Castillo, Edgar; Orejuela, Johnny; Rocha, Areli; Perez Arizabaleta, Mar</t>
  </si>
  <si>
    <t>Colombian Truth Commission: Knowledge, perception, efficacy, and associated emotions</t>
  </si>
  <si>
    <t>Colombia's Truth Commission; psychosocial impact; transitional justice; reparation to victims; social reconciliation</t>
  </si>
  <si>
    <t>PSYCHOSOCIAL IMPACT; RECONCILIATION; FORGIVENESS</t>
  </si>
  <si>
    <t>The Truth Commission in Colombia was established based on the transitional justice model. Its function is to serve as a measure of recognition of the violent events during the armed conflict, which has left more than nine million victims. In this scenario, a descriptive correlational study (N=1166) was conducted with a sample of 22 provinces of the country to evaluate the knowledge, approval, and perceived effectiveness of the first years of the Commission from psychosocial aspects victimization, collective emotions, reconciliation, collective memory. 58% were direct victims. The results indicate high levels of approval and disposition to participate in the Commission's activities, as well as some skepticism about its usefulness and low confidence in the official apologies of the groups in conflict. A high index of positive emotions related to the commission and low trust in government institutions is also found. The findings of this study coincide with previous experiences of truth commissions in Latin America and open the debate on the specificities of the Colombian context in the search for peace and the implications of the commission's work in the reparation process.</t>
  </si>
  <si>
    <t>[Ignacio Ruiz, Jose] Univ Nacl Colombia, Carrera 30 45-03,Edificio 212,220, Bogota, Colombia; [Castro-Abril, Pablo] Univ Basque Country, Vitoria, Spain; [Castro-Abril, Pablo] Dept Psicol, Oficina 230,Carrera 30-45,Ciudad Univ, Bogota, Colombia; [Lopez-Lopez, Wilson] Pontificia Univ Javeriana, Bogota, Colombia; [Paez, Dario] Univ Basque Country, Av Tolosa 70, Guipuzcoa 20011, Spain; [Mendez, Lander] Univ Basque Country, Av Tolosa 70, Donostia San Sebastian 20018, Spain; [Castro-Molinares, Suly] Univ Nacl Abierta &amp; Distancia, Carrera 45B 18-15 Sur, Villavencio, Colombia; [Yadira-Cepeda, Zulma] Univ Surcolombiana, Carrera 12 B 2-27 Barrio Surinama, Tunja, Boyaca, Colombia; [Alejandra Caicedo-Bucheli, Maria] Fdn Univ Popayan, Ctr Invest Psicol, Popayan, Colombia; [Amaris, Maria del Carmen] Univ Norte, Barranquilla 080020, Colombia; [Eduardo Moncayo, Jorge] Univ Antonio Narino, Sede Cali, Cali, Colombia; [Camelo-Mendoza, Rossana] Univ Popular Cesar, Valledupar 200001, Colombia; [Steward Orduz-Gualdron, Frank] Univ Simon Bolivar, Barranquilla, Colombia; [Beltran-Espitia, Manuel] Univ Clateriana, Fdn Univ Clateriana, 27001-20 5-66 Barrio Yesquita, Medellin, Colombia; [Lorena Mongui, Zulma] Univ Pedag &amp; Tecnol Colombia, Cr 7 23-50, Tunja 15001, Boyoca, Colombia; [Dominguez, Elsy] Univ Tecnol Bolivar, Cartagena, Colombia; [Alejo-Riveros, Argemiro] Univ Ibague, Ibague, Colombia; [Eduardo Perez-Cervantes, Luis] Corp Univ Antonio Jose Sucre, Urbanizac Castillete Manzana C Casa 11, Carragena, Bolivar, Colombia; [Orozco Castillo, Carolina] Univ EAFIT, Invest, Medellin 055460, Colombia; [Alvarado-Pinzon, Laura] Univ Basque Country, Av Tolosa 70, San Sebastian 20013, Spain; [Alberto Restrepo-Soto, Jaime] Univ Manizales, Calle64B 20a55,Apartamento 303, Manizales, Colombia; [Alejo-Castillo, Edgar] Univ San Buenaventura, Medellin 050022, Colombia; [Orejuela, Johnny] Univ EAFIT Colombia, Dept Psicol, Calle 27 D Sur 28-50, Medellin, Colombia; [Rocha, Areli] Univ Norte, Psicol, Soledad 083005, Colombia; [Perez Arizabaleta, Mar] Univ Antonio Narino, Bogota, Colombia</t>
  </si>
  <si>
    <t>Universidad Nacional de Colombia; University of Basque Country; Universidad Nacional de Colombia; Pontificia Universidad Javeriana; University of Basque Country; University of Basque Country; Universidad del Norte; Universidad Antonio Narino; Universidad Pedagogica y Tecnologica de Colombia (UPTC); Universidad Tecnologica de Bolivar; Universidad EAFIT; University of Basque Country; Universidad EAFIT; Universidad del Norte; Universidad Antonio Narino</t>
  </si>
  <si>
    <t>Ruiz, JI (corresponding author), Univ Nacl Colombia, Carrera 30 45-03,Edificio 212,220, Bogota, Colombia.</t>
  </si>
  <si>
    <t>jiruizp@unal.edu.co; jiruizp@unal.ed.co; lopezw@javeriana.edu.co; Dario.paez@ehu.es; lander.mendez@ehu.eus; sulycastro@gmail.com; cepeda@usco.edu.co; invesrigacion.psicologia@fup.edu.co; mamaris@uninorte.edu.co; jomoncayo@uan.edu.co; rossanacamelo@unicesar.edu.co; dct.mbeltran@uniclaretiana.edu.co; zulma.mongui@uptc.edu.co; edominguez@etup.edu.eco; argemiro.alejo@unibague.edu.co; luis_perez@corposucre.edu.co; caro.orozco.castillo@gmail.com; laura91.ap@gmail.com; jaimea@umanizales.edu.co; edalejo@gmail.com; jorejue2@eafit.edu.co; arelir@uninorte.edu.co; maperez27@uan.edu.co</t>
  </si>
  <si>
    <t>Castro-Abril, Pablo Enrique/AAB-4702-2021; Paez, Dario/D-5207-2009; Alejo, Edgar G/C-4764-2017</t>
  </si>
  <si>
    <t>Castro-Abril, Pablo Enrique/0000-0001-9074-3921; Paez, Dario/0000-0002-8459-6037; Caicedo Bucheli, Maria Alejandra/0000-0002-1549-9989; Moncayo Quevedo, Jorge Eduardo/0000-0001-6458-4162; MENDEZ CASAS, LANDER/0000-0001-7875-6949; Ruiz Perez, Jose Ignacio/0000-0002-8996-9736; Lopez-Lopez, Wilson/0000-0002-2964-0402; Alejo Riveros, Argemiro/0000-0002-8220-196X; Dominguez, Elsy Mercedes/0000-0001-7918-9982; Castro Molinares, Suly Patricia/0000-0002-2876-7401; Beltran E., Manuel/0000-0001-6876-3088; Cepeda Rodriguez, Zulma Yadira/0000-0002-5520-5391; Alejo, Edgar G/0000-0002-7007-2435</t>
  </si>
  <si>
    <t>10.18800/psico.202201.005</t>
  </si>
  <si>
    <t>WOS:000731882000006</t>
  </si>
  <si>
    <t>Ortega, L; Miller, J; Araguas-Araguas, L; Zabala, ME; Vives, L; Mira, A; Rodriguez, L; Heredia, J; Armengol, S; Manzano, M</t>
  </si>
  <si>
    <t>Ortega, L.; Miller, J.; Araguas-Araguas, L.; Zabala, M. E.; Vives, L.; Mira, A.; Rodriguez, L.; Heredia, J.; Armengol, S.; Manzano, M.</t>
  </si>
  <si>
    <t>Unravelling groundwater and surface water sources in the Esteros del Ibera Wetland Area: An isotopic approach</t>
  </si>
  <si>
    <t>SCIENCE OF THE TOTAL ENVIRONMENT</t>
  </si>
  <si>
    <t>Guarani Aquifer System; Iber? Wetlands; Argentina; Water sources; Rn-222; delta O-18 and delta H-2; EMMA</t>
  </si>
  <si>
    <t>GUARANI AQUIFER SYSTEM; SOUTH-AMERICA; IDENTIFY; RN-222; MANAGEMENT; RADON; RATIO; FLOW</t>
  </si>
  <si>
    <t>In the Esteros del Ibera Wetland Area (EIWA, NE Argentina), the southern sector of the transboundary Guarani Aquifer System (SAG) is overlain by the Ramsar listed Ibera Wetlands and several rivers, that combined extend across 37,930 km(2) and represent one of the largest freshwater systems on the South American continent. Previous hydrogeological studies encompassing the entire SAG proposed preferential discharge of groundwater of various origins and ages to the EIWA. In this study, a multi-tracer study using major ionic species, delta O-18, delta H-2 and Rn-222 was conducted in lagoons, rivers, wells, and boreholes in the EIWA to confirm if discharge from the transboundary SAG is contributing to the sur-face water system. End-member Mixing Analysis (EMMA) determined the existence of four main end-members: groundwater from the SAG, more saline groundwater from the deeper Pre-SAG, and two poorly mineralised end -members from shallow, Post-SAG. EMMA calculations clearly illustrated complex binary and ternary mixing patterns involving the four end-members and highlighted the role of geological structures, specifically regional steep faults, in controlling the mixing patterns. Rn-222 activities allowed in-situ identification of preferential deep groundwater dis-charge into both surface waters and shallow groundwaters. These findings provide strong evidence for the widespread existence of upward flows along major faults in this sector of the SAG, inducing complex mixing flow patterns and explaining the presence of old groundwater in shallow aquifers. Mapping the sources of water and the hydrological interactions are relevant for improving water balance estimates and develop management policies towards the preservation of these wetlands.</t>
  </si>
  <si>
    <t>[Ortega, L.; Manzano, M.] Univ Politecn Cartagena UPTC, Escuela Ingn Caminos Canales &amp; Puertos &amp; Ingn Mina, Cartagena, Spain; [Ortega, L.; Miller, J.; Araguas-Araguas, L.] Int Atom Energy Agcy IAEA, Vienna, Austria; [Zabala, M. E.] Consejo Nacl Invest Cient &amp; Tecn CONICET, Buenos Aires, Argentina; [Zabala, M. E.; Vives, L.; Mira, A.] Inst Hidrol Llanuras Dr Eduardo Jorge Usunoff IHLL, Azul, Buenos Aires, Argentina; [Mira, A.; Heredia, J.] Inst Geol &amp; Minero Espana IGME, Madrid, Spain; [Rodriguez, L.] Univ Nacl Litoral, Fac Ingn &amp; Ciencias Hidr, Santa Fe, Argentina; [Armengol, S.] Univ Calif Riverside, Dept Environm Sci, Riverside, CA USA</t>
  </si>
  <si>
    <t>International Atomic Energy Agency; Consejo Nacional de Investigaciones Cientificas y Tecnicas (CONICET); National University of the Littoral; University of California System; University of California Riverside</t>
  </si>
  <si>
    <t>Ortega, L (corresponding author), Int Atom Energy Agcy IAEA, Vienna, Austria.</t>
  </si>
  <si>
    <t>l.ortega@iaea.org</t>
  </si>
  <si>
    <t>Ministry of Economy and Competitiveness of Spain; MICINN-REDESAC [CGL2009-2910-CO3]; Ministry of Science, Technology and Productive Innovation of Argentina [2008/2071]</t>
  </si>
  <si>
    <t>Ministry of Economy and Competitiveness of Spain(Spanish Government); MICINN-REDESAC; Ministry of Science, Technology and Productive Innovation of Argentina</t>
  </si>
  <si>
    <t>The data from various projects between 2009 and 2015: International Atomic Energy Agency, project The role of wetlands and rivers in the discharge of groundwater from the Guarani aquifer in NE Argentina; Ministry of Economy and Competitiveness of Spain, MICINN-REDESAC project CGL2009-2910-CO3, Aquifer recharge and discharge processes; and Ministry of Science, Technology and Productive Innovation of Argentina (PICT project 2008/2071). The authors would like to thank the comments and corrections of two anonymous reviewers that contributed greatly to improve the manuscript.</t>
  </si>
  <si>
    <t>0048-9697</t>
  </si>
  <si>
    <t>1879-1026</t>
  </si>
  <si>
    <t>SCI TOTAL ENVIRON</t>
  </si>
  <si>
    <t>Sci. Total Environ.</t>
  </si>
  <si>
    <t>NOV 10</t>
  </si>
  <si>
    <t>10.1016/j.scitotenv.2022.157475</t>
  </si>
  <si>
    <t>3V9RP</t>
  </si>
  <si>
    <t>WOS:000841995700004</t>
  </si>
  <si>
    <t>Kirkland, K; Crimston, CR; Jetten, J; Rudnev, M; Acevedo-Triana, C; Amiot, CE; Ausmees, L; Baguma, P; Barry, O; Becker, M; Bilewicz, M; Boonyasiriwat, W; Castelain, T; Costantini, G; Dimdins, G; Espinosa, A; Finchilescu, G; Fischer, R; Friese, M; Gastardo-Conaco, MC; Gomez, A; Gonzalez, R; Goto, N; Halama, P; Jiga-Boy, GM; Kuppens, P; Loughnan, S; Markovik, M; Mastor, KA; McLatchie, N; Novak, LM; Onyekachi, BN; Peker, M; Rizwan, M; Schaller, M; Suh, EM; Talaifar, S; Tong, EMW; Torres, A; Turner, RN; Van Lange, PAM; Vauclair, CM; Vinogradov, A; Wang, ZC; Yeung, VWL; Bastian, B</t>
  </si>
  <si>
    <t>Kirkland, Kelly; Crimston, Charlie R.; Jetten, Jolanda; Rudnev, Maksim; Acevedo-Triana, Cesar; Amiot, Catherine E.; Ausmees, Liisi; Baguma, Peter; Barry, Oumar; Becker, Maja; Bilewicz, Michal; Boonyasiriwat, Watcharaporn; Castelain, Thomas; Costantini, Giulio; Dimdins, Girts; Espinosa, Agustin; Finchilescu, Gillian; Fischer, Ronald; Friese, Malte; Gastardo-Conaco, Maria Cecilia; Gomez, Angel; Gonzalez, Roberto; Goto, Nobuhiko; Halama, Peter; Jiga-Boy, Gabriela M.; Kuppens, Peter; Loughnan, Steve; Markovik, Marijana; Mastor, Khairul A.; McLatchie, Neil; Novak, Lindsay M.; Onyekachi, Blessing N.; Peker, Mujde; Rizwan, Muhammad; Schaller, Mark; Suh, Eunkook M.; Talaifar, Sanaz; Tong, Eddie M. W.; Torres, Ana; Turner, Rhiannon N.; Van Lange, Paul A. M.; Vauclair, Christin-Melanie; Vinogradov, Alexander; Wang, Zhechen; Yeung, Victoria Wai Lan; Bastian, Brock</t>
  </si>
  <si>
    <t>Moral Expansiveness Around the World: The Role of Societal Factors Across 36 Countries</t>
  </si>
  <si>
    <t>SOCIAL PSYCHOLOGICAL AND PERSONALITY SCIENCE</t>
  </si>
  <si>
    <t>moral circles; moral expansiveness; economic inequality; trust; anomie</t>
  </si>
  <si>
    <t>INCOME INEQUALITY; GENERALIZED TRUST; ASSOCIATION; HEALTH</t>
  </si>
  <si>
    <t>What are the things that we think matter morally, and how do societal factors influence this? To date, research has explored several individual-level and historical factors that influence the size of our 'moral circles.' There has, however, been less attention focused on which societal factors play a role. We present the first multi-national exploration of moral expansiveness-that is, the size of people's moral circles across countries. We found low generalized trust, greater perceptions of a breakdown in the social fabric of society, and greater perceived economic inequality were associated with smaller moral circles. Generalized trust also helped explain the effects of perceived inequality on lower levels of moral inclusiveness. Other inequality indicators (i.e., Gini coefficients) were, however, unrelated to moral expansiveness. These findings suggest that societal factors, especially those associated with generalized trust, may influence the size of our moral circles.</t>
  </si>
  <si>
    <t>[Kirkland, Kelly; Bastian, Brock] Univ Melbourne, Melbourne, Vic, Australia; [Crimston, Charlie R.; Jetten, Jolanda] Univ Queensland, Brisbane, Qld, Australia; [Rudnev, Maksim] HSE Univ, Lab Comparat Studies Mass Consciousness, Moscow, Russia; [Acevedo-Triana, Cesar] Univ Pedag &amp; Tecnol Colombia, Tunja, Colombia; [Amiot, Catherine E.] Univ Quebec Montreal, Montreal, PQ, Canada; [Ausmees, Liisi] Univ Tartu, Tartu, Estonia; [Baguma, Peter] Makerere Univ, Kampala, Uganda; [Barry, Oumar] Cheikh Anta Diop Univ, Dakar, Senegal; [Becker, Maja] Univ Toulouse, CNRS, Toulouse, France; [Bilewicz, Michal] Univ Warsaw, Psychol, Warsaw, Poland; [Boonyasiriwat, Watcharaporn] Chulalongkorn Univ, Social Psychol, Bangkok, Thailand; [Castelain, Thomas] Univ Girona, Girona, Spain; [Costantini, Giulio] Univ Milano Bicocca, Milan, Italy; [Dimdins, Girts] Univ Latvia, Social Psychol, Riga, Latvia; [Espinosa, Agustin] Pontifical Catholic Univ Peru, Social Psychol, Lima, Peru; [Finchilescu, Gillian] Univ Witwatersrand, Psychol Dept, Johannesburg, South Africa; [Fischer, Ronald] Victoria Univ Wellington, Psychol, Wellington, New Zealand; [Friese, Malte] Saarland Univ, Dept Psychol, Saarbrucken, Germany; [Gastardo-Conaco, Maria Cecilia] Univ Philippines Diliman, Quezon City, Philippines; [Gomez, Angel] Univ Nacl Educ Distancia UNED, Madrid, Spain; [Gonzalez, Roberto] Pontificia Univ Catolica Chile, Social Psychol, Santiago, Chile; [Goto, Nobuhiko] Hitotsubashi Univ, Tokyo, Japan; [Halama, Peter] Slovak Acad Sci, Ctr Social &amp; Psychol Sci, Bratislava, Slovakia; [Jiga-Boy, Gabriela M.] Swansea Univ, Psychol, Swansea, W Glam, Wales; [Kuppens, Peter] Katholieke Univ Leuven, Psychol, Leuven, Belgium; [Loughnan, Steve] Univ Edinburgh, Edinburgh, Midlothian, Scotland; [Markovik, Marijana] Ss Cyril &amp; Methodius Univ Skopje, Skopje, North Macedonia; [Mastor, Khairul A.] Univ Kebangsaan Malaysia, Sch Liberal Studies CITRA, Bangi, Malaysia; [McLatchie, Neil] Univ Lancaster, Psychol Dept, Social Proc Grp, Lancaster, England; [Novak, Lindsay M.] Univ Illinois, Chicago, IL 60680 USA; [Onyekachi, Blessing N.] Univ Nigeria, Social Psychol, Nsukka, Nigeria; [Peker, Mujde] MEF Univ, Istanbul, Turkey; [Rizwan, Muhammad] Univ Haripur, Haripur, Pakistan; [Schaller, Mark] Univ British Columbia, Psychol, Vancouver, BC, Canada; [Suh, Eunkook M.] Yonsei Univ, Seoul, South Korea; [Talaifar, Sanaz] Stanford Univ, Org Behav, Stanford, CA 94305 USA; [Tong, Eddie M. W.] Natl Univ Singapore, Singapore, Singapore; [Torres, Ana] Univ Fed Paraiba, Social Psychol, Joao Pessoa, Paraiba, Brazil; [Turner, Rhiannon N.] Queens Univ Belfast, Social Psychol, Belfast, Antrim, North Ireland; [Van Lange, Paul A. M.] Vrije Univ Amsterdam, Amsterdam, Netherlands; [Vauclair, Christin-Melanie] CIS IUL, Inst Univ Lisboa ISCTE IUL, Lisbon, Portugal; [Vinogradov, Alexander] Taras Shevchenko Natl Univ Kyiv, Kiev, Ukraine; [Wang, Zhechen] Fudan Univ, Shanghai, Peoples R China; [Yeung, Victoria Wai Lan] Lingnan Univ, Hong Kong, Peoples R China</t>
  </si>
  <si>
    <t>University of Melbourne; University of Queensland; HSE University (National Research University Higher School of Economics); Universidad Pedagogica y Tecnologica de Colombia (UPTC); University of Quebec; University of Quebec Montreal; University of Tartu; Makerere University; University Cheikh Anta Diop Dakar; Centre National de la Recherche Scientifique (CNRS); Universite de Toulouse; University of Warsaw; Chulalongkorn University; Universitat de Girona; University of Milano-Bicocca; University of Latvia; Pontificia Universidad Catolica del Peru; University of Witwatersrand; Victoria University Wellington; Saarland University; University of the Philippines System; University of the Philippines Diliman; Universidad Nacional de Educacion a Distancia (UNED); Pontificia Universidad Catolica de Chile; Hitotsubashi University; Slovak Academy of Sciences; Swansea University; KU Leuven; University of Edinburgh; Saints Cyril &amp; Methodius University of Skopje; Universiti Kebangsaan Malaysia; Lancaster University; University of Illinois System; University of Illinois Chicago; University of Illinois Chicago Hospital; University of Nigeria; MEF Universitesi; University of British Columbia; Yonsei University; Stanford University; National University of Singapore; Universidade Federal da Paraiba; Queens University Belfast; Vrije Universiteit Amsterdam; Instituto Universitario de Lisboa; Ministry of Education &amp; Science of Ukraine; Taras Shevchenko National University Kiev; Fudan University; Lingnan University</t>
  </si>
  <si>
    <t>Kirkland, K (corresponding author), Univ Melbourne, Melbourne Sch Psychol Sci, Melbourne, Vic 3010, Australia.</t>
  </si>
  <si>
    <t>kelly.kirkland@unimelb.edu.au</t>
  </si>
  <si>
    <t>Amiot, Catherine/GQP-2466-2022; Castelain, Thomas/AGZ-3927-2022; Goto, Nobuhiko/AGI-0388-2022; Gómez, Ángel/C-6108-2011; Vinogradov, Alexander/K-1250-2018; Fischer, Ronald/G-6447-2017; Wang, Zhechen/AEU-1735-2022; Halama, Peter/D-7537-2011; Friese, Malte/A-3788-2016; Yeung, Victoria/P-9054-2018</t>
  </si>
  <si>
    <t>Castelain, Thomas/0000-0001-9415-1771; Goto, Nobuhiko/0000-0003-2675-5164; Gómez, Ángel/0000-0002-4287-4916; Vinogradov, Alexander/0000-0003-1250-3863; Fischer, Ronald/0000-0002-3055-3955; Wang, Zhechen/0000-0002-9071-2348; Halama, Peter/0000-0002-6938-4845; Friese, Malte/0000-0003-0055-513X; Rudnev, Maksim/0000-0002-2714-3840; Yeung, Victoria/0000-0002-3479-3198; Kirkland, Kelly/0000-0001-7286-6506; Espinosa, Agustin/0000-0002-2275-5792; Crimston, Charlie/0000-0002-4529-786X; Becker, Maja/0000-0003-1187-1699; Talaifar, Sanaz/0000-0002-4918-9575; Acevedo-Triana, Cesar/0000-0002-1296-9957</t>
  </si>
  <si>
    <t>Australian Research Council (ARC) [DP200101446]; Center for Social Conflict and Cohesion Studies [ANID/FONDAP 15130009]; JSPS KAKENHI [19KK0063]; Latvian Council of Science [lzp2018/1-0402]; Polish National Science Center Grant Sonata Bis [UMO-2017/26/E/HS6/00129]; Basic Research Program at the National Research University Higher School of Economics (HSE University); Center for Intercultural and Indigenous Research [ANID/FONDAP 15110006]</t>
  </si>
  <si>
    <t>Australian Research Council (ARC)(Australian Research Council); Center for Social Conflict and Cohesion Studies; JSPS KAKENHI(Ministry of Education, Culture, Sports, Science and Technology, Japan (MEXT)Japan Society for the Promotion of ScienceGrants-in-Aid for Scientific Research (KAKENHI)); Latvian Council of Science(Latvian Ministry of Education and Science); Polish National Science Center Grant Sonata Bis; Basic Research Program at the National Research University Higher School of Economics (HSE University); Center for Intercultural and Indigenous Research</t>
  </si>
  <si>
    <t>The author(s) disclosed receipt of the following financial support for the research, authorship, and/or publication of this article: Brock Bastian was supported by the Australian Research Council (ARC) (grant number DP200101446), Steve Loughnan was supported by the Philip Leverhulme Prize, Roberto Gonzalez was supported by the Center for Social Conflict and Cohesion Studies (ANID/FONDAP 15130009) and the Center for Intercultural and Indigenous Research (ANID/FONDAP 15110006), Nobuhiko Goto was supported by the JSPS KAKENHI (grant number 19KK0063), Girts Dimdins was supported by the Latvian Council of Science (grant number lzp2018/1-0402), Michal Bilewicz was supported by the Polish National Science Center Grant Sonata Bis (grant number UMO-2017/26/E/HS6/00129). and Maksim Rudnev was supported by a research project implemented as part of the Basic Research Program at the National Research University Higher School of Economics (HSE University).</t>
  </si>
  <si>
    <t>SAGE PUBLICATIONS INC</t>
  </si>
  <si>
    <t>THOUSAND OAKS</t>
  </si>
  <si>
    <t>2455 TELLER RD, THOUSAND OAKS, CA 91320 USA</t>
  </si>
  <si>
    <t>1948-5506</t>
  </si>
  <si>
    <t>1948-5514</t>
  </si>
  <si>
    <t>SOC PSYCHOL PERS SCI</t>
  </si>
  <si>
    <t>Soc. Psychol. Personal Sci.</t>
  </si>
  <si>
    <t>10.1177/19485506221101767</t>
  </si>
  <si>
    <t>Psychology, Social</t>
  </si>
  <si>
    <t>2W8UV</t>
  </si>
  <si>
    <t>Green Submitted, Green Accepted</t>
  </si>
  <si>
    <t>WOS:000824794000001</t>
  </si>
  <si>
    <t>Zuidema, PA; Babst, F; Groenendijk, P; Trouet, V; Abiyu, A; Acuna-Soto, R; Adenesky, E; Alfaro-Sanchez, R; Aragao, JRV; Assis-Pereira, G; Bai, X; Barbosa, AC; Battipaglia, G; Beeckman, H; Botosso, PC; Bradley, T; Brauning, A; Brienen, R; Buckley, BM; Camarero, JJ; Carvalho, A; Ceccantini, G; Centeno-Erguera, LR; Cerano-Paredes, J; Chavez-Duran, AA; Cintra, BBL; Cleaveland, MK; Couralet, C; D'Arrigo, R; del Valle, JI; Dunisch, O; Enquist, BJ; Esemann-Quadros, K; Eshetu, Z; Fan, ZX; Ferrero, ME; Fichtler, E; Fontana, C; Francisco, KS; Gebrekirstos, A; Gloor, E; Granato-Souza, D; Haneca, K; Harley, GL; Heinrich, I; Helle, G; Inga, JG; Islam, M; Jiang, YM; Kaib, M; Khamisi, ZH; Koprowski, M; Kruijt, B; Layme, E; Leemans, R; Leffler, AJ; Lisi, CS; Loader, NJ; Locosselli, GM; Lopez, L; Lopez-Hernandez, MI; Lousada, JLPC; Mendivelso, HA; Mokria, M; Montoia, VR; Moors, E; Nabais, C; Ngoma, J; Nogueira, FD; Oliveira, JM; Olmedo, GM; Pagotto, MA; Panthi, S; Perez-De-Lis, G; Pucha-Cofrep, D; Pumijumnong, N; Rahman, M; Ramirez, JA; Requena-Rojas, EJ; Ribeiro, AD; Robertson, I; Roig, FA; Rubio-Camacho, EA; Sass-Klaassen, U; Schongart, J; Sheppard, PR; Slotta, F; Speer, JH; Therrell, MD; Toirambe, B; Tomazello, M; Torbenson, MCA; Touchan, R; Venegas-Gonzalez, A; Villalba, R; Villanueva-Diaz, J; Vinya, R; Vlam, M; Wils, T; Zhou, ZK</t>
  </si>
  <si>
    <t>Zuidema, Pieter A.; Babst, Flurin; Groenendijk, Peter; Trouet, Valerie; Abiyu, Abrham; Acuna-Soto, Rodolfo; Adenesky-Filho, Eduardo; Alfaro-Sanchez, Raquel; Vieira Aragao, Jose Roberto; Assis-Pereira, Gabriel; Bai, Xue; Barbosa, Ana Carolina; Battipaglia, Giovanna; Beeckman, Hans; Botosso, Paulo Cesar; Bradley, Tim; Braeuning, Achim; Brienen, Roel; Buckley, Brendan M.; Julio Camarero, J.; Carvalho, Ana; Ceccantini, Gregorio; Centeno-Erguera, Librado R.; Cerano-Paredes, Julian; Agustin Chavez-Duran, Alvaro; Ladvocat Cintra, Bruno Barcante; Cleaveland, Malcolm K.; Couralet, Camille; D'Arrigo, Rosanne; Ignacio del Valle, Jorge; Duenisch, Oliver; Enquist, Brian J.; Esemann-Quadros, Karin; Eshetu, Zewdu; Fan, Ze-Xin; Eugenia Ferrero, M.; Fichtler, Esther; Fontana, Claudia; Francisco, Kainana S.; Gebrekirstos, Aster; Gloor, Emanuel; Granato-Souza, Daniela; Haneca, Kristof; Harley, Grant Logan; Heinrich, Ingo; Helle, Gerd; Inga, Janet G.; Islam, Mahmuda; Jiang, Yu-mei; Kaib, Mark; Khamisi, Zakia Hassan; Koprowski, Marcin; Kruijt, Bart; Layme, Eva; Leemans, Rik; Leffler, A. Joshua; Sergio Lisi, Claudio; Loader, Neil J.; Locosselli, Giuliano Maselli; Lopez, Lidio; Lopez-Hernandez, Maria, I; Penetra Cerveira Lousada, Jose Luis; Mendivelso, Hooz A.; Mokria, Mulugeta; Montoia, Valdinez Ribeiro; Moors, Eddy; Nabais, Cristina; Ngoma, Justine; Nogueira Junior, Francisco de Carvalho; Oliveira, Juliano Morales; Olmedo, Gabriela Morais; Pagotto, Mariana Alves; Panthi, Shankar; Perez-De-Lis, Gonzalo; Pucha-Cofrep, Darwin; Pumijumnong, Nathsuda; Rahman, Mizanur; Andres Ramirez, Jorge; Jimmy Requena-Rojas, Edilson; Ribeiro, Adauto de Souza; Robertson, Iain; Alejandro Roig, Fidel; Alonso Rubio-Camacho, Ernesto; Sass-Klaassen, Ute; Schongart, Jochen; Sheppard, Paul R.; Slotta, Franziska; Speer, James H.; Therrell, Matthew D.; Toirambe, Benjamin; Tomazello-Filho, Mario; Torbenson, Max C. A.; Touchan, Ramzi; Venegas-Gonzalez, Alejandro; Villalba, Ricardo; Villanueva-Diaz, Jose; Vinya, Royd; Vlam, Mart; Wils, Tommy; Zhou, Zhe-Kun</t>
  </si>
  <si>
    <t>Tropical tree growth driven by dry-season climate variability</t>
  </si>
  <si>
    <t>NATURE GEOSCIENCE</t>
  </si>
  <si>
    <t>INTERANNUAL VARIABILITY; RAIN-FOREST; SEMIARID ECOSYSTEMS; CARBON DYNAMICS; CO2; SENSITIVITY; SINK; PRODUCTIVITY; RESPONSES; FLUXES</t>
  </si>
  <si>
    <t>Dry-season climate variability is a primary driver of tropical tree growth, according to observations from a pantropical tree-ring network. Interannual variability in the global land carbon sink is strongly related to variations in tropical temperature and rainfall. This association suggests an important role for moisture-driven fluctuations in tropical vegetation productivity, but empirical evidence to quantify the responsible ecological processes is missing. Such evidence can be obtained from tree-ring data that quantify variability in a major vegetation productivity component: woody biomass growth. Here we compile a pantropical tree-ring network to show that annual woody biomass growth increases primarily with dry-season precipitation and decreases with dry-season maximum temperature. The strength of these dry-season climate responses varies among sites, as reflected in four robust and distinct climate response groups of tropical tree growth derived from clustering. Using cluster and regression analyses, we find that dry-season climate responses are amplified in regions that are drier, hotter and more climatically variable. These amplification patterns suggest that projected global warming will probably aggravate drought-induced declines in annual tropical vegetation productivity. Our study reveals a previously underappreciated role of dry-season climate variability in driving the dynamics of tropical vegetation productivity and consequently in influencing the land carbon sink.</t>
  </si>
  <si>
    <t>[Zuidema, Pieter A.; Sass-Klaassen, Ute] Wageningen Univ, Forest Ecol &amp; Forest Management Grp, Wageningen, Netherlands; [Babst, Flurin] Univ Arizona, Sch Nat Resources &amp; Environm, Tucson, AZ USA; [Babst, Flurin; Trouet, Valerie; Khamisi, Zakia Hassan; Sheppard, Paul R.; Touchan, Ramzi] Univ Arizona, Lab Tree Ring Res, Tucson, AZ USA; [Groenendijk, Peter; Vieira Aragao, Jose Roberto] Univ Campinas UNICAMP, Inst Biol, Dept Plant Biol, Campinas, Brazil; [Abiyu, Abrham] World Agroforestry Ctr ICRAF, Addis Ababa, Ethiopia; [Acuna-Soto, Rodolfo] Univ Nacl Autonoma Mexico, Dept Microbiol &amp; Parasitol, Mexico City, DF, Mexico; [Adenesky-Filho, Eduardo] Univ Reg Blumenau, Dept Forest Engn, Lab Protect &amp; Forest Management, Blumenau, SC, Brazil; [Alfaro-Sanchez, Raquel] Wilfrid Laurier Univ, Dept Biol, Waterloo, ON, Canada; [Assis-Pereira, Gabriel; Fontana, Claudia; Tomazello-Filho, Mario] Univ Sao Paulo, Luiz de Queiroz Coll Agr, Dept Forest Sci, Piracicaba, Brazil; [Assis-Pereira, Gabriel; Barbosa, Ana Carolina] Univ Fed Lavras, Forest Sci Dept, Tree Ring Lab, Lavras, Brazil; [Bai, Xue; Fan, Ze-Xin; Panthi, Shankar; Zhou, Zhe-Kun] Chinese Acad Sci, CAS Key Lab Trop Forest Ecol, Xishuangbanna Trop Bot Garden, Mengla, Peoples R China; [Battipaglia, Giovanna] Univ Campania L Vanvitelli, Dept Environm Biol &amp; Pharmaceut Sci &amp; Technol, Caserta, Italy; [Beeckman, Hans; Couralet, Camille; Toirambe, Benjamin] Royal Museum Cent Africa, Serv Wood Biol, Tervuren, Belgium; [Botosso, Paulo Cesar] Brazilian Agr Res Corp Embrapa, Embrapa Forestry, Colombo, Brazil; [Bradley, Tim] US Forest Serv, USDA, NWCG Member Agcy, Washington, DC 20250 USA; [Braeuning, Achim; Islam, Mahmuda; Mokria, Mulugeta; Rahman, Mizanur] Friedrich Alexander Univ Erlangen Nuremberg, Inst Geog, Erlangen, Germany; [Brienen, Roel; Gloor, Emanuel] Univ Leeds, Sch Geog, Leeds, W Yorkshire, England; [Buckley, Brendan M.; D'Arrigo, Rosanne] Columbia Univ, Lamont Doherty Earth Observ, Palisades, NY USA; [Julio Camarero, J.] Inst Pirena Ecol IPE CSIC, Zaragoza, Spain; [Carvalho, Ana; Nabais, Cristina] Univ Coimbra, Fac Sci &amp; Technol, Ctr Funct Ecol, Dept Life Sci, Coimbra, Portugal; [Ceccantini, Gregorio; Ladvocat Cintra, Bruno Barcante; Locosselli, Giuliano Maselli] Univ Sao Paulo, Inst Biosci, Dept Bot, Sao Paulo, Brazil; [Centeno-Erguera, Librado R.; Cerano-Paredes, Julian; Villanueva-Diaz, Jose] Inst Nacl Invest Forestales Agr &amp; Pecuarias INIFA, Ctr Nacl Invest Disciplinaria Relac Agua Suelo Pl, Gomez Palacio, Mexico; [Agustin Chavez-Duran, Alvaro] Inst Nacl Invest Forestales Agr &amp; Pecuarias INIFA, Campo Expt Ctr Altos de Jalisco, Tepatitlan De Morelos, Mexico; [Cleaveland, Malcolm K.; Granato-Souza, Daniela] Univ Arkansas, Dept Geosci, Fayetteville, AR 72701 USA; [Ignacio del Valle, Jorge] Univ Nacl Colombia Sede Medellin, Dept Forest Sci, Medellin, Colombia; [Duenisch, Oliver] Master Sch Carpentry &amp; Cabinetmaking, Ebern, Germany; [Enquist, Brian J.] Univ Arizona, Dept Ecol &amp; Evolutionary Biol, Tucson, AZ USA; [Enquist, Brian J.] Santa Fe Inst, Santa Fe, NM 87501 USA; [Esemann-Quadros, Karin] Univ Joinville Reg UNIVILLE, Dept Biol Sci, Joinville, Brazil; [Esemann-Quadros, Karin] Reg Univ Blumenau FURB, Postgrad Program Forestry, Blumenau, Brazil; [Eshetu, Zewdu] Addis Ababa Univ, Coll Life Sci, Climate Sci Ctr, Addis Ababa, Ethiopia; [Eshetu, Zewdu] Addis Ababa Univ, Dept Earth Sci, Addis Ababa, Ethiopia; [Eugenia Ferrero, M.; Lopez, Lidio; Alejandro Roig, Fidel; Villalba, Ricardo] CCT CONICET Mendoza, Dept Dendrocronol &amp; Hist Ambiental, IANIGLA, Mendoza, Argentina; [Eugenia Ferrero, M.; Inga, Janet G.; Jimmy Requena-Rojas, Edilson] Univ Continental, Lab Dendrocronol, Huancayo, Peru; [Fichtler, Esther] Gottingen Univ, Dept Crop Sci Trop Plant Prod &amp; Agr Syst Modellin, Gottingen, Germany; [Francisco, Kainana S.; Mokria, Mulugeta] US Forest Serv, Inst Pacific Isl Forestry, USDA, Pacific Southwest Res Stn, Hilo, HI USA; [Gebrekirstos, Aster] World Agroforestry Ctr ICRAF, Nairobi, Kenya; [Haneca, Kristof] Flanders Heritage Agcy, Brussels, Belgium; [Harley, Grant Logan] Univ Idaho, Dept Geog &amp; Geol Sci, Moscow, ID 83843 USA; [Heinrich, Ingo] German Archaeol Inst DAI, Berlin, Germany; [Heinrich, Ingo] Humboldt Univ, Geog Dept, Berlin, Germany; [Heinrich, Ingo; Helle, Gerd] GFZ German Res Ctr Geosci, Potsdam, Germany; [Islam, Mahmuda; Rahman, Mizanur] Shahjalal Univ Sci &amp; Technol, Dept Forestry &amp; Environm Sci, Sylhet, Bangladesh; [Jiang, Yu-mei] Czech Univ Life Sci Prague, Fac Forestry &amp; Wood Sci, Prague, Czech Republic; [Kaib, Mark] US Fish &amp; Wildlife Serv, Albuquerque, NM USA; [Koprowski, Marcin] Nicolaus Copernicus Univ, Fac Biol &amp; Vet Sci, Dept Ecol &amp; Biogeog, Torun, Poland; [Koprowski, Marcin] Nicolaus Copernicus Univ, Ctr Climate Change Res, Torun, Poland; [Kruijt, Bart] Wageningen Univ &amp; Res, Water Syst &amp; Global Change Grp, Wageningen, Netherlands; [Layme, Eva] Inst Nacl Innovac Agr, Programa Nacl Invest Forestal, Huancayo, Peru; [Leemans, Rik] Wageningen Univ &amp; Res, Environm Syst Anal Grp, Wageningen, Netherlands; [Leffler, A. Joshua] South Dakota State Univ, Dept Nat Resource Management, Brookings, SD 57007 USA; [Sergio Lisi, Claudio; Pagotto, Mariana Alves; Ribeiro, Adauto de Souza] Univ Fed Sergipe, Dept Biol, Lab Plant Anat &amp; Dendrochronol, Sergipe, Brazil; [Loader, Neil J.; Robertson, Iain] Swansea Univ, Dept Geog, Swansea, W Glam, Wales; [Lopez-Hernandez, Maria, I] Univ Autonoma Agr Antonio Narro, Dept Forestal, Saltillo, Coahuila, Mexico; [Penetra Cerveira Lousada, Jose Luis] Univ Tres Os Montes &amp; Alto Douro, CITAB Dept Forestry Sci &amp; Landscape CIFAP, Vila Real, Portugal; [Mendivelso, Hooz A.] Univ Pedag &amp; Tecnol Colombia UPTC, Escuela Ciencias Biol, Tunja, Colombia; [Montoia, Valdinez Ribeiro] Brazilian Agr Res Corp Embrapa, Embrapa Amazonia Ocidental, Manaus, Amazonas, Brazil; [Moors, Eddy] IHE Delft, Delft, Netherlands; [Moors, Eddy] Vrije Univ Amsterdam, Amsterdam, Netherlands; [Ngoma, Justine] Copperbelt Univ, Sch Nat Resources, Dept Biomat Sci &amp; Technol, Kitwe, Zambia; [Nogueira Junior, Francisco de Carvalho] Fed Inst Sergipe, Lab Ecol &amp; Dendrol, Sao Cristovao, Brazil; [Oliveira, Juliano Morales; Olmedo, Gabriela Morais] Univ Vale Rio dos Sinos UNISINOS, Lab Plant Ecol, Sao Leopoldo, Brazil; [Perez-De-Lis, Gonzalo] Univ Santiago de Compostela, Dept Bot, EPSE, BIOAPLIC, Lugo, Spain; [Pucha-Cofrep, Darwin] Univ Nacl Loja, Lab Dendrocronol, Carrera Ingn Forestal, Loja, Ecuador; [Pumijumnong, Nathsuda] Mahidol Univ, Fac Environm &amp; Resource Studies, Phutthamonthon Dist, Nakhon Pathom, Thailand; [Andres Ramirez, Jorge] Univ Cauca, Fac Ciencias Agr, Popayan, Colombia; [Alejandro Roig, Fidel; Venegas-Gonzalez, Alejandro] Univ Mayor, Fac Ciencias, Hemera Ctr Observac Tierra, Escuela Ingn Forestal, Santiago, Chile; [Alonso Rubio-Camacho, Ernesto] Ctr Altos Jalisco, Ctr Invest Reg Pacifico Ctr Campo Expt, Inst Nacl Invest Forestales Agr &amp; Pecuarias INIFA, Guadalajara, Jalisco, Mexico; [Schongart, Jochen] Natl Inst Amazon Res, Manaus, Amazonas, Brazil; [Slotta, Franziska] Free Univ Berlin, Dept Earth Sci, Berlin, Germany; [Speer, James H.] Indiana State Univ, Dept Earth &amp; Environm Syst, Terre Haute, IN 47809 USA; [Therrell, Matthew D.] Univ Alabama, Dept Geog, Tuscaloosa, AL USA; [Torbenson, Max C. A.] Ohio State Univ, Dept Civil Environm &amp; Geodet Engn, Columbus, OH 43210 USA; [Torbenson, Max C. A.] Johannes Gutenberg Univ Mainz, Dept Geog, Mainz, Germany; [Vinya, Royd] Copperbelt Univ, Sch Nat Resources, Dept Plant &amp; Environm Sci, Kitwe, Zambia; [Vlam, Mart] Van Hall Larenstein Univ Appl Sci, Forest &amp; Nat Management, Velp, Netherlands; [Wils, Tommy] Fontys Univ Appl Sci, Sch Teacher Training Secondary Educ Tilburg, Tilburg, Netherlands</t>
  </si>
  <si>
    <t>Wageningen University &amp; Research; University of Arizona; University of Arizona; Universidade de Sao Paulo; Universidade Estadual de Campinas; Universidad Nacional Autonoma de Mexico; Universidade Regional de Blumenau (FURB); Wilfrid Laurier University; Universidade de Sao Paulo; Universidade Federal de Lavras; Chinese Academy of Sciences; Xishuangbanna Tropical Botanical Garden, CAS; Universita della Campania Vanvitelli; Royal Museum for Central Africa; Empresa Brasileira de Pesquisa Agropecuaria (EMBRAPA); United States Department of Agriculture (USDA); United States Forest Service; University of Erlangen Nuremberg; University of Leeds; Columbia University; Consejo Superior de Investigaciones Cientificas (CSIC); Universidade de Coimbra; Universidade de Sao Paulo; University of Arkansas System; University of Arkansas Fayetteville; Universidad Nacional de Colombia; University of Arizona; The Santa Fe Institute; Universidade da Regiao de Joinville; Universidade Regional de Blumenau (FURB); Addis Ababa University; Addis Ababa University; Consejo Nacional de Investigaciones Cientificas y Tecnicas (CONICET); University Nacional Cuyo Mendoza; Universidad Continental; University of Gottingen; United States Department of Agriculture (USDA); United States Forest Service; CGIAR; World Agroforestry (ICRAF); Idaho; University of Idaho; Humboldt University of Berlin; Helmholtz Association; Helmholtz-Center Potsdam GFZ German Research Center for Geosciences; Shahjalal University of Science &amp; Technology (SUST); Czech University of Life Sciences Prague; United States Department of the Interior; US Fish &amp; Wildlife Service; Nicolaus Copernicus University; Nicolaus Copernicus University; Wageningen University &amp; Research; Wageningen University &amp; Research; South Dakota State University; Universidade Federal de Sergipe; Swansea University; Universidad Pedagogica y Tecnologica de Colombia (UPTC); Empresa Brasileira de Pesquisa Agropecuaria (EMBRAPA); IHE Delft Institute for Water Education; Vrije Universiteit Amsterdam; Instituto Federal de Sergipe (IFS); Universidade do Vale do Rio dos Sinos (Unisinos); Universidade de Santiago de Compostela; Mahidol University; Universidad del Cauca; Universidad Mayor; Institute Nacional de Pesquisas da Amazonia; Free University of Berlin; Indiana State University; University of Alabama System; University of Alabama Tuscaloosa; University System of Ohio; Ohio State University; Johannes Gutenberg University of Mainz; Copperbelt University</t>
  </si>
  <si>
    <t>Zuidema, PA (corresponding author), Wageningen Univ, Forest Ecol &amp; Forest Management Grp, Wageningen, Netherlands.</t>
  </si>
  <si>
    <t>Pieter.Zuidema@wur.nl</t>
  </si>
  <si>
    <t>Babst, Flurin/C-5651-2017; Fontana, Cláudia/F-1206-2018; Lousada, Jose/E-8678-2012; Granato-Souza, Daniela/V-7533-2019; Robertson, Iain/H-5327-2012; Fan, Zexin/E-2344-2016; Zhou, Zhekun/G-5281-2011; Carvalho, Ana/AAF-3487-2021; Enquist, Brian J/B-6436-2008; Pérez de Lis, Gonzalo/HKN-2787-2023; Groenendijk, Peter/P-1572-2014; Leemans, Rik/A-1548-2009; Tomazello-Filho, Mario/ABD-8077-2020; Panthi, Shankar/N-5894-2019; Alfaro Sanchez, Raquel/K-6836-2017; Aragao, Jose Roberto Vieira/U-6597-2018; Zuidema, Pieter/C-8951-2009</t>
  </si>
  <si>
    <t>Babst, Flurin/0000-0003-4106-7087; Fontana, Cláudia/0000-0003-2032-5673; Lousada, Jose/0000-0002-0991-1711; Granato-Souza, Daniela/0000-0002-7011-0892; Robertson, Iain/0000-0001-7174-4523; Fan, Zexin/0000-0003-4623-6783; Zhou, Zhekun/0000-0002-0710-2128; Carvalho, Ana/0000-0002-9316-9571; Enquist, Brian J/0000-0002-6124-7096; Pérez de Lis, Gonzalo/0000-0002-7913-2190; Groenendijk, Peter/0000-0003-2752-6195; Leemans, Rik/0000-0002-4001-6301; Tomazello-Filho, Mario/0000-0002-9814-0778; Panthi, Shankar/0000-0002-3522-5555; Rahman, Mizanur/0000-0001-9011-2011; Pucha-Cofrep, Darwin Alexander/0000-0003-3212-1184; Lopez, Lidio/0000-0001-5254-9618; Haneca, Kristof/0000-0002-7719-8305; Alfaro Sanchez, Raquel/0000-0001-7357-3027; Trouet, Valerie/0000-0002-2683-8704; Layme Huaman, Eva/0000-0003-0357-3587; Torbenson, Max/0000-0003-2720-2238; Islam, Mahmuda/0000-0003-3149-6582; Abiyu, Abrham/0000-0001-9427-9820; Morales Oliveira, Juliano/0000-0003-2834-852X; Ramirez-Correa, Jorge Andres/0000-0003-3101-052X; Ferrero, Maria Eugenia/0000-0001-6858-2164; Aragao, Jose Roberto Vieira/0000-0001-8035-9635; Zuidema, Pieter/0000-0001-8100-1168</t>
  </si>
  <si>
    <t>Agencia Nacional de Promocion Cientifica y Tecnologica, Argentina [PICT 2014-2797]; Alberta Mennega Stichting; BBVA Foundation; Belspo BRAIN [BR/143/A3/HERBAXYLAREDD]; ConfederacAo da Agricultura e Pecuaria do Brasil - CNA; CoordenacAo de Aperfeicoamento de Pessoal de Nivel Superior - CAPES, Brazil [PDSE 15011/13-5, 88881.135931/2016-01, 88887.199858/2018-00, 001]; Conselho Nacional de Desenvolvimento Cientifico e Tecnologico - CNPq, Brazil [ENV 42, 1009/4785031-2, 311874/2017-7]; Deutsche Forschungsgemeinschaft - DFG [BR 1895/15-1, BR 1895/23-1, BR 1895/29-1, BR 1895/24-1]; CONICET; CUOMO FOUNDATION (IPCC scholarship); DGD-RMCA PilotMAB; Direccion General de Asuntos del Personal Academico of the UNAM (Mexico); Elsa-Neumann-Scholarship of the Federal State of Berlin; EMBRAPA Brazilian Agricultural Research Corporation; Equatorian Direccion de Investigacion UNL [21-DI-FARNR-2019]; SAo Paulo Research Foundation FAPESP [2009/53951-7, 2012/50457-4, 2018/01847-0, 2018/24514-7, 2019/08783-0, 2019/27110-7]; FAPESP-NERC [18/50080-4]; FAPITEC/SE/FUNTEC [01/2011]; Fulbright Fellowship; German Academic Exchange Service (DAAD); German Ministry of Education, Science, Research, and Technology [FRG 0339638]; ICRAF through the Forests, Trees, and Agroforestry research programme of the CGIAR; Inter-American Institute for Global Change Research [IAI-SGP-CRA 2047]; International Foundation for Science [D/5466-1]; Lamont Climate Center; Miquelfonds; National Geographic Global Exploration Fund [GEFNE80-13]; USA's National Science Foundation NSF [IBN-9801287, GER 9553623]; NSF P2C2 [AGS-1501321]; NSF-FAPESP PIRE [2017/50085-3]; NUFFIC-NICHE programme (HEART project); Peru 's CONCYTEC; Peru 's World Bank [043-2019-FONDECYT-BM-INC.INV]; Peru's Fondo Nacional de Desarrollo Cientifico, Tecnologico y de Innovacion Tecnologica [FONDECYT-BM-INC.INV 039-2019]; Programa Bosques Andinos - HELVETAS Swiss Intercooperation; Programa Nacional de Becas y Credito Educativo - PRONABEC; Schlumberger Foundation Faculty for the Future; Sigma Xi; Smithsonian Tropical Research Institute; Spanish Ministry of Foreign Affairs AECID [11-CAP2-1730]; UK NERC [NE/K01353X/1];  [CONACYT-CB-2016-283134]</t>
  </si>
  <si>
    <t xml:space="preserve">Agencia Nacional de Promocion Cientifica y Tecnologica, Argentina(ANPCyT); Alberta Mennega Stichting; BBVA Foundation(BBVA Foundation); Belspo BRAIN; ConfederacAo da Agricultura e Pecuaria do Brasil - CNA; CoordenacAo de Aperfeicoamento de Pessoal de Nivel Superior - CAPES, Brazil(Coordenacao de Aperfeicoamento de Pessoal de Nivel Superior (CAPES)); Conselho Nacional de Desenvolvimento Cientifico e Tecnologico - CNPq, Brazil(Conselho Nacional de Desenvolvimento Cientifico e Tecnologico (CNPQ)); Deutsche Forschungsgemeinschaft - DFG(German Research Foundation (DFG)); CONICET(Consejo Nacional de Investigaciones Cientificas y Tecnicas (CONICET)); CUOMO FOUNDATION (IPCC scholarship); DGD-RMCA PilotMAB; Direccion General de Asuntos del Personal Academico of the UNAM (Mexico); Elsa-Neumann-Scholarship of the Federal State of Berlin; EMBRAPA Brazilian Agricultural Research Corporation(Empresa Brasileira de Pesquisa Agropecuaria (EMBRAPA)); Equatorian Direccion de Investigacion UNL; SAo Paulo Research Foundation FAPESP(Fundacao de Amparo a Pesquisa do Estado de Sao Paulo (FAPESP)); FAPESP-NERC; FAPITEC/SE/FUNTEC; Fulbright Fellowship; German Academic Exchange Service (DAAD)(Deutscher Akademischer Austausch Dienst (DAAD)); German Ministry of Education, Science, Research, and Technology; ICRAF through the Forests, Trees, and Agroforestry research programme of the CGIAR; Inter-American Institute for Global Change Research; International Foundation for Science(International Foundation for Science); Lamont Climate Center; Miquelfonds; National Geographic Global Exploration Fund(National Geographic Society); USA's National Science Foundation NSF(National Science Foundation (NSF)); NSF P2C2(National Science Foundation (NSF)NSF - Directorate for Geosciences (GEO)); NSF-FAPESP PIRE; NUFFIC-NICHE programme (HEART project); Peru 's CONCYTEC; Peru 's World Bank; Peru's Fondo Nacional de Desarrollo Cientifico, Tecnologico y de Innovacion Tecnologica; Programa Bosques Andinos - HELVETAS Swiss Intercooperation; Programa Nacional de Becas y Credito Educativo - PRONABEC; Schlumberger Foundation Faculty for the Future(Schlumberger); Sigma Xi; Smithsonian Tropical Research Institute(Smithsonian InstitutionSmithsonian Tropical Research Institute); Spanish Ministry of Foreign Affairs AECID; UK NERC(UK Research &amp; Innovation (UKRI)Natural Environment Research Council (NERC)); </t>
  </si>
  <si>
    <t>We acknowledge financial support to the co-authors provided by Agencia Nacional de Promocion Cientifica y Tecnologica, Argentina (PICT 2014-2797) to M.E.F.; Alberta Mennega Stichting to P.G.; BBVA Foundation to H.A.M. and J.J.C.; Belspo BRAIN project: BR/143/A3/HERBAXYLAREDD to H.B.; ConfederacAo da Agricultura e Pecuaria do Brasil - CNA to C.F.; CoordenacAo de Aperfeicoamento de Pessoal de Nivel Superior - CAPES, Brazil (PDSE 15011/13-5 to M.A.P.; 88881.135931/2016-01 to C.F.; 88887.199858/2018-00 to G.A.-P.; Finance Code 001 for all Brazilian collaborators); Conselho Nacional de Desenvolvimento Cientifico e Tecnologico - CNPq, Brazil (ENV 42 to O.D.; 1009/4785031-2 to G.C.; 311874/2017-7 to J.S.); CONACYT-CB-2016-283134 to J.V.-D.; CONICET to F.A.R.; CUOMO FOUNDATION (IPCC scholarship) to M.M.; Deutsche Forschungsgemeinschaft - DFG (BR 1895/15-1 to A.B.; BR 1895/23-1 to A.B.; BR 1895/29-1 to A.B.; BR 1895/24-1 to M.M.); DGD-RMCA PilotMAB to B.T.; Direccion General de Asuntos del Personal Academico of the UNAM (Mexico) to R.B.; Elsa-Neumann-Scholarship of the Federal State of Berlin to F.S.; EMBRAPA Brazilian Agricultural Research Corporation to C.F.; Equatorian Direccion de Investigacion UNL (21-DI-FARNR-2019) to D.P.-C.; SAo Paulo Research Foundation FAPESP (2009/53951-7 to M.T.-F.; 2012/50457-4 to G.C.; 2018/01847-0 to P.G.; 2018/24514-7 to J.R.V.A.; 2019/08783-0 to G.M.L.; 2019/27110-7 to C.F.); FAPESP-NERC 18/50080-4 to G.C.; FAPITEC/SE/FUNTEC no. 01/2011 to M.A.P.; Fulbright Fellowship to B.J.E.; German Academic Exchange Service (DAAD) to M.I. and M.R.; German Ministry of Education, Science, Research, and Technology (FRG 0339638) to O.D.; ICRAF through the Forests, Trees, and Agroforestry research programme of the CGIAR to M.M.; Inter-American Institute for Global Change Research (IAI-SGP-CRA 2047) to J.V.-D.; International Foundation for Science (D/5466-1) to M.I.; Lamont Climate Center to B.M.B.; Miquelfonds to P.G.; National Geographic Global Exploration Fund (GEFNE80-13) to I.R.; USA's National Science Foundation NSF (IBN-9801287 to A.J.L.; GER 9553623 and a postdoctoral fellowship to B.J.E.); NSF P2C2 (AGS-1501321) to A.C.B., D.G.-S. and G.A.-P.; NSF-FAPESP PIRE 2017/50085-3 to M.T.-F., G.C. and G.M.L.; NUFFIC-NICHE programme (HEART project) to B.K., E.M., J.H.S., J.N. and R. Vinya; Peru 's CONCYTEC and World Bank (043-2019-FONDECYT-BM-INC.INV.) to J.G.I.; Peru's Fondo Nacional de Desarrollo Cientifico, Tecnologico y de Innovacion Tecnologica (FONDECYT-BM-INC.INV 039-2019) to E.J.R.-R. and M.E.F.; Programa Bosques Andinos - HELVETAS Swiss Intercooperation to M.E.F.; Programa Nacional de Becas y Credito Educativo - PRONABEC to J.G.I.; Schlumberger Foundation Faculty for the Future to J.N.; Sigma Xi to A.J.L.; Smithsonian Tropical Research Institute to R. Alfaro-Sanchez.; Spanish Ministry of Foreign Affairs AECID (11-CAP2-1730) to H.A.M. and J.J.C.; UK NERC grant NE/K01353X/1 to E.G. For logistical and (field) assistance, we thank Bangladesh Forest Department; Ethiopian Orthodox Tewahido Church and Congregants; Evandro Dalmaso (CEMAL logging firm); Instituto Boliviano de Investigacion Forestal (IBIF; Bolivia); INPA parket Co.; Instituto Federal de EducacAo; Ciencia e Tecnologia de Sergipe (IFS); Ministry of Minerals, Energy and Water Resources of Botswana; Reserva Natural da Vale (RNV); Sebastian Bernal; the Valere project of University of Campania L. Vanvitelli; the villagers of Nizanda in Oaxaca, Mexico. We are grateful for the help and supervision by D. Stahle, D. Eckstein and H. Muller-Landau.</t>
  </si>
  <si>
    <t>1752-0894</t>
  </si>
  <si>
    <t>1752-0908</t>
  </si>
  <si>
    <t>NAT GEOSCI</t>
  </si>
  <si>
    <t>Nat. Geosci.</t>
  </si>
  <si>
    <t>+</t>
  </si>
  <si>
    <t>10.1038/s41561-022-00911-8</t>
  </si>
  <si>
    <t>0M2UG</t>
  </si>
  <si>
    <t>Green Accepted, Green Published</t>
  </si>
  <si>
    <t>WOS:000777374800001</t>
  </si>
  <si>
    <t>Jakovac, CC; Meave, JA; Bongers, F; Letcher, SG; Dupuy, JM; Piotto, D; Rozendaal, DMA; Pena-Claros, M; Craven, D; Santos, BA; Siminski, A; Fantini, AC; Rodrigues, AC; Hernandez-Jaramillo, A; Idarraga, A; Junqueira, AB; Zambrano, AMA; de Jong, BJ; Pinho, BX; Finegan, B; Castellano-Castro, C; Zambiazi, DC; Dent, DH; Garcia, DH; Kennard, D; Delgado, D; Broadbent, EN; Ortiz-Malavassi, E; Perez-Garcia, EA; Lebrija-Trejos, E; Berenguer, E; Marin-Spiotta, E; Alvarez-Davila, E; Sampaio, EVD; Melo, F; Elias, F; Franca, F; Oberleitner, F; Mora, F; Williamson, GB; Dalla Colletta, G; Cabral, GAL; Derroire, G; Fernandes, GW; van Der Wal, H; Teixeira, HM; Vester, HFM; Garcia, H; Vieira, ICG; Jimenez-Montoya, J; De Almeida-Cortez, JS; Hall, JS; Chave, J; Zimmerman, JK; Nieto, JE; Ferreira, J; Rodriguez-Velazquez, J; Ruiz, J; Barlow, J; Aguilar-Cano, J; Hernandez-Stefanoni, JL; Engel, J; Becknell, JM; Zanini, K; Lohbeck, M; Tabarelli, M; Romero-Romero, MA; Uriarte, M; Veloso, MDM; Espirito-Santo, MM; van Der Sande, MT; van Breugel, M; Martinez-Ramos, M; Schwartz, NB; Norden, N; Perez-Cardenas, N; Gonzalez-Valdivia, N; Petronelli, P; Balvanera, P; Massoca, P; Brancalion, PHS; Villa, PM; Hietz, P; Ostertag, R; Lopez-Camacho, R; Cesar, RG; Mesquita, R; Chazdon, RL; Munoz, R; DeWalt, SJ; Muller, SC; Duran, SM; Martins, SV; Ochoa-Gaona, S; Rodriguez-Buritica, S; Aide, TM; Bentos, TV; Moreno, VD; Granda, V; Thomas, W; Silver, WL; Nunes, YRF; Poorter, L</t>
  </si>
  <si>
    <t>Jakovac, Catarina C.; Meave, Jorge A.; Bongers, Frans; Letcher, Susan G.; Dupuy, Juan Manuel; Piotto, Daniel; Rozendaal, Danae M. A.; Pena-Claros, Marielos; Craven, Dylan; Santos, Braulio A.; Siminski, Alexandre; Fantini, Alfredo C.; Rodrigues, Alice C.; Hernandez-Jaramillo, Alma; Idarraga, Alvaro; Junqueira, Andre B.; Zambrano, Angelica Maria Almeyda; de Jong, Ben H. J.; Pinho, Bruno Ximenes; Finegan, Bryan; Castellano-Castro, Carolina; Zambiazi, Daisy Christiane; Dent, Daisy H.; Garcia, Daniel Hernan; Kennard, Deborah; Delgado, Diego; Broadbent, Eben N.; Ortiz-Malavassi, Edgar; Perez-Garcia, Eduardo A.; Lebrija-Trejos, Edwin; Berenguer, Erika; Marin-Spiotta, Erika; Alvarez-Davila, Esteban; Sampaio, Everardo Valadares de Sa; Melo, Felipe; Elias, Fernando; Franca, Filipe; Oberleitner, Florian; Mora, Francisco; Williamson, G. Bruce; Dalla Colletta, Gabriel; Cabral, George A. L.; Derroire, Geraldine; Fernandes, Geraldo Wilson; van Der Wal, Hans; Teixeira, Heitor Mancini; Vester, Henricus F. M.; Garcia, Hernando; Vieira, Ima C. G.; Jimenez-Montoya, Jaider; De Almeida-Cortez, Jarcilene S.; Hall, Jefferson S.; Chave, Jerome; Zimmerman, Jess K.; Nieto, Jhon Edison; Ferreira, Joice; Rodriguez-Velazquez, Jorge; Ruiz, Jorge; Barlow, Jos; Aguilar-Cano, Jose; Hernandez-Stefanoni, Jose Luis; Engel, Julien; Becknell, Justin M.; Zanini, Katia; Lohbeck, Madelon; Tabarelli, Marcelo; Romero-Romero, Marco Antonio; Uriarte, Maria; Veloso, Maria D. M.; Espirito-Santo, Mario M.; van Der Sande, Masha T.; van Breugel, Michiel; Martinez-Ramos, Miguel; Schwartz, Naomi B.; Norden, Natalia; Perez-Cardenas, Nathalia; Gonzalez-Valdivia, Noel; Petronelli, Pascal; Balvanera, Patricia; Massoca, Paulo; Brancalion, Pedro H. S.; Villa, Pedro M.; Hietz, Peter; Ostertag, Rebecca; Lopez-Camacho, Rene; Cesar, Ricardo G.; Mesquita, Rita; Chazdon, Robin L.; Munoz, Rodrigo; DeWalt, Saara J.; Muller, Sandra C.; Duran, Sandra M.; Martins, Sebastiao Venancio; Ochoa-Gaona, Susana; Rodriguez-Buritica, Susana; Aide, T. Mitchell; Bentos, Tony Vizcarra; Moreno, Vanessa de S.; Granda, Vanessa; Thomas, Wayt; Silver, Whendee L.; Nunes, Yule R. F.; Poorter, Lourens</t>
  </si>
  <si>
    <t>Strong floristic distinctiveness across Neotropical successional forests</t>
  </si>
  <si>
    <t>SCIENCE ADVANCES</t>
  </si>
  <si>
    <t>PLANT DIVERSITY; DISPERSAL; EVOLUTION; AMERICA; LAND; SIZE</t>
  </si>
  <si>
    <t>Forests that regrow naturally on abandoned fields are important for restoring biodiversity and ecosystem services, but can they also preserve the distinct regional tree floras? Using the floristic composition of 1215 early successional forests (&lt;= 20 years) in 75 human-modified landscapes across the Neotropic realm, we identified 14 distinct floristic groups, with a between-group dissimilarity of 0.97. Floristic groups were associated with location, bioregions, soil pH, temperature seasonality, and water availability. Hence, there is large continental-scale variation in the species composition of early successional forests, which is mainly associated with biogeographic and environmental factors but not with human disturbance indicators. This floristic distinctiveness is partially driven by regionally restricted species belonging to widespread genera. Early secondary forests contribute therefore to restoring and conserving the distinctiveness of bioregions across the Neotropical realm, and forest restoration initiatives should use local species to assure that these distinct floras are maintained.</t>
  </si>
  <si>
    <t>[Jakovac, Catarina C.; Fantini, Alfredo C.; Zambiazi, Daisy Christiane] Univ Fed Santa Catarina, Ctr Ciencias Agr, Dept Fitotecnia, Rod Admar Gonzaga 1346, BR-88034000 Florianopolis, SC, Brazil; [Jakovac, Catarina C.; Bongers, Frans; Pena-Claros, Marielos; Lohbeck, Madelon; van Der Sande, Masha T.; Munoz, Rodrigo; Poorter, Lourens] Wageningen Univ &amp; Res, Forest Ecol &amp; Forest Management Grp, POB 47, NL-6700 AA Wageningen, Netherlands; [Meave, Jorge A.; Perez-Garcia, Eduardo A.; Romero-Romero, Marco Antonio; Munoz, Rodrigo] Univ Nacl Autonoma Mexico, Fac Ciencias, Dept Ecol &amp; Recursos Nat, Mexico City 04510, DF, Mexico; [Letcher, Susan G.] Coll Atlantic, 105 Eden St, Bar Harbor, ME 04609 USA; [Dupuy, Juan Manuel; Hernandez-Stefanoni, Jose Luis] Ctr Invest Cient Yucatan AC, Unidad Recursos Nat, Calle 43 130 x 32 y 34, Chuburna De Hidalgo 97205, Yucatan, Mexico; [Piotto, Daniel] Univ Fed Sul Bahia, Ctr Formacao Ciencias Agroflorestais, BR-45613204 Itabuna, BA, Brazil; [Rozendaal, Danae M. A.] Wageningen Univ &amp; Res, Ctr Crop Syst Anal, Wageningen, Netherlands; [Rozendaal, Danae M. A.] Wageningen Univ &amp; Res, Plant Prod Syst Grp, Wageningen, Netherlands; [Craven, Dylan] Univ Mayor, Ctr Modelac &amp; Monitoreo Ecosistemas, Jose Toribio Medina 29, Santiago, Chile; [Santos, Braulio A.] Univ Fed Paraiba, Joao Pessoa, Paraiba, Brazil; [Siminski, Alexandre] Univ Fed Santa Catarina, Postgrad Program Agr &amp; Nat Ecosyst PPGEAN, Curitibanos, SC, Brazil; [Rodrigues, Alice C.] Assoc Conservacao Biodiversidade PROBIODIVERSA BR, Vicosa, MG, Brazil; [Rodrigues, Alice C.; Villa, Pedro M.] Univ Fed Vicosa, Dept Biol Vegetal, Bot Grad Program, BR-36570900 Vicosa, MG, Brazil; [Hernandez-Jaramillo, Alma] Neotrop Primate Conservat Colombia, Bogota, Colombia; [Idarraga, Alvaro] Fdn Jardin Bot Medellin, Herbario JAUM, Medellin, Colombia; [Junqueira, Andre B.] Univ Autonoma Barcelona, Inst Ciencia &amp; Tecnol Ambientals, Cerdanyola Del Valles 08193, Spain; [Zambrano, Angelica Maria Almeyda] Univ Florida, Ctr Latin Amer Studies, Gainesville, FL 32611 USA; [de Jong, Ben H. J.; Ochoa-Gaona, Susana] Colegio la Frontera Sur, Dept Sustainabil Sci, Av Rancho Poligono 2-A, Lerma 24500, Campeche, Mexico; [Pinho, Bruno Ximenes; Melo, Felipe; Cabral, George A. L.; De Almeida-Cortez, Jarcilene S.; Tabarelli, Marcelo] Univ Fed Pernambuco, Dept Bot, BR-50670901 Recife, PE, Brazil; [Pinho, Bruno Ximenes] Univ Montpellier, CNRS, CIRAD, INRAe,IRD,AMAP, Montpellier, France; [Finegan, Bryan; Delgado, Diego; Granda, Vanessa] CATIE Ctr Agron Trop Invest &amp; Ensenanza, Turrialba, Costa Rica; [Castellano-Castro, Carolina; Garcia, Daniel Hernan; Garcia, Hernando; Nieto, Jhon Edison; Aguilar-Cano, Jose; Norden, Natalia; Rodriguez-Buritica, Susana] Inst Invest Recursos Biol Alexander von Humboldt, 16-20 Ave Circunvalar, Bogota, Colombia; [Dent, Daisy H.] Univ Stirling, Biol &amp; Environm Sci, Stirling FK9 4LA, Scotland; [Dent, Daisy H.] Max Planck Inst Anim Behav, Constance, Germany; [Dent, Daisy H.; van Breugel, Michiel] Smithsonian Trop Res Inst, Roosevelt Ave 401 Balboa, Ancon, Panama; [Kennard, Deborah] Colorado Mesa Univ, Dept Phys &amp; Environm Sci, 1100 North Ave, Grand Junction, CO 81501 USA; [Broadbent, Eben N.] Univ Florida, Sch Forest Resources &amp; Conservat, Spatial Ecol &amp; Conservat Lab, Gainesville, FL 32611 USA; [Ortiz-Malavassi, Edgar] Inst Tecnol Costa Rica, Escuela Ingn Forestal, Cartago, Costa Rica; [Lebrija-Trejos, Edwin] Univ Haifa, Fac Nat Sci, Dept Biol &amp; Environm, IL-36006 Tivon, Israel; [Berenguer, Erika] Univ Oxford, Sch Geog &amp; Environm, Environm Change Inst, Oxford OX1 3QY, England; [Berenguer, Erika; Barlow, Jos] Univ Lancaster, Lancaster Environm Ctr, Lancaster LA1 4YQ, England; [Marin-Spiotta, Erika] Univ Wisconsin, Dept Geog, 550 North Pk St, Madison, WI 53706 USA; [Alvarez-Davila, Esteban] Univ Nacl Abierta &amp; Distancia, Escuela ECAPMA, Bogota, Colombia; [Sampaio, Everardo Valadares de Sa] Univ Fed Pernambuco, Dept Energia Nucl CTG, Av Prof Luis Freire 1000, BR-50740540 Recife, PE, Brazil; [Elias, Fernando] Univ Fed Para, Inst Ciencias Biol, Programa Posgrad Ecol, Belem, Para, Brazil; [Franca, Filipe] Univ Bristol, Sch Biol Sci, 24 Tyndall Ave, Bristol BS8 1TQ, Avon, England; [Oberleitner, Florian] Univ Innsbruck, Dept Ecol, Sternwartestr 15, A-6020 Innsbruck, Austria; [Mora, Francisco; Rodriguez-Velazquez, Jorge; Martinez-Ramos, Miguel; Perez-Cardenas, Nathalia; Balvanera, Patricia] Univ Nacl Autonoma Mexico, Inst Invest Ecosistemas &amp; Sustentabilidad, Morelia 58089, Michoacan, Mexico; [Williamson, G. Bruce; Massoca, Paulo; Mesquita, Rita; Bentos, Tony Vizcarra] Inst Nacl de Pesquisas da Amazonia, Environm Dynam Res Coordinat, Biol Dynam Forest Fragments Project, BR-69067375 Manaus, Amazonas, Brazil; [Williamson, G. Bruce] Louisiana State Univ, Dept Biol Sci, Baton Rouge, LA 70803 USA; [Dalla Colletta, Gabriel] Univ Estadual Campinas, Inst Biol, UNICAMP, BR-13083970 Campinas, SP, Brazil; [Derroire, Geraldine; Petronelli, Pascal] Univ Antilles, Univ Guyane, Inrae, CIRAD,UMR EcoFoG,AgroParistech,CNRS, Campus Agron, Kourou, French Guiana; [Fernandes, Geraldo Wilson] Univ Fed Minas Gerais, ICB, Ecol Evolut &amp; Biodiversidade DBG, Belo Horizonte, MG, Brazil; [van Der Wal, Hans] Colegio la Frontera Sur, Dept Agr Soc &amp; Ambiente, Unidad Villahermosa, Centro 86280, Tabasco, Mexico; [Teixeira, Heitor Mancini] Univ Utrecht, Copernicus Inst Sustainable Dev, Utrecht, Netherlands; [Vester, Henricus F. M.] Univ Amsterdam, Inst Biodivers &amp; Ecosyst Dynam IBED, POB 94248, NL-1090 GE Amsterdam, Netherlands; [Vieira, Ima C. G.] Museu Paraense Emilio Goeldi, CP 399, BR-66040170 Belem, Para, Brazil; [Jimenez-Montoya, Jaider] Univ Antioquia, Inst Biol, Antioquia, Colombia; [Hall, Jefferson S.] Smithsonian Trop Res Inst, SI ForestGEO, Roosevelt Ave 401 Balboa, Ancon, Panama; [Chave, Jerome] Univ Paul Sabatier, CNRS, UMR5174, Lab Evolut &amp; Diversite Biol, Batiment 4R1,118 Route Narbonne, F-31062 Toulouse 9, France; [Zimmerman, Jess K.] Univ Puerto Rico, Dept Environm Sci, Rio Piedras Campus, San Juan, PR 00936 USA; [Ferreira, Joice] Embrapa Amazonia Oriental, BR-66095903 Belem, Para, Brazil; [Ruiz, Jorge] Convenio Univ Pedag &amp; Tecnol Colombia, Programa Estudios Posgrad Geog, Inst Geog Agustin Codazzi, Bogota, Colombia; [Engel, Julien] Univ Montpellier, INRA, CNRS, CIRAD,IRD,AMAP, Blvd Lironde,TA A-51-PS2, F-34398 Montpellier 5, France; [Becknell, Justin M.] Colby Coll, Environm Studies Program, 4000 Mayflower Hill, Waterville, ME 04901 USA; [Zanini, Katia; Muller, Sandra C.] Univ Fed Rio Grande do Sul, Inst Biociencias, Dept Ecol, BR-91540000 Porto Alegre, RS, Brazil; [Lohbeck, Madelon] Ctr Int Forestry Res &amp; World Agroforestry CIFOR I, United Nations Ave, Nairobi, Kenya; [Uriarte, Maria] Columbia Univ, Dept Ecol Evolut &amp; Environm Biol, New York, NY 10027 USA; [Veloso, Maria D. M.; Espirito-Santo, Mario M.; Nunes, Yule R. F.] Univ Estadual Montes Claros, Dept Biol Geral, BR-39401089 Montes Claros, MG, Brazil; [van Breugel, Michiel] Yale NUS Coll, 16 Coll Ave West, Singapore 138610, Singapore; [van Breugel, Michiel] Natl Univ Singapore, Dept Biol Sci, 14 Sci Dr 4, Singapore 117543, Singapore; [Schwartz, Naomi B.] Univ British Columbia, Dept Geog, Vancouver, BC V6T 1Z2, Canada; [Perez-Cardenas, Nathalia] Univ Zurich, Dept Geog, Winterthurerstr 190, CH-8057 Zurich, Switzerland; [Gonzalez-Valdivia, Noel] Tecnol Nacl Mexico, Dept Ingn, Inst Tecnol China, Calle 11 S-N Entre 22 &amp; 28, Campeche 24520, Campeche, Mexico; [Brancalion, Pedro H. S.; Cesar, Ricardo G.; Moreno, Vanessa de S.] Univ Sao Paulo, Luiz de Queiroz Coll Agr, Dept Forest Sci, Av Padua Dias 11, BR-13418900 Sao Paulo, Brazil; [Villa, Pedro M.] Fdn Conservac Biodiversidad PROBIODIVERSA, Merida 5101, Merida, Venezuela; [Hietz, Peter] Univ Nat Resources &amp; Life Sci, Inst Bot, Vienna, Austria; [Ostertag, Rebecca] Univ Hawaii, Dept Biol, Hilo, HI 96720 USA; [Lopez-Camacho, Rene] Univ Dist Francisco Jose de Caldas, Fac Medio Ambiente &amp; Recursos Nat, Carrera 5 Este 15-82, Bogota, Colombia; [Chazdon, Robin L.] Univ Connecticut, Dept Ecol &amp; Evolutionary Biol, U-43,75 North Eagleville Rd, Storrs, CT 06269 USA; [Chazdon, Robin L.] Univ Sunshine Coast, Trop Forests &amp; People Res Ctr, Maroochydore, Qld 4558, Australia; [DeWalt, Saara J.] Clemson Univ, Dept Biol Sci, 132 Long Hall, Clemson, SC 29634 USA; [Duran, Sandra M.] Univ Minnesota, Dept Ecol &amp; Evolutionary Biol, St Paul, MN 55455 USA; [Duran, Sandra M.] Univ Alberta, Earth &amp; Atmospher Sci Dept, Edmonton, AB T6G 2EG, Canada; [Martins, Sebastiao Venancio] Univ Fed Vicosa, Dept Engn Florestal, Lab Restauracao Florestal, Vicosa, MG, Brazil; [Aide, T. Mitchell] Univ Puerto Rico, Dept Biol, POB 23360, San Juan, PR 00931 USA; [Thomas, Wayt] New York Bot Garden, Inst Systemat Bot, 2900 Southern Blvd, Bronx, NY 10458 USA; [Silver, Whendee L.] Univ Calif Berkeley, Ecosyst Sci Div, Dept Environm Sci Policy &amp; Management, Berkeley, CA 94707 USA</t>
  </si>
  <si>
    <t>Universidade Federal de Santa Catarina (UFSC); Wageningen University &amp; Research; Universidad Nacional Autonoma de Mexico; Centro de Investigacion Cientifica de Yucatan; Universidade Federal do Sul da Bahia; Wageningen University &amp; Research; Wageningen University &amp; Research; Universidad Mayor; Universidade Federal da Paraiba; Universidade Federal de Santa Catarina (UFSC); Universidade Federal de Vicosa; Autonomous University of Barcelona; State University System of Florida; University of Florida; Universidade Federal de Pernambuco; Centre National de la Recherche Scientifique (CNRS); CIRAD; INRAE; Institut de Recherche pour le Developpement (IRD); Universite de Montpellier; Alliance; International Center for Tropical Agriculture - CIAT; University of Stirling; Max Planck Society; Smithsonian Institution; Smithsonian Tropical Research Institute; State University System of Florida; University of Florida; Instituto Tecnologico de Costa Rica; University of Haifa; University of Oxford; Lancaster University; University of Wisconsin System; University of Wisconsin Madison; Universidade Federal de Pernambuco; Universidade Federal do Para; University of Bristol; University of Innsbruck; Universidad Nacional Autonoma de Mexico; Institute Nacional de Pesquisas da Amazonia; Louisiana State University System; Louisiana State University; Universidade Estadual de Campinas; AgroParisTech; CIRAD; INRAE; Universidade Federal de Minas Gerais; Utrecht University; University of Amsterdam; Museu Paraense Emilio Goeldi; Universidad de Antioquia; Smithsonian Institution; Smithsonian Tropical Research Institute; Centre National de la Recherche Scientifique (CNRS); Universite de Toulouse; Universite Toulouse III - Paul Sabatier; University of Puerto Rico; University of Puerto Rico Rio Piedras; Empresa Brasileira de Pesquisa Agropecuaria (EMBRAPA); Centre National de la Recherche Scientifique (CNRS); CIRAD; INRAE; Institut de Recherche pour le Developpement (IRD); Universite de Montpellier; Colby College; Universidade Federal do Rio Grande do Sul; Columbia University; Universidade Estadual de Montes Claros; Yale NUS College; National University of Singapore; University of British Columbia; University of Zurich; Universidade de Sao Paulo; University of Natural Resources &amp; Life Sciences, Vienna; University of Hawaii System; University Hawaii Hilo; Universidad Distrital Francisco Jose de Caldas; University of Connecticut; University of the Sunshine Coast; Clemson University; University of Minnesota System; University of Minnesota Twin Cities; University of Alberta; Universidade Federal de Vicosa; University of Puerto Rico; University of Puerto Rico Medical Sciences Campus; New York Botanical Garden; University of California System; University of California Berkeley</t>
  </si>
  <si>
    <t>Jakovac, CC (corresponding author), Univ Fed Santa Catarina, Ctr Ciencias Agr, Dept Fitotecnia, Rod Admar Gonzaga 1346, BR-88034000 Florianopolis, SC, Brazil.;Jakovac, CC (corresponding author), Wageningen Univ &amp; Res, Forest Ecol &amp; Forest Management Grp, POB 47, NL-6700 AA Wageningen, Netherlands.</t>
  </si>
  <si>
    <t>catacj@gmail.com</t>
  </si>
  <si>
    <t>Mancini Teixeira, Heitor/AAV-9316-2021; de Jong, Ben HJ/GYV-3632-2022; Barlow, Jos/HGE-9486-2022; Derroire, Géraldine/I-8959-2012; Tabarelli, Marcelo/F-1088-2010; Massoca, Paulo/A-4325-2015; Ostertag, Rebecca/B-1756-2013; Junqueira, Andre Braga/M-1142-2016; Müller, Sandra/G-3739-2012; Piotto, Daniel/V-1232-2019; Zambiazi, Daisy Christiane/I-7397-2017; Elias, Fernando/P-4400-2014; Pinho, Bruno/S-3074-2018; Jakovac, Catarina/P-7599-2018; Santos, Braulio/M-2582-2013</t>
  </si>
  <si>
    <t>Mancini Teixeira, Heitor/0000-0001-6992-0671; Derroire, Géraldine/0000-0001-7239-2881; Tabarelli, Marcelo/0000-0001-7573-7216; Massoca, Paulo/0000-0001-6396-8244; Junqueira, Andre Braga/0000-0003-3681-1705; Müller, Sandra/0000-0002-6316-2897; Piotto, Daniel/0000-0002-6505-0098; Pena-Claros, Marielos/0000-0001-9134-6733; Zambiazi, Daisy Christiane/0000-0001-9774-7335; Rozendaal, Danae/0000-0002-3007-3222; Letcher, Susan/0000-0002-9475-7674; Bongers, Frans/0000-0002-8431-6189; Elias, Fernando/0000-0001-9190-1733; Marin-Spiotta, Erika/0000-0001-7343-9354; Pinho, Bruno/0000-0002-6588-3575; Jakovac, Catarina/0000-0002-8130-852X; Meave del Castillo, Jorge Arturo/0000-0002-6241-8803; Santos, Braulio/0000-0001-6046-4024; Vizcarra Bentos, Tony/0000-0002-4673-956X</t>
  </si>
  <si>
    <t>Agencia Nacional de Investigacion y Desarrollo, FONDECYT [1201347]; Apasia Grant [015.014.006]; BNP Paribas Foundation's Climate and Biodiversity Initiative (Project Bioclimate); Colciencias grant [1243-13]; Consejo Nacional de Ciencia y Tecnologia [SEMARNAT-2002-C01-0267, CB-2009-01-128136]; SEP-CONACYT [2009-129740, 2015-255544]; CONACYT-PRONACE [F003-2022-319065]; Conselho Nacional de Desenvolvimento Cientifico e Tecnologico, Brazil; Edital SINBIOSE grants [442371/2019-5-Regenera, 442354/2019-3-Synergize, 302113/2021-5, 141730/2006-4, 201423/2007-3, 308471/2017-12, 441949/2018-5-Sem-Flama, 420254/2018-8-Resflora, 441659/2016-0, 441573/2020-7-PELD-RAS]; European Research Council-ERC [PANTROP 834775 519]; FAPESPA: BJT-FAPESPA Program [2021/658588]; Fondo Mixto CONACYT-Gobierno del estado de Yucatan, FOMIX [YUC-2008-C06-108863]; Foundation Het Kronendak; Foundation Tropenbos; Fundacao de Amparo a Ciencia de Santa Catarina-FAPESC [01/2006]; Fundacao de Amparo a Pesquisa de Minas Gerais (FAPEMIG); Global Environment Facility-GEF [VEN/SGP/2010-2015]; Grantham Foundation for the Environment; HSBC Climate partnership; Instituto Nacional de Investigaciones Agricolas, INIA-Amazonas; Inter-American Development Bank [ATN/BD-15408-CO]; Investissement d'Avenir grants (CEBA) [ANR-10-LABX-25-01]; Investissement d'Avenir grants (TULIP) [ANR-10-LABX-0041]; ESA CCI-Biomass; CNES; NASA Terrestrial Ecology Program; University of Connecticut Research Foundation; Andrew W. Mellon Foundation; NSF (USA) [DEB-9208031, DEB-0639114, DEB-1147434, DEB-0424767, DEB-0639393, DEB-1147429]; Netherlands Organisation for Scientific Research-NWO [NWO-ALW.OP241, ALWOP.457, 863.15.017, Veni.192.027]; NWO-FAPESP grant [17418]; Organization for Tropical Studies Graduate Fellowship; Programa de Capacitacao Institucional of the Instituto Nacional de Pesquisas da Amazonia-INPA, Brazil; Rainforest Luxemburg; COBIGA; Singapore's Ministry of Education; Yale-NUS College [IG16-LR004]; YNC startup grant; United Nations Development Program, Venezuela; United Nations Programme for Development; Global Environmental Facility; Universidad Nacional Autonoma de Mexico-Programa de Apoyo de Proyectos de Investigacion e Innovacion Tecnologica [IN216007, IN218416, IN217620, IN-211417]; UNAM-PAPIIT grant [IN-211417]</t>
  </si>
  <si>
    <t>Agencia Nacional de Investigacion y Desarrollo, FONDECYT; Apasia Grant; BNP Paribas Foundation's Climate and Biodiversity Initiative (Project Bioclimate); Colciencias grant(Departamento Administrativo de Ciencia, Tecnologia e Innovacion Colciencias); Consejo Nacional de Ciencia y Tecnologia(Consejo Nacional de Ciencia y Tecnologia (CONACyT)); SEP-CONACYT(Consejo Nacional de Ciencia y Tecnologia (CONACyT)); CONACYT-PRONACE; Conselho Nacional de Desenvolvimento Cientifico e Tecnologico, Brazil(Conselho Nacional de Desenvolvimento Cientifico e Tecnologico (CNPQ)); Edital SINBIOSE grants; European Research Council-ERC(European Research Council (ERC)European Commission); FAPESPA: BJT-FAPESPA Program(Fundacao Amazonia de Amparo a Estudos e Pesquisas (FAPESPA)); Fondo Mixto CONACYT-Gobierno del estado de Yucatan, FOMIX; Foundation Het Kronendak; Foundation Tropenbos; Fundacao de Amparo a Ciencia de Santa Catarina-FAPESC(Fundacao de Amparo a Pesquisa e Inovacoo Estado de Santa Catarina (FAPESC)); Fundacao de Amparo a Pesquisa de Minas Gerais (FAPEMIG)(Fundacao de Amparo a Pesquisa do Estado de Minas Gerais (FAPEMIG)); Global Environment Facility-GEF; Grantham Foundation for the Environment; HSBC Climate partnership; Instituto Nacional de Investigaciones Agricolas, INIA-Amazonas; Inter-American Development Bank; Investissement d'Avenir grants (CEBA)(French National Research Agency (ANR)); Investissement d'Avenir grants (TULIP)(French National Research Agency (ANR)); ESA CCI-Biomass; CNES(Centre National D'etudes Spatiales); NASA Terrestrial Ecology Program(National Aeronautics &amp; Space Administration (NASA)); University of Connecticut Research Foundation; Andrew W. Mellon Foundation; NSF (USA)(National Science Foundation (NSF)); Netherlands Organisation for Scientific Research-NWO(Netherlands Organization for Scientific Research (NWO)); NWO-FAPESP grant; Organization for Tropical Studies Graduate Fellowship; Programa de Capacitacao Institucional of the Instituto Nacional de Pesquisas da Amazonia-INPA, Brazil; Rainforest Luxemburg; COBIGA; Singapore's Ministry of Education(Ministry of Education, Singapore); Yale-NUS College; YNC startup grant; United Nations Development Program, Venezuela; United Nations Programme for Development; Global Environmental Facility; Universidad Nacional Autonoma de Mexico-Programa de Apoyo de Proyectos de Investigacion e Innovacion Tecnologica; UNAM-PAPIIT grant</t>
  </si>
  <si>
    <t>This work was supported by the following: Agencia Nacional de Investigacion y Desarrollo, FONDECYT Regular No. 1201347 (to D.C.); Apasia Grant 015.014.006 (to M.P.-C.); BNP Paribas Foundation's Climate and Biodiversity Initiative (Project Bioclimate) (to F.F.); Colciencias grant 1243-13 (to J.R.); Consejo Nacional de Ciencia y Tecnologia, grants SEMARNAT-2002-C01-0267 and CB-2009-01-128136 (to J.A.M.), SEP-CONACYT 2009-129740 and 2015-255544 (to F.Mo., N.P.-C., and P.B.), and CONACYT-PRONACE F003-2022-319065 (to P.B.); Conselho Nacional de Desenvolvimento Cientifico e Tecnologico, Brazil; Edital SINBIOSE grants 442371/2019-5-Regenera (to C.C.J. and R.Me.) and 442354/2019-3-Synergize (to J.F., F.F., F.E., and J.B.) and grants 302113/2021-5 (to T.V.B.), 141730/2006-4 (to A.S.), 201423/2007-3 (to A.S.), 308471/2017-12 (to M.M.E.-S.), 441949/2018-5-Sem-Flama (to J.F., F.F., F.E., and J.B.), 420254/2018-8-Resflora (to J.F., F.F., F.E., and J.B.), 441659/2016-0 (to J.F., F.F., F.E., and J.B.), and 441573/2020-7-PELD-RAS (to J.F., F.F., F.E., and J.B.); European Research Council-ERC, Advanced Grant PANTROP 834775 519 (to L.P. and C.C.J.); FAPESPA: BJT-FAPESPA Program grant 2021/658588 (to F. E.); Fondo Mixto CONACYT-Gobierno del estado de Yucatan, FOMIX YUC-2008-C06-108863 (to J.L.H.-S. and J.M.D.); Foundation Het Kronendak (to H.F.M.V. and C.C.J.); Foundation Tropenbos (to H.F.M.V. and C.C.J.); Fundacao de Amparo a Ciencia de Santa Catarina-FAPESC, grant Edital n degrees 01/2006 (to A.S.); Fundacao de Amparo a Pesquisa de Minas Gerais (FAPEMIG) (to M.M.E.-S.); Global Environment Facility-GEF, grant VEN/SGP/2010-2015 (to P.M.V.); Grantham Foundation for the Environment (to J.S.H.); HSBC Climate partnership (to J.S.H.); Instituto Nacional de Investigaciones Agricolas, INIA-Amazonas (to P.M.V.); Inter-American Development Bank (Cooperation #ATN/BD-15408-CO) (to N.N.); Investissement d'Avenir grants (CEBA, ref. ANR-10-LABX-25-01; TULIP, ref. ANR-10-LABX-0041) and ESA CCI-Biomass and CNES (to J.C.); NASA Terrestrial Ecology Program, University of Connecticut Research Foundation, and Andrew W. Mellon Foundation (to R.L.C.); NSF (USA): Graduate Fellowship (to S.G.L.), grant DEB-9208031 (to S.J.D. and D.D.), and grants DEB-0639114, DEB-1147434, DEB-0424767, DEB-0639393, and DEB-1147429 (to R.L.C.); Netherlands Organisation for Scientific Research-NWO, grant NWO-ALW.OP241 (to C.C.J., L.P., and M.T.v.d.S.), grant ALWOP.457 (to F.B. and R.Mu), grant ALW grant 863.15.017 (to M.L.), and grant Veni.192.027 (to M.T.v.d.S.); NWO-FAPESP grant 17418 (NEWFOR Project; to P.H.S.B. and F.B.); Organization for Tropical Studies Graduate Fellowship (to S.G.L.); Programa de Capacitacao Institucional of the Instituto Nacional de Pesquisas da Amazonia-INPA, Brazil (to T.V.B.); Rainforest Luxemburg and COBIGA (to P.H.); Singapore's Ministry of Education and Yale-NUS College, grant IG16-LR004 and YNC startup grant (to M.v.B.); United Nations Development Program, Venezuela (to P.M.V.); United Nations Programme for Development and the Global Environmental Facility (Proyecto Uso Sostenible y conservacion de la biodiversidad en ecosistemas secos) (to N.N.); Universidad Nacional Autonoma de Mexico-Programa de Apoyo de Proyectos de Investigacion e Innovacion Tecnologica, grants IN216007, IN218416, IN217620 (to J.A.M.), and IN-211417 (to F.Mo and N.P.-C.); and UNAM-PAPIIT grant IN-211417 (to N.P.-C., P.B., and F.Mo).</t>
  </si>
  <si>
    <t>AMER ASSOC ADVANCEMENT SCIENCE</t>
  </si>
  <si>
    <t>1200 NEW YORK AVE, NW, WASHINGTON, DC 20005 USA</t>
  </si>
  <si>
    <t>2375-2548</t>
  </si>
  <si>
    <t>SCI ADV</t>
  </si>
  <si>
    <t>Sci. Adv.</t>
  </si>
  <si>
    <t>JUL 1</t>
  </si>
  <si>
    <t>eabn1767</t>
  </si>
  <si>
    <t>10.1126/sciadv.abn1767</t>
  </si>
  <si>
    <t>2U8VH</t>
  </si>
  <si>
    <t>WOS:000823432200006</t>
  </si>
  <si>
    <t>10.19053/20275137.n25.2022.14175</t>
  </si>
  <si>
    <t>article</t>
  </si>
  <si>
    <t>E52</t>
  </si>
  <si>
    <t>10.17533/udea.le.n97a344963</t>
  </si>
  <si>
    <t>V</t>
  </si>
  <si>
    <t>An</t>
  </si>
  <si>
    <t>10.19053/20275137.n25.2022.11711</t>
  </si>
  <si>
    <t>Memorias</t>
  </si>
  <si>
    <t>XIII</t>
  </si>
  <si>
    <t>Arango</t>
  </si>
  <si>
    <t>Information</t>
  </si>
  <si>
    <t>Scopus</t>
  </si>
  <si>
    <t>Castillo</t>
  </si>
  <si>
    <t>Sanchez</t>
  </si>
  <si>
    <t>Castañeda</t>
  </si>
  <si>
    <t>10.31910/rudca.v25.n1.2022.2203</t>
  </si>
  <si>
    <t>10.19053/20275137.n24.2022.11483</t>
  </si>
  <si>
    <t>Buitrago</t>
  </si>
  <si>
    <t>Izquierdas</t>
  </si>
  <si>
    <t>Springer</t>
  </si>
  <si>
    <t>10.15446/agron.colomb.v40n1.100044</t>
  </si>
  <si>
    <t>Bonilla</t>
  </si>
  <si>
    <t>e262716</t>
  </si>
  <si>
    <t>10.1590/1519-6984.262716</t>
  </si>
  <si>
    <t>10.15446/profile.v24n2.91744</t>
  </si>
  <si>
    <t>Lundiana</t>
  </si>
  <si>
    <t>10.17151/bccm.2022.26.1.14</t>
  </si>
  <si>
    <t>e20539</t>
  </si>
  <si>
    <t>10.15381/rivep.v33i1.20539</t>
  </si>
  <si>
    <t>10.15446/rfnam.v75n2.98741</t>
  </si>
  <si>
    <t>10.22201/iis.01882503p.2022.2.60282</t>
  </si>
  <si>
    <t>e1942</t>
  </si>
  <si>
    <t>10.31910/rudca.v25.n1.2022.1942</t>
  </si>
  <si>
    <t>Rojas-Arias</t>
  </si>
  <si>
    <t>10.5554/22562087.e1000</t>
  </si>
  <si>
    <t>e256451</t>
  </si>
  <si>
    <t>10.1590/1519-6984.256451</t>
  </si>
  <si>
    <t>10.22201/icat.24486736e.2022.20.1.1641</t>
  </si>
  <si>
    <t>e1579</t>
  </si>
  <si>
    <t>10.31910/rudca.v25.n1.2022.1579</t>
  </si>
  <si>
    <t>10.22201/icat.24486736e.2022.20.1.1482</t>
  </si>
  <si>
    <t>10.1016/j.rcp.2020.11.006</t>
  </si>
  <si>
    <t>10.15446/rcp.v31n1.86780</t>
  </si>
  <si>
    <t>10.22201/icat.24486736e.2022.20.1.1642</t>
  </si>
  <si>
    <t>Interdisciplinaria</t>
  </si>
  <si>
    <t>Vitae</t>
  </si>
  <si>
    <t>Iatreia</t>
  </si>
  <si>
    <t>Final</t>
  </si>
  <si>
    <t>10.17533/udea.iatreia.112</t>
  </si>
  <si>
    <t>Title</t>
  </si>
  <si>
    <t>Year</t>
  </si>
  <si>
    <t>Source</t>
  </si>
  <si>
    <t>Link</t>
  </si>
  <si>
    <t>Chemicals/CAS</t>
  </si>
  <si>
    <t>Tradenames</t>
  </si>
  <si>
    <t>Manufacturers</t>
  </si>
  <si>
    <t>References</t>
  </si>
  <si>
    <t>Editors</t>
  </si>
  <si>
    <t>Sponsors</t>
  </si>
  <si>
    <t>CODEN</t>
  </si>
  <si>
    <t>EID</t>
  </si>
  <si>
    <t>Departamento Administrativo de Ciencia, Tecnología e Innovación (COLCIENCIAS)</t>
  </si>
  <si>
    <t>Elsevier Ltd</t>
  </si>
  <si>
    <t>Salinas-Torres A., Jiménez E., Becerra D., Martínez J.J., Rojas H., Castillo J.-C., Macías M.A.</t>
  </si>
  <si>
    <t>57224505847;57200440804;36912568700;7404312604;23025604300;27967485800;25121882000;</t>
  </si>
  <si>
    <t>Journal of Molecular Structure</t>
  </si>
  <si>
    <t>https://www.scopus.com/inward/record.uri?eid=2-s2.0-85140806677&amp;doi=10.1016%2fj.molstruc.2022.134414&amp;partnerID=40&amp;md5=00263bb86f04a200646b27a216229d21</t>
  </si>
  <si>
    <t>Escuela de Ciencias Química, Universidad Pedagógica y Tecnológica de Colombia, Avenida Central del Norte 39-115, Tunja, 150003, Colombia; Applied Biochemistry Research Group, GIBA, Department of Chemistry, Universidad de los Andes, Carrera 1 No. 18A-10, Bogotá, 111711, Colombia; Crystallography and Chemistry of Materials, CrisQuimMat, Department of Chemistry, Universidad de los Andes, Carrera 1 No. 18A-10, Bogotá, 111711, Colombia</t>
  </si>
  <si>
    <t>Salinas-Torres, A., Escuela de Ciencias Química, Universidad Pedagógica y Tecnológica de Colombia, Avenida Central del Norte 39-115, Tunja, 150003, Colombia; Jiménez, E., Applied Biochemistry Research Group, GIBA, Department of Chemistry, Universidad de los Andes, Carrera 1 No. 18A-10, Bogotá, 111711, Colombia; Becerra, D., Escuela de Ciencias Química, Universidad Pedagógica y Tecnológica de Colombia, Avenida Central del Norte 39-115, Tunja, 150003, Colombia; Martínez, J.J., Escuela de Ciencias Química, Universidad Pedagógica y Tecnológica de Colombia, Avenida Central del Norte 39-115, Tunja, 150003, Colombia; Rojas, H., Escuela de Ciencias Química, Universidad Pedagógica y Tecnológica de Colombia, Avenida Central del Norte 39-115, Tunja, 150003, Colombia; Castillo, J.-C., Escuela de Ciencias Química, Universidad Pedagógica y Tecnológica de Colombia, Avenida Central del Norte 39-115, Tunja, 150003, Colombia; Macías, M.A., Crystallography and Chemistry of Materials, CrisQuimMat, Department of Chemistry, Universidad de los Andes, Carrera 1 No. 18A-10, Bogotá, 111711, Colombia</t>
  </si>
  <si>
    <t>We report the synthesis of the 2-oxo-2H-chromen-7-yl 4-chlorobenzoate 3 in 94% yield by an O-acylation reaction of 7‑hydroxy-2H-chromen-2-one 1 and 4-chlorobenzoyl chloride 2 using a slight excess of triethylamine in acetonitrile, heating as fast as possible (AFAP mode) to 60 °C, hold time 5 min, and 600 rpm stirring speed in the Monowave 50 reactor based on conventional heating principles. The structure of the 2-oxo-2H-chromen-7-yl 4-chlorobenzoate 3 was fully characterized by FT–IR, UV–vis, NMR spectroscopy, mass spectrometry (EI-MS), elemental analysis, thermogravimetry (TG), differential scanning calorimetry (DSC), single-crystal and powder X-ray diffraction. X-Ray diffraction analyses show that compound 3 crystallizes in the Monoclinic, P21 space group. Despite the absence of chiral atoms, the structural restrains imposed by the molecular conformation drive these compounds to crystallize in a Sohncke space group. These results are of great importance in crystal engineering and non-linear optics. In the crystal structure, the packing is controlled mainly by C[sbnd]H‧‧‧O hydrogen bonds. However, Hirshfeld surfaces demonstrated that C[sbnd]H‧‧‧Cl interactions are of great importance. Additionally, electrostatic potentials suggest the formation of σ-holes over the Cl atoms, allowing this atom to behave as a Lewis acid-base. The packing is studied in terms of B3LYP/6-31G(d,p) energy frameworks. Finally, compound 3 showed low activity against MCF7 Breast, SNB-19 Central nervous system, and UO-31 Renal cancer cell lines with a growth inhibition percentage (GI%) ranging from 5.98% to 13.33%. © 2022 Elsevier B.V.</t>
  </si>
  <si>
    <t>7-Hydroxy-2H-chromen-2-one; Cancer; Hirshfeld surface maps; Monowave 50 reactor; O-acylation reaction; Sohncke space group; X-ray crystallography</t>
  </si>
  <si>
    <t>Acylation; Atoms; Cell culture; Chlorine compounds; Crystal atomic structure; Differential scanning calorimetry; Diseases; Hydrogen bonds; Mass spectrometry; Nuclear magnetic resonance spectroscopy; Single crystals; Thermogravimetric analysis; X ray diffraction analysis; 2h chromen 2 ones; 7-hydroxy-2h-chromen-2-one; Acylation reactions; Cancer; Hirshfeld surface map; Hirshfeld surfaces; Monowave 50 reactor; O-acylation reaction; Sohncke space group; Space Groups; Surface map; X ray crystallography</t>
  </si>
  <si>
    <t>FAPA-P17160322012, FAPA-P18.160422.043; National Cancer Institute, NCI: +44–1223–336033, 2203837; Universidad Pedagógica y Tecnológica de Colombia, UPTC: SGI-3312</t>
  </si>
  <si>
    <t>The authors are grateful for financial support from Universidad Pedagógica y Tecnológica de Colombia and Universidad de los Andes. E.J. and M.A.M. acknowledge support from the Departamento de Química and Facultad de Ciencias at the Universidad de los Andes, Colombia, (project numbers FAPA-P17160322012, and FAPA-P18.160422.043, respectively). A.S.-T. D.B. J.J.M. H.R. and J.-C.C. thank to the Dirección de Investigaciones at the Universidad Pedagógica y Tecnológica de Colombia for financial support (project number SGI-3312). We are grateful to the National Cancer Institute (NCI, USA) for performing the anticancer evaluation of the compound 3. The authors thank to Anton Paar Colombia S.A.S. for loaning the reactor Monowave 50 (Anton Paar GmbH) for two weeks to carry out short research projects in our laboratory. Crystallographic data for the structural analysis have been deposited in the Cambridge Crystallographic Data Center, CCDC, with a deposition number 2203837. A copy of this information may be obtained free of charge from CCDC, 12 Union Road, Cambridge, CB2 1EZ, UK (Fax: +44–1223–336033; e-mail: deposit@ccdc.cam.ac.uk or http://www.ccdc.cam.ac.uk). The authors declare no competing financial interest.</t>
  </si>
  <si>
    <t>The authors are grateful for financial support from Universidad Pedagógica y Tecnológica de Colombia and Universidad de los Andes. E.J. and M.A.M. acknowledge support from the Departamento de Química and Facultad de Ciencias at the Universidad de los Andes, Colombia, (project numbers FAPA-P17160322012 , and FAPA-P18.160422.043 , respectively). A.S.-T., D.B., J.J.M., H.R. and J.-C.C. thank to the Dirección de Investigaciones at the Universidad Pedagógica y Tecnológica de Colombia for financial support (project number SGI-3312). We are grateful to the National Cancer Institute (NCI, USA) for performing the anticancer evaluation of the compound 3 . The authors thank to Anton Paar Colombia S.A.S. for loaning the reactor Monowave 50 (Anton Paar GmbH) for two weeks to carry out short research projects in our laboratory.</t>
  </si>
  <si>
    <t>Vogel, A., Darftellung von benzoefäure aus der tonka-bohns und aus den meliloten-oder steinklee-blumen (1820) Ann. Phys., 64, pp. 161-166; Perkin, W.H., VI, On the artificial production of coumarin and formation of its homologues (1868) J. Chem. Soc., 21, pp. 53-63; Myasnikova, R.M., Davydova, T.S., Simonov, V.I., Crystal structure of coumarin (1973) Kristallografiya, 18, pp. 720-724; Grover, J., Jachak, S.M., Coumarins as privileged scaffold for anti-inflammatory drug development (2015) RSC Adv., 5, pp. 38892-38905; Zhang, S., Tan, X., Liang, C., Zhang, W., Design, synthesis, and antifungal evaluation of novel coumarin-pyrrole hybrids (2021) J. Heterocycl. Chem., 58, pp. 450-458; Lei, L., Xue, Y.-B., Liu, Z., Peng, S.-S., He, Y., Zhang, Y., Fang, R., Zhang, Y.-H., Coumarin derivatives from Ainsliaea fragrans and their anticoagulant activity (2015) Sci. Rep., 5, p. 13544; Becerra, D., Abonia, R., Castillo, J.-C., Recent applications of the multicomponent synthesis for bioactive pyrazole derivatives (2022) Molecules, 27, p. 4723; Celikezen, F.C., Orek, C., Parlak, A.E., Sarac, K., Turkez, H., Tozlu, Ö.Ö., Synthesis, structure, cytotoxic and antioxidant properties of 6-ethoxy-4-methylcoumarin (2020) J. Mol. Struct., 1205; Hassan, M.Z., Osman, H., Ali, M.A., Ahsan, M.J., Therapeutic potential of coumarins as antiviral agents (2016) Eur. J. Med. Chem., 123, pp. 236-255; Emami, S., Dadashpour, S., Current developments of coumarin-based anticancer agents in medicinal chemistry (2015) Eur. J. Med. Chem., 102, pp. 611-630; Fasco, M.J., Hildebrandt, E.F., Suttie, J.W., Evidence that warfarin anticoagulant action involves two distinct reductase activities (1982) J. Bio. Chem., 257, pp. 11210-11212; Flatman, R.H., Eustaquio, A., Li, S.-M., Heide, L., Maxwell, A., Structure-activity relationships of aminocoumarin-type gyrase and topoisomerase IV inhibitors obtained by combinatorial biosynthesis (2006) Antimicrob. Agents Chemother., 50, pp. 1136-1142; Yu, S.-M., Hu, D.-H., Zhang, J.-J., Umbelliferone exhibits anticancer activity via the induction of apoptosis and cell cycle arrest in HepG2 hepatocellular carcinoma cells (2015) Mol. Med. Rep., 12, pp. 3869-3873; Al-Warhi, T., Sabt, A., Elkaeed, E.B., Eldehna, W.M., Recent advancements of coumarin-based anticancer agents: an up-to-date review (2020) Bioorg. Chem., 103; Kandil, S., Westwell, A.D., McGuigan, C., 7-Substituted umbelliferone derivatives as androgen receptor antagonists for the potential treatment of prostate and breast cancer (2016) Bioorg. Med. Chem. Lett., 26, pp. 2000-2004; Meleddu, R., Deplano, S., Maccioni, E., Ortuso, F., Cottiglia, F., Secci, D., Onali, A., Distinto, S., Selective inhibition of carbonic anhydrase IX and XII by coumarin and psoralen derivatives (2021) J. Enzyme Inhib. Med. Chem., 36, pp. 685-692; Cao, D., Liu, Z., Verwilst, P., Koo, S., Jangjili, P., Kim, J.S., Lin, W., Coumarin-based small-molecule fluorescent chemosensors (2019) Chem. Rev., 19, pp. 10403-10519; Lončarić, M., Gašo-Sokač, D., Jokić, S., Molnar, M., Recent advances in the synthesis of coumarin derivatives from different starting materials (2020) Biomolecules, 10 (151), pp. 1-35; Gulati, S., Singh, R., Sangwan, S., A review on convenient synthesis of substituted coumarins using reusable solid acid catalysts (2021) RSC Adv., 11, pp. 29130-29155; Medina, F.G., González-Marrero, J., Macías-Alonso, M., González, M.C., Córdova-Guerrero, I., García, A.G.T., Osegueda-Robles, S., Coumarin heterocyclic derivatives: chemical synthesis and biological activity (2015) Nat. Prod. Rep., 32, pp. 1472-1507; Cui, J., Li, M.-L., Yuan, M.-S., Antifeedant activities of tutin and 7-hydroxycoumarin acylation derivatives against Mythimna separate (2012) J. Pestic. Sci., 37, pp. 95-98; Orhan, I.E., Deniz, S.S., Salmas, R.E., Durdagi, S., Epifano, F., Genovese, S., Fiorito, S., Combined molecular modeling and cholinesterase inhibition studies on some natural and semisynthetic O-alkylcoumarin derivatives (2019) Bioorg. Chem., 84, pp. 355-362; Wang, Q.-Q., Zhang, S.-G., Jiao, J., Dai, P., Zhang, W.-H., Novel fluorinated 7-hydroxycoumarin derivatives containing an oxime ether moiety: design, synthesis, crystal structure and biological evaluation (2021) Molecules, 26, p. 372; Stasi, L.C.D., Coumarin derivatives in inflammatory bowel disease (2021) Molecules, 26, p. 422; Becerra, D., Portilla, J., Castillo, J.-C., 2-Oxo-2H-chromen-7-yl 4-chlorobenzoate (2021) Molbank, p. M1279. , 2021; https://www.anton-paar.com/co-es/productos/detalles/reactor-de-sintesis-monowave-50/, For details of the Monowave 50 instruments, see; Palatinus, L., Chapuis, G., SUPERFLIP–A computer program for the solution of crystal structures by charge flipping in arbitrary dimensions (2007) J. Appl. Crystallogr., 40, pp. 786-790; Sheldrick, G.M., Crystal structure refinement with SHELXL (2015) Acta Crystallogr. Sect. C: Struct. Chem., 71, pp. 3-8; Macrae, C.F., Bruno, I.J., Chisholm, J.A., Edgington, P.R., McCabe, P., Pidcock, E., Rodriguez-Monge, L., Wood, P.A., Mercury CSD 2.0 - new features for the visualization and investigation of crystal structures (2008) J. Appl. Crystallogr., 41, pp. 466-470; Petříček, V., Dušek, M., Palatinus, L.Z., Crystallographic computing system JANA2006: general features (2014) Kristallogr. Cryst. Mater., 229, pp. 345-352; Parsons, S., Flack, H.D., Wagner, T., Use of intensity quotients and differences in absolute structure refinement (2013) Acta Cryst., B69, pp. 249-259; Spackman, M.A., Jayatilaka, D., Hirshfeld surface analysis (2009) CrystEngComm, 11, pp. 19-32; Jayatilaka, D., Grimwood, D.J., Lee, A., Lemay, A., Russel, A.J., Taylor, C., Wolff, S.K., Whitton, A., (2005), http://hirshfeldsurface.net, TONTO–A system for computational chemistry. Available at:; Spackman, M.A., McKinnon, J.J., Jayatilaka, D., Electrostatic potentials mapped on Hirshfeld surfaces provide direct insight into intermolecular interactions in crystals (2008) CrystEngComm, 10, pp. 377-388; Mackenzie, C.F., Spackman, P.R., Jayatilaka, D., Spackman, M.A., CrystalExplorer model energies and energy frameworks: extension to metal coordination compounds, organic salts, solvates and open-shell systems (2017) IUCrJ, 4, pp. 575-587; Turner, M.J., McKinnon, J.J., Wolff, S.K., Grimwood, D.J., Spackman, P.R., Jayatilaka, D., (2017), http://hirshfeldsurface.net/, M.A. Spackman. CrystalExplorer17, University of Western Australia. Available at:; Tsakos, M., Schaffert, E.S., Clement, L.L., Villadsen, N.L., Poulsen, T.B., Ester coupling reactions – an enduring challenge in the chemical synthesis of bioactive natural products (2015) Nat. Prod. Rep., 32, pp. 605-632; Majhi, S., Applications of Yamaguchi method to esterification and macrolactonization in total synthesis of bioactive natural products (2021) ChemistrySelect, 6, pp. 4178-4206; Khan, Z., Javed, F., Shamair, Z., Hafeez, A., Fazal, T., Aslam, A., Zimmerman, W.B., Rehman, F., Current developments in esterification reaction: a review on process and parameters (2021) J. Ind. Eng. Chem., 103, pp. 80-101; Obermayer, D., Znidar, D., Glotz, G., Stadler, A., Dallinger, D., Kappe, C.O., Design and performance validation of a conductively heated sealed-vessel reactor for organic synthesis (2016) J. Org. Chem., 81, pp. 11788-11801; Sarmah, M., Chutia, K., Dutta, D., Gogoi, P., Overview of coumarin-fused-coumarins: synthesis, photophysical properties and their applications (2022) Org. Biomol. Chem., 20, pp. 55-72; Zou, Q., Fang, Y., Zhao, Y., Zhao, H., Wang, Y., Gu, Y., Wu, F., Synthesis and in vitro photocytotoxicity of coumarin derivatives for one- and two-photon excited photodynamic therapy (2013) J. Med. Chem., 56, pp. 5288-5294; Cilento, G., Ultraviolet absorption spectra of fully aromatic esters and thiolesters (1953) J. Am. Chem. Soc., 75, pp. 3748-3750; Castillo, J.-C., Martínez, J.J., Becerra, D., Rojas, H., Macías, M.A., Obtaining (5-formylfuran-2-yl)methyl 4-chlorobenzoate through an esterification of 5-hydroxymethylfurfural: interesting achiral molecule crystallizing in a Sohncke P212121 space group (2022) J. Mol. Struct., 1268; Seoane-Rivero, R., Ruiz-Bilbao, E., Navarro, R., Laza, J.M., Cuevas, J.M., Artetxe, B., Gutiérrez-Zorrilla, J.M., Marcos-Fernandez, A., Structural characterization of mono and dihydroxylated umbelliferone derivatives (2020) Molecules, 25, p. 3497; Samundeeswari, S., Kulkarni, M., Yenagi, J., Tonannavar, J., Dual fluorescence and solvatochromic study on 3-acyl coumarins (2017) J. Fluoresc., 27, pp. 1247-1255; Homocianu, M., Airinei, A., Dorohoi, D.O., Olariu, I., Fifere, N., Solvatochromic effects in the UV/Vis absorption spectra of some pyridazinium ylides (2011) Spectrochim. Acta A Mol. Biomol. Spectrosc., 82, pp. 355-359; Pidcock, E., Achiral molecules in non-centrosymmetric space groups (2005) Chem. Commun., 3457, pp. 3457-3459; Saeed, A., Arif, M., Erben, M.F., Flörke, U., Simpson, J., One-pot synthesis, quantum chemical calculations and X-ray diffraction studies of thiazolyl-coumarin hybrid compounds (2018) Spectrochim. Acta Part A: Mol. Biomol. Spectrosc., 198, pp. 290-296; Saeed, A., Ashraf, S., Florke, U., Delgado, Z.Y., Erben, M.F., Perez, H., Supramolecular self-assembly of a coumarine-based acylthiourea synthon directed by p-stacking interactions: crystal structure and Hirshfeld surface analysis (2016) J. Mol. Struct., 1111, pp. 76-83; Jiménez, E., Sefah, K., López-Colón, D., Simaeys, D.V., Chen, H.W., Tockman, M.S., Tan, W., Generation of lung adenocarcinoma DNA aptamers for cancer studies (2012) PLoS ONE, 7, p. e46222; Insuasty, B., Montoya, A., Becerra, D., Quiroga, J., Abonia, R., Robledo, S., Vélez, I.D., Cobo, J., Synthesis of novel analogs of 2-pyrazoline obtained from [(7-chloroquinolin-4-yl)amino]chalcones and hydrazine as potential antitumor and antimalarial agents (2013) Eur. J. Med. Chem., 67, pp. 252-262; Castillo, J.-C., Jiménez, E., Portilla, J., Insuasty, B., Quiroga, J., Moreno-Fuquen, R., Kennedy, A.R., Abonia, R., Application of a catalyst-free Domino Mannich/Friedel-Crafts alkylation reaction for the synthesis of novel tetrahydroquinolines of potential antitumor activity (2018) Tetrahedron, 74, pp. 932-947; Serrano-Sterling, C., Becerra, D., Portilla, J., Rojas, H., Macías, M., Castillo, J.-C., Synthesis, biological evaluation and X-ray crystallographic analysis of novel (E)-2-cyano-3-(het)arylacrylamides as potential anticancer agents (2021) J. Mol. Struct., 1244; Akkol, E.K., Genç, Y., Karpuz, B., Sobarzo-Sánchez, E., Capasso, R., Coumarins and coumarin-related compounds in pharmacotherapy of cancer (2020) Cancers (Basel), 12, p. 1959; Finn, G.J., Kenealy, E., Creaven, B.S., Egan, D.A., In vitro cytotoxic potential and mechanism of action of selected coumarins, using human renal cell lines (2002) Cancer Lett., 183, pp. 61-68; Loprinzi, C.L., Kugler, J.W., Sloan, J.A., Rooke, T.W., Quella, S.K., Novotny, P., Mowat, R.B., Windschitl, H., Lack of effect of coumarin in women with lymphedema after treatment for breast cancer (1999) N. Engl. J. Med., 340, pp. 346-350; Dexeus, F.H., Logothetis, C.J., Sella, A., Fitz, K., Amato, R., Reuben, J.M., Dozier, N., Phase II study of coumarin and cimetidine in patients with metastatic renal-cell carcinoma (1990) J. Clin. Oncol., 8, pp. 325-329; Kokron, O., Maca, S., Gasser, G., Schmidt, P.R., Cimetidine and coumarin therapy of renal cell carcinoma (1991) Oncology, 48, pp. 102-106; Champelovier, P., Barbier, P., Daras, E., Douillard, S., Toussaint, B., Persoon, V., Curri, V., Combes, S., The indolylcoumarin COUFIN exhibits potent activity against renal carcinoma cells without affecting hematopoietic system, Anti (2014) Cancer Agents Med. Chem., 14, pp. 862-871</t>
  </si>
  <si>
    <t>Castillo, J.-C.; Escuela de Ciencias Química, Avenida Central del Norte 39-115, Colombia; email: juan.castillo06@uptc.edu.co</t>
  </si>
  <si>
    <t>Elsevier B.V.</t>
  </si>
  <si>
    <t>JMOSB</t>
  </si>
  <si>
    <t>2-s2.0-85140806677</t>
  </si>
  <si>
    <t>CMSHA</t>
  </si>
  <si>
    <t>Fuentes E., Garza L.E.</t>
  </si>
  <si>
    <t>57211962028;56002736000;</t>
  </si>
  <si>
    <t>Journal of Mathematical Analysis and Applications</t>
  </si>
  <si>
    <t>https://www.scopus.com/inward/record.uri?eid=2-s2.0-85138593731&amp;doi=10.1016%2fj.jmaa.2022.126674&amp;partnerID=40&amp;md5=6b774881080e6739265974b1fdfdec2e</t>
  </si>
  <si>
    <t>Escuela de Matemáticas y Estadística, Universidad Pedagógica y Tecnológica de Colombia, Avenida Central del Norte 39-115, Boyacá, Tunja, Colombia; Facultad de Ciencias, Universidad de Colima, Bernal Díaz del Castillo 340, Colima, Mexico</t>
  </si>
  <si>
    <t>Fuentes, E., Escuela de Matemáticas y Estadística, Universidad Pedagógica y Tecnológica de Colombia, Avenida Central del Norte 39-115, Boyacá, Tunja, Colombia; Garza, L.E., Facultad de Ciencias, Universidad de Colima, Bernal Díaz del Castillo 340, Colima, Mexico</t>
  </si>
  <si>
    <t>In this contribution, we extend the concept of coherent pair for two quasi-definite matrix linear functionals u0 and u1. Necessary and sufficient conditions for these functionals to constitute a coherent pair are determined, when one of them satisfies a matrix Pearson-type equation. Moreover, we deduce algebraic properties of the matrix orthogonal polynomials associated with the Sobolev-type inner product 〈p,q〉s=〈p,q〉u0+〈p′M1,q′M2〉u1, where M1 and M2 are m×m non-singular matrices and p,q are matrix polynomials. © 2022 Elsevier Inc.</t>
  </si>
  <si>
    <t>Matrix coherent pairs; Matrix orthogonal polynomials; Matrix Sobolev polynomials</t>
  </si>
  <si>
    <t>Consejo Nacional de Ciencia y Tecnología, CONACYT: 287523; Universidad de Alcalá, UAH: CM/JIN/2021-014</t>
  </si>
  <si>
    <t>The second author was supported by México's CONACYT Grant 287523 , and by Dirección General de Investigación e Inovación, Consejería de Educación e Investigación de la Comunidad de Madrid (Spain), and Universidad de Alcalá under grant CM/JIN/2021-014 . Línea de actuación estímulo a la investigación, Proyectos de I+D para jóvenes investigadores de la Universidad de Alcalá 2021. Both authors thank the valuable comments and suggestions made by the anonymous referee. They have contributed to substantially improve our work.</t>
  </si>
  <si>
    <t>Álvarez-Fernández, C., Ariznabarreta, G., García-Ardila, J.C., Mañas, M., Marcellán, F., Christoffel transformations for matrix orthogonal polynomials in the real line and the non-Abelian 2D Toda lattice hierarchy (2017) Int. Math. Res. Not., 4, pp. 1285-1341; Batahan, R.S., Bathanya, A.A., On generalized Laguerre matrix polynomials (2014) Acta Univ. Sapientiae Math., 6 (2), pp. 121-134; Branquinho, A., Polinómios ortogonais e funcionais de momentos: Problemas inversos (1993), Master Thesis Universidade de Coimbra Coimbra, Portugal; de Bruin, M.G., Meijer, H.G., Zeros of orthogonal polynomials in a non-discrete Sobolev space (1995) Ann. Numer. Math., 2 (1-4), pp. 233-246; Cantero, M.J., Moral, L., Velázquez, L., Differential properties of matrix orthogonal polynomials (2005) J. Concr. Appl. Math., 3 (3), pp. 313-334; Cantero, M.J., Moral, L., Velázquez, L., Matrix orthogonal polynomials whose derivatives are also orthogonal (2007) J. Approx. Theory, 146 (2), pp. 174-211; Damanik, D., Pushnitski, A., Simon, B., The analytic theory of matrix orthogonal polynomials (2008) Surv. Approx. Theory, 4, pp. 1-85; Castro, M.M., Grünbaum, F.A., Orthogonal matrix polynomials satisfying first order differential equations: a collection of instructive examples (2005) J. Nonlinear Math. Phys., 12, pp. 63-76; Defez, E., Bounding Hermite matrix polynomials (2004) Math. Comput. Model., 40 (1-2), pp. 117-125; Defez, E., Jódar, L., Some applications of the Hermite matrix polynomials series expansions (1998) J. Comput. Appl. Math., 99 (1-2), pp. 105-117; Defez, E., Garcia-Honrubia, M., Villanueva, R.J., A procedure for computing the exponential of a matrix using Hermite matrix polynomials (2002) Far East J. Appl. Math., 6 (3), pp. 217-231; Dueñas, H., Fuentes, E., Garza, L.E., On a Christoffel transformation for matrix measures supported on the unit circle (2021) Comput. Methods Funct. Theory, 21, pp. 219-243; Durán, A.J., On orthogonal polynomials with respect to a positive definite matrix of measures (1995) Can. J. Math., 47 (1), pp. 88-112; Durán, A.J., Grünbaum, F.A., Orthogonal matrix polynomials, scalar-type Rodrigues' formulas and Pearson equations (2005) J. Approx. Theory, 134 (2), pp. 267-280; Durán, A.J., Van Assche, W., Orthogonal matrix polynomials and higher-order recurrence relations (1995) Linear Algebra Appl., 219, pp. 261-280; García-Ardila, J.C., Garza, L.E., Marcellán, F., A canonical Geronimus transformation for matrix orthogonal polynomials (2018) Linear Multilinear Algebra, 66 (2), pp. 357-381; Iserles, A., On polynomials orthogonal with respect to certain Sobolev inner products (1991) J. Approx. Theory, 65 (2), pp. 151-175; Jódar, L., Company, R., Hermite matrix polynomials and second order matrix differential equations (1996) Approx. Theory Appl., 12 (2), pp. 20-30; Jódar, L., Company, R., Navarro, E., Laguerre matrix polynomials and systems of second-order differential equations (1994) Appl. Numer. Math., 15 (1), pp. 53-63; Jódar, L., Defez, E., On Hermite matrix polynomials and Hermite matrix functions (1998) Approx. Theory Appl., 14 (1), pp. 36-48; Jódar, L., Sastre, J., Asymptotic expressions of normalized Laguerre matrix polynomials on bounded intervals (2004) Util. Math., 65, pp. 3-31; Marcellán, F., Sansigre, G., On a class of matrix orthogonal polynomials on the real line (1993) Linear Algebra Appl., 181, pp. 97-109; Marcellán, F., Petronilho, J., Orthogonal polynomials and coherent pairs: the classical case (1995) Indag. Math., 6 (3), pp. 287-307; Marcellán, F., Xu, Y., On Sobolev orthogonal polynomials (2015) Expo. Math., 33 (3), pp. 308-352; Maroni, P., Sur la suite de polynômes orthogonaux associée à la forme u=δc+λ(x−c)−1L (1990) Period. Math. Hung., 21 (3), pp. 223-248; Martínez-Finkelshtein, A., Asymptotics of Sobolev orthogonal polynomials for coherent pairs of measures (1998) J. Approx. Theory, 92 (2), pp. 280-293; Meijer, H.G., A short history of orthogonal polynomials in a Sobolev space. I. The non-discrete case (1996) Nieuw Arch. Wiskd. (4), 14 (1), pp. 93-112; Meijer, H.G., Coherent pairs and zeros of Sobolev-type orthogonal polynomials (1993) Indag. Math., 4 (2), pp. 163-176; Meijer, H.G., Determination of all coherent pairs (1997) J. Approx. Theory, 89 (3), pp. 321-343; Lewis, D.C., Polynomial least square approximations (1947) Am. J. Math., 69, pp. 273-278; Sastre, J., Defez, E., On the asymptotics of Laguerre matrix polynomials for large x and n (2006) Appl. Math. Lett., 19 (8), pp. 721-727; Sastre, J., Defez, E., Jódar, L., Laguerre matrix polynomial series expansion: theory and computer applications (2006) Math. Comput. Model., 44 (11-12), pp. 1025-1043; Shehata, A., Some relations on Laguerre matrix polynomials (2015) Malaysian J. Math. Sci., 9 (3), pp. 443-462</t>
  </si>
  <si>
    <t>Garza, L.E.; Facultad de Ciencias, Bernal Díaz del Castillo 340, Mexico; email: luis_garza1@ucol.mx</t>
  </si>
  <si>
    <t>Academic Press Inc.</t>
  </si>
  <si>
    <t>0022247X</t>
  </si>
  <si>
    <t>2-s2.0-85138593731</t>
  </si>
  <si>
    <t>Revista Venezolana de Gerencia</t>
  </si>
  <si>
    <t>Universidad del Zulia</t>
  </si>
  <si>
    <t>Rev. Venez. Gerencia</t>
  </si>
  <si>
    <t>All Open Access, Gold</t>
  </si>
  <si>
    <t>Universidad Pedagógica y Tecnológica de Colombia, Duitama, Colombia</t>
  </si>
  <si>
    <t>Universidad Pedagógica y Tecnológica de Colombia, Colombia</t>
  </si>
  <si>
    <t>Escobar F.Á.C., Buitrago G.P., Fredy A.G.B.</t>
  </si>
  <si>
    <t>22034230100;57200261148;57972042600;</t>
  </si>
  <si>
    <t>Spatial Analysis with Weighted Kernel Groupings to Determine Risk Sectors Due to Traffic Accidents in Urban Area. Tunja Analysis, Colombia [Análisis espacial con agrupamientos kernel ponderados para determinar sectores de riesgo por accidentes de tráfico en zona urbana. Análisis Tunja, Colombia]</t>
  </si>
  <si>
    <t>Cuadernos Geograficos</t>
  </si>
  <si>
    <t>https://www.scopus.com/inward/record.uri?eid=2-s2.0-85142215249&amp;doi=10.30827%2fcuadgeo.v62i1.18025&amp;partnerID=40&amp;md5=e51602663100e5f4cc39c72f36fff795</t>
  </si>
  <si>
    <t>Universidad Pedagógica y Tecnológica de Colombia-UPTC, Colombia</t>
  </si>
  <si>
    <t>Escobar, F.Á.C., Universidad Pedagógica y Tecnológica de Colombia-UPTC, Colombia; Buitrago, G.P., Universidad Pedagógica y Tecnológica de Colombia-UPTC, Colombia; Fredy, A.G.B., Universidad Pedagógica y Tecnológica de Colombia-UPTC, Colombia</t>
  </si>
  <si>
    <t>A method is presented to identify and determine groups with risk sectors due to the greater occurrence of traffic accidents in urban areas as an integral compo-nent in road safety management. The methodology was framed in Spatial Analysis with geographic statistics based on Exploratory Data Analysis (AED), Kernel Density Estimation (KDE), and the application of correlation and geoprocessing techniques. The accident data collected between 2015 and 2018 from the urban area of Tunja, Boyacá, Colombia, were the basis for the study of the distribution of events, characterization of clusters, occurrence dynamics and pattern modeling. The definition and delimitation of risks depended on the dispersion or grouping (Hotspots) found with weighted Kernel together with the socio-spatial interrela-tion of underlying processes due to the territorial dynamics of the sector. The results reveal patterns of events in concentration foci with different levels of risk, in which land uses of opposite characteristics coexist according to their activities [commercial and residential], socioeconomic sectors of low strata with a mixture of arterial road network that by its functionality mobilizes high vehicular and pedestrian flows. Although the analysis is limited to a case study, the findings show a promising perspective in road safety by delimiting risk sites for traffic accidents through the incidence of territorial variables. © 2023, Universidad de Granada. All rights reserved.</t>
  </si>
  <si>
    <t>Concentration, weighted kernel clustering; Determination of risks due to traffic accidents; Exploratory Data Analysis-EDA; Spatial Analysis</t>
  </si>
  <si>
    <t>A alumnos de pregrado y posgrado del Grupo de Investigación GIDOT de la UPTC por el apoyo logístico en tomas de información con reducción y estructuración de bases de datos.</t>
  </si>
  <si>
    <t>Afshin, S.M., Matin, Shahri, Babak, Mirbagheri, GIS-based method for detecting high-crash-risk road segments using network kernel density estimation (2013) Geo-spatial Information Science, 16 (2), pp. 113-119. , https://doi:10.1080/10095020.2013.766396; (2019) Sistemas de información, , https://ansv.gov.co/observatorio/indexb31b.htm-l?op=Documentacion&amp;id=49, Observatorio Nacio-nal de Seguridad Vial, ONSV. Mintransporte, Colombia. En; Ashar, Ahmed, Ahmad, F.M.S., Ahmad, S.Y., Errors in accident data, its types, causes and methods of rectification analysis of the literatura (2017) Accident Analysis &amp; Prevention, 130, pp. 3-21. , https://doi.org/10.1016/j.aap.2017.07.018Getrightsandcontent; Bailey, T.C., Gatrell, A.C., (1995) Interactive spatial data analysis, , Addison Wesley Longman Limited, Harlow, England; (2015) Las ciudades intermedias con mayor potencial en Colombia. Un sistema de identificación, , https://publications.iadb.org/publications/spanish/document/Las-ciudades-inter-medias-con-mayor-potencial-en-Colombia-Un-sistema-de-identificaci%C3%B3n.pdf, Banco Interamericano de Desarrollo; Blazquez, C.A., Celis, M.S., A spatial and temporal analysis of child pedestrian crashes in Santiago, Chile (2012) Accident Analysis &amp; Prevention, 50, pp. 304-311; Briz-Redóna, Álvaro, Martinez-Ruiz, Francisco, Montes, Francisco, Identification of differential risk hotspots for collision and vehicle type in a directed linear network (2019) Accident Analysis &amp; Prevention; 132-105278, pp. 1-11. , https://doi.org/10.1016/j.aap.2019.105278; Cioca, L.I., Ivascu, L., Risk Indicators and Road Accident Analysis for the Period 2012–2016 (2017) Sustainabil-ity, 9, p. 1530. , https://doi.org/10.3390/su9091530; Cheng, W., Washington, S., New criteria for evaluating methods of identifying hotspots (2008) Transportation Research Board, 2083, pp. 76-85. , https://doi:10.3141/2083-09, Washington, D.C; Cheng, A.S.K., Liu, P.Y., Tulliani, N., Relationship between driving-violation behaviours and risk percep-tion in motorcycle accidents. Hong Kong (2015) Journal of Occupational Therapy, 25, pp. 32-38; Cerquera-Escobar, F.A., (2015) Análisis espacial de la accidentalidad vial urbana: método de investigación con SIG, , (ª). Colección Investig. Uptc. ISBN: 9789586602099. Tunja. Colombia; Cerquera-Escobar, F.A., Modelo patrón de evaluación de la accidentalidad vial en áreas urbanas de Bogotá (Colombia) (2015) Carreteras, 202 (3), pp. 45-62. , Madrid-España; Hedges, L.V., Rhoads, C., Statistical Power Analysis (2010) International Encyclopedia of Education, pp. 436-443. , https://doi.org/10.1016/B978-0-08-044894-7.01356-7, (Third Edition); Elsevier; Cohen, J., (1988) Statistical Power Analysis for the Behavioral Sciences, , http://www.utstat.toronto.edu/~brunner/oldclass/378f16/read-ings/CohenPower.pdf, (2nd ed), Lawrence Erlbaum Associates. Hillsdale Publishers. NJ: ISBN 0-8058-0283-5; Dall’erba, S., Chen, Z., Exploratory Spatial Data Analysis (2020) International Encyclopedia of Human Geography (Second Edition), pp. 357-365. , https://doi.org/10.1016/B978-0-08-102295-5.10541-4, Ed: Audrey Kobayashi. Elsevier; ISBN:9780081022962; Dereli, M.A., Erdogan, Saffet, A new model for determining the traffic accident black spots using GIS-aid-ed spatial statistical methods (2017) Transportation Research Part A, 103, pp. 106-117. , http://dx.doi.org/10.1016/j.tra.2017.05.031; (2018) Documento Compes 3918. Estrategia para la implementación de los objetivos de desarrollo sostenible (ODS) en Colombia, , https://colaboracion.dnp.gov.co/CDT/Conpes/Econ%C3%B3micos/3918.pdf, DNP. Departamento Nacional de Planeación; Faul, F., Erdfelder, E., Buchner, A., Lang, A.G., Statistical power analyses using G*Power 3.1: Tests for correlation and regression analyses (2009) Behavior Research Methods, 41, pp. 1149-1160. , http://dx.doi.org/10.3758/BRM.41.4.1149; Flahaut, B., San Martín, E., Thomas, I., The local spatial autocorrelation and the kernel method for identifying black zones, A comparative approach (2003) Accident Analysis &amp; Prevention, 35 (6), pp. 991-1004. , https://doi.org/10.1016/S0001-4575(02)00107-0, Mouchart. M; Haagsma, J.A., Graetz, N., Bolliger, I., Naghavi, M., Higashi, H., Mullany, E.C., Abera, S.F., Bekele, T., The global burden of in-jury: incidence, mortality, disability-adjusted life years and time trends from the Global Burden of Disease study 2013 (2016) Injury &amp; Prevention, 22, pp. 3-18. , http://dx.doi.org/10.1136/injuryprev-2015-041616; Forensis. Datos para la vida, , https://www.medicinalegal.gov.co/cifras-estadisticas/forensis, INMLCF. (2016, 2017, 2018). Instituto Nacional de Medicina Legal y Ciencias Forens-es; Johnsson, C., Laureshyn, A., DeCeunynck, T., In search of surrogate safety indicators for vulnerable road users: a review of surrogate safety indicators (2018) Transport Reviews, pp. 1-21. , https://doi.org/10.1080/01441647.2018.1442888; Kar, Sonali, Das, S.C., Tiwari, A., Pharveen, Irfana, Pattern of Road Traffic Accidents in Bhubaneswar, Odisha (2016) Clinica epidemiology and global health, 4 (6), pp. 115-119. , http://dx.doi.org/10.1016/j.cegh.2015.07.003; Kelley, K., Preacher, K. J., On effect size (2012) Psychological Methods, 17 (2), pp. 137-152. , https://doi.org/10.1037/a0028086; Kundakci, E., Tuydes-Yaman, H., Understanding the distribution of traffic accident hotspots in Ankara, Turkey, p.17 (2014) TRB 93rd Annual meeting conference, pp. 12-16. , Washington; Kuo, P.F., Lord, D., Walden, T.D., Using geographical information systems to effectively organize police patrol routes by grouping hotspots of crash and crime data (2013) Journal of Transport Geography, 30, pp. 138-148. , https://doi.org/10.1016/j.jtrangeo.2013.04.006; Lassarre, Sylvain, Bonnet, Emmanuel, Bodin, Franck, Papadimitriou, Eleonora, Yannis, George, Golias, John, A GIS-based methodology for identifying pedestrians’ crossing patterns (2012) Computers, Environment and Urban Systems, pp. 321-330; Lorda, M.A., Campos, M.M., Bróndolo, M., Espejo, N., Procesos e interacciones en el espacio geográfico. Unidades geoespaciales en el suroeste bonaerense: escenarios posibles para experiencias de enseñanza-aprendiza-je (2005) Anais do X Encontro de Geógrafos da América Latina, , marzo, Universidade de São Paulo; Maestre, F.T., Escudero, A., Bonet, A., Introducción al Análisis Espacial de datos en ecología y ciencias ambientales: Métodos y aplicaciones (2008), 80, pp. 107-138. , Universidad Rey Juan Carlos, Editorial Dykinson S.L., Madrid, España. 849pp. ISBN 978-84-9849-308-5. Citando a Legendre, P., Fortin M.J. 1989. Spatial pattern and ecological analysis. Vegetation; Mandacarua, P.M.P., Andrade, A.L., Souza-Rochad, M., Pinheiro-Aguiard, F., Nogueirae, M.S.M., Girodof, A.M., Galas-Pedrosag, A.A., De-Morais-Neto, O.L., Qualifying information on deaths and serious injuries caused by road traffic in five Brazilian capitals using record linkage (2017) Accident Analysis and Prevention, 106, pp. 392-398. , http://dx.doi.org/10.1016/j.aap.2017.06.018; Mazurek, Hubert, El espacio o la organización de las localizaciones. Cap. 2 (2018) Espacio y territorio: Instru-mentos metodológicos de investigación social, , https://doi.org/10.4000/books.irdeditions.17840, Marseille: Ed. IRD ISBN: 9782709925723; Mena, D.V., Gutiérrez, J.A., Jaraíz, F.J., Metodología para la clasificación y caracterización de unidades territoriales homogéneas: El caso de los países de Centroamérica (2018) Cuadernos Geográficos, 57 (2), pp. 261-282. , http://dx.doi.org/10.30827/cuadgeo.v57i2.6043; (2012) Por la cual se adopta el nuevo informe policial de accidentes de tránsito (IPAT), manual de diligenciamiento, se dictan otras disposiciones, , http://legal.legis.com.co/document/Index?obra=leg-col&amp;document=legcol_d1a2e67f64080098e0430a0101510098, MINTRANSPORTE; Mohaymany, A.S., Shahri, M., Mirbagheri, B., GIS-based method for detecting high-crash-risk road segments using network kernel density estimation (2013) Geospatial Information Science, 16 (2), pp. 113-119; Murphy, K.R., Myors, B., Wolach, A.H., (2014) Statistical power analysis: A simple and general model for traditional and modern hypothesis tests, , https://doi.org/10.4324/9781315773155, 4th Edition. ISBN:9781315773155. Routledge; Olszewski, Piotr, Szagała, Piotr, Rabczenko, Daniel, Zielińska, Anna, Investigating safety of vulnerable road users in selected EU countries (2019) Journal of Safety Research, 68, pp. 49-57. , https://doi.org/10.1016/j.jsr.2018.12.001; Ouni, Fedy, Belloumi, Mounir, Spatio-temporal pattern of vulnerable road user’s collisions hot spots and related risk factors for injury severity in Tunisia (2018) Transportation Research Part F, 56, pp. 477-495. , https://doi.org/10.1016/j.trf.2018.05.003; Pérez-Buitrago, G., Cerquera-Escobar, F.A., Análisis y evaluación del factor humano en los trabajos de au-ditorías e inspecciones de seguridad vial urbana en Colombia (2017) Revista Carreteras, 215 (3), pp. 61-73. , Madrid-Es-paña; (2014) Plan de Ordenamiento Territorial, , POT. Alcaldía de Tunja. Acuerdo 0014. Boyacá, Colombia; Pulugurtha, S.S., Krishnakumar, V.K., Nambisan, S.S., New methods to identify and rank high pedestrian crash zones: An illustration (2007) Accident Analysis &amp; Prevention, 39 (4), pp. 800-811. , 2007; Raghad, Z.A. Majeed, Hussein, A.E., Spatial Analyses of Traffic Conflicts to Assess Safety at Signalised (2020) Intersections IOP Conf. Ser.: Materials. Science Engineerin, pp. 1-13. , https://iopscience.iop.org/article/10.1088/1757-899X/671/1/012092, 671012092; Rosenblatt, M., Remarks on sorne nonparametric estimates of a density function (1956) Annals of Mathematical Statistics, 27, pp. 832-837; Rueda-Villar, O., Cerquera-Escobar, F.A., Pérez-Buitrago, G., Vulnerable Road Users, Prioritization of Urban Sectors with High Accident Rates (2019) Review and Evaluation Of Methods. Ing. Solidaria, 15 (3), pp. 1-26. , https://doi.org/10.16925/2357-6014.2019.03.04; Saadat, Soheil, Rahmani, Khaled, Moradi, Ali, Zaini, Salah, Darabi, Fatemeh, Spatial analysis of driving accidents leading to deaths related to motorcyclists in Tehran (2019) Chinese Journal of Traumatology, 22, pp. 148-154. , https://doi.org/10.1016/j.cjtee.2018.12.006; Sabel, C.E., Kingham, S., Nicholson, A., Bartiel, P., Road Traffic Accident Simulation Modelling-A Kernel Estimation Approach (2005) 17th Annual Colloquium of the Spatial Information Research Centre University of Otago, , Dunedin, New Zealand November 24th-25th; Saffet, Erdogan, Explorative spatial analysis of traffic accident statistics and road mortality among the provinces of Turkey (2009) Journal of Safety Research, 40, pp. 341-351; Silverman, B.W., (1986) Density estimation for statistics and data analysis, , New York: Chapman and Hall; Shafabakhsh, G.A., Famili, A., Bahadori, S., GIS-based spatial analysis of urban traffic accidents: Case study in Mashhad, Iran (2017) Journal of Traffic and Transportation Engineering (English Edition), 4 (3), pp. 290-299. , http://dx.doi.org/10.1016/j.jtte.2017.05.005; Tapia, Z.R., Lange, V.C., Larenas, S.J., Factores de deterioro del hábitat residencial y de vulnerabilidad social en la conformación de barrios precarios: breve revisión de algunos programas de barrios en Chile y en región (2009) Cuaderno trabajo, (1), pp. 47-93. , N Santiago, Chile; ISBN 978-956-19-0656-3; Thakali, L., Kwon, T.J., Fu, L., Identification of crash hotspots using kernel density estimation and kriging methods: a comparison (2015) Journal Modern Transportation, 23 (2), pp. 93-106. , https://doi.org/10.1007/s40534-015-0068-0; Wang, Kaifeng, Zhao, Xikang, Peng, Biyu, Zeng, Yunmin, Spatio-temporal pattern and driving factors of municipal solid waste generation in China: New evidence from exploratory spatial data analysis and dynamic spatial models (2020) Journal of Cleaner Production, pp. 1-11. , https://doi.org/10.1016/j.jclepro.2020.1217940959-6526/; (2018) Global Status Report on Road Safety, , https://www.who.int/vio-lence:injury_prevention/road_safety_status/2018/en/, WHO. ISBN 978-92-4-156568-4. Geneva; Xiao, Qin, Ghazan, K., Noyce, D.A., A Spatial Statistical Approach to Identifying Snow Crash-Prone Locations (2007) TRB 86th Annual meeting compendium of papers CD-Rom, p. 20; Xie, Z., Yan, J., Kernel density estimation of traffic accidents in a network space (2008) Computers, Environment and Urban Systems, 32 (5), pp. 396-406. , https://doi:10.1016/j.compenvurbsys.2008.05.001; Zhao, S., Road accidents in China (2009) IATSS Research, 33, pp. 125-127. , https://doi.org/10.1016/S0386-1112(14)60251-X</t>
  </si>
  <si>
    <t>Escobar, F.Á.C.; Universidad Pedagógica y Tecnológica de Colombia-UPTCColombia; email: flor.cerquera@uptc.edu.co</t>
  </si>
  <si>
    <t>Universidad de Granada</t>
  </si>
  <si>
    <t>All Open Access, Gold, Green</t>
  </si>
  <si>
    <t>2-s2.0-85142215249</t>
  </si>
  <si>
    <t>Universidad Pedagógica y Tecnológica de Colombia, UPTC</t>
  </si>
  <si>
    <t>Otálora, M.C.; Grupo de Investigación en Ciencias Básicas (NÚCLEO), Colombia; email: marotalora@uniboyaca.edu.co</t>
  </si>
  <si>
    <t>Polym.</t>
  </si>
  <si>
    <t>Taylor and Francis Ltd.</t>
  </si>
  <si>
    <t>Article in Press</t>
  </si>
  <si>
    <t>Revista Latinoamericana de Ciencias Sociales, Ninez y Juventud</t>
  </si>
  <si>
    <t>Revista Latinoamericana de Ciencias Sociales</t>
  </si>
  <si>
    <t>1692715X</t>
  </si>
  <si>
    <t>Rev. Latinoam. cienc. soc. ninnez juv.</t>
  </si>
  <si>
    <t>Balters S., Weinstein T., Mayseless N., Auernhammer J., Hawthorne G., Steinert M., Meinel C., Leifer L.J., Reiss A.L.</t>
  </si>
  <si>
    <t>56405613200;57920031800;36836294100;56081894800;56294674800;57992957900;56622665800;7005163298;57220518047;</t>
  </si>
  <si>
    <t>Design science and neuroscience: A systematic review of the emergent field of Design Neurocognition</t>
  </si>
  <si>
    <t>Design Studies</t>
  </si>
  <si>
    <t>10.1016/j.destud.2022.101148</t>
  </si>
  <si>
    <t>https://www.scopus.com/inward/record.uri?eid=2-s2.0-85143342454&amp;doi=10.1016%2fj.destud.2022.101148&amp;partnerID=40&amp;md5=3f159f52a18960679bfe2ade6f466de8</t>
  </si>
  <si>
    <t>Center for Interdisciplinary Brain Sciences Research, Stanford School of Medicine, United States; Hasso Plattner Institute, Potsdam University, Germany; Center for Design Research, Stanford University, United States; Hasso Plattner Institute of Design, Stanford University, United States; Department of Mechanical and Industrial Engineering, NTNU Norway, Norway; Department of Radiology, Stanford School of Medicine, United States; Department of Pediatrics, Stanford School of Medicine, United States</t>
  </si>
  <si>
    <t>Balters, S., Center for Interdisciplinary Brain Sciences Research, Stanford School of Medicine, United States; Weinstein, T., Hasso Plattner Institute, Potsdam University, Germany; Mayseless, N., Center for Interdisciplinary Brain Sciences Research, Stanford School of Medicine, United States; Auernhammer, J., Center for Design Research, Stanford University, United States; Hawthorne, G., Hasso Plattner Institute of Design, Stanford University, United States; Steinert, M., Department of Mechanical and Industrial Engineering, NTNU Norway, Norway; Meinel, C., Hasso Plattner Institute, Potsdam University, Germany; Leifer, L.J., Center for Design Research, Stanford University, United States; Reiss, A.L., Center for Interdisciplinary Brain Sciences Research, Stanford School of Medicine, United States, Department of Radiology, Stanford School of Medicine, United States, Department of Pediatrics, Stanford School of Medicine, United States</t>
  </si>
  <si>
    <t>Design Neurocognition is an emerging research field that aims to elucidate the “black-box” of a designer's mind through the use of brain imaging tools such as electroencephalography (EEG), functional near-infrared spectroscopy (fNIRS) and magnetic resonance imaging (MRI). More than a decade worth of study has led to many interesting research findings. Here, we systematically review the existing literature in the field. We identify 82 publications and provide an overview of nine main research topics that have been studied. We uncover a large variety of methodological approaches that currently hamper the evaluation of research findings through meta-analysis. Finally, we provide recommendations to advance the field and collaboratively generate a more complete understanding of human behavior during design activities. © 2022 Elsevier Ltd</t>
  </si>
  <si>
    <t>collaborative design; design cognition; design method; Design Neurocognition</t>
  </si>
  <si>
    <t>Behavioral research; Brain mapping; Electroencephalography; Electrophysiology; Infrared devices; Magnetic resonance imaging; Near infrared spectroscopy; Black boxes; Brain imaging; Collaborative design; Design cognition; Design method; Design neurocognition; Design science; Neurocognition; Research fields; Systematic Review; Design</t>
  </si>
  <si>
    <t>This work was supported by a Hasso Plattner Design Thinking Research Program Grant and a gift from the Kelvin Foundation .</t>
  </si>
  <si>
    <t>Alexiou, K., Zamenopoulos, T., Gilbert, S., Imaging the designing brain: A neurocognitive exploration of design thinking (2011) Design Computing and Cognition '10, pp. 489-504. , http://www.springer.com/engineering/mechanicaleng/book/978-94-007-0509-8, J.S. Gero Springer; Alexiou, K., Zamenopoulos, T., Johnson, J., Gilbert, S., Exploring the neurological basis of design cognition using brain imaging: Some preliminary results (2009) Design Studies, 30 (6), pp. 623-647; Baig, M.Z., Kavakli, M., EEG signal analysis in 3D modelling to identify correlations between task completion in design user's cognitive activities (2018) International Conference on Neural Information Processing, pp. 340-352; Balters, S., Baker, J.M., Hawthorne, G., Reiss, A.L., Capturing human interaction in the virtual age: A perspective on the future of fNIRS hyperscanning (2020) Frontiers in Human Neuroscience, 14. , https://www.frontiersin.org/articles/10.3389/fnhum.2020.588494; Balters, S., Schlichting, M.R., Foland-Ross, L., Brigadoi, S., Miller, J.G., Kochenderfer, M.J., Garrett, A.S., Reiss, A.L., Towards assessing subcortical “deep brain” biomarkers of PTSD with functional near-infrared spectroscopy [Preprint] (2022) Psychiatry and Clinical Psychology; Bandettini, P.A., Twenty years of functional MRI: The science and the stories (2012) NeuroImage, 62 (2), pp. 575-588; Baruah, J., Paulus, P.B., Enhancing group creativity: The search for synergy (2009) Creativity in Groups, 12, pp. 29-56. , E.A. Mannix J.A. Goncalo M.A. Neale Emerald Group Publishing Limited; Beeck, H.O.D., Nakatani, C., Introduction to Human Neuroimaging (2019), Cambridge University Press; Borgianni, Y., Maccioni, L., Review of the use of neurophysiological and biometric measures in experimental design research (2020) Artificial Intelligence for Engineering Design, Analysis and Manufacturing, 34 (2), pp. 248-285; Braun, V., Clarke, V., Thematic analysis (2012) APA Handbook of Research Methods in Psychology, Research Designs: Quantitative, Qualitative, Neuropsychological, and Biological, 2, pp. 57-71. , H. Cooper P.M. Camic D.L. Long A.T. Panter D. Rindskopf K.J. Sher American Psychological Association; Brigadoi, S., Cooper, R.J., How short is short? Optimum source-detector distance for short-separation channels in functional near-infrared spectroscopy (2015) Neurophotonics, 2 (2); Cao, J., Zhao, W., Guo, X., Utilizing EEG to explore design fixation during creative idea generation (2021) Computational Intelligence and Neuroscience, 2021; Cash, P., Isaksson, O., Maier, A., Summers, J., Sampling in design research: Eight key considerations (2022) Design Studies, 78; Chrysikou, E.G., Gero, J., Design science research workshop 2020: Design science meets neuroscience – Examining the cognitive and neural mechanisms of creative thinking (2018), https://sdpsnet.org/sdps-2020/ws1.html; Chrysikou, E.G., Gero, J.S., Using neuroscience techniques to understand and improve design cognition (2020) AIMS Neuroscience, 7 (3), pp. 319-326; Colombo, S., Mazza, A., Montagna, F., Ricci, R., Monte, O.D., Cantamessa, M., Neurophysiological evidence in idea generation: Differences between designers and engineers (2020) Proceedings of the Design Society: Design Conference, 1, pp. 1415-1424; Cui, X., Bray, S., Bryant, D.M., Glover, G.H., Reiss, A.L., A quantitative comparison of NIRS and fMRI across multiple cognitive tasks (2011) NeuroImage, 54 (4), pp. 2808-2821; Cui, X., Bray, S., Reiss, A.L., Functional near infrared spectroscopy (NIRS) signal improvement based on negative correlation between oxygenated and deoxygenated hemoglobin dynamics (2010) NeuroImage, 49 (4), pp. 3039-3046; Cui, X., Bryant, D.M., Reiss, A.L., NIRS-based hyperscanning reveals increased interpersonal coherence in superior frontal cortex during cooperation (2012) NeuroImage, 59 (3), pp. 2430-2437; Dahiya, A., Kujur, A., Kumar, J., A neurophysiological investigation of design thinking process in human-computer interaction design (2020) Proceedings of the 14th International Conference on Interfaces and Human Computer Interaction 2020 and 13th International Conference on Game and Entertainment Technologies 2020; Design Science, Design neurocognition: Understanding of design through studies of the brain (2019) Design Science Journal, , https://designsciencejournal.designsociety.org/13/Design+Neurocognition%3A+Understanding+of+Design+Through+Studies+of+the+Brain; Dietrich, A., Kanso, R., A review of EEG, ERP, and neuroimaging studies of creativity and insight (2010) Psychological Bulletin, 136 (5), pp. 822-848; Ellamil, M., Dobson, C., Beeman, M., Christoff, K., Evaluative and generative modes of thought during the creative process (2012) NeuroImage, 59 (2), pp. 1783-1794; Esteban, O., Markiewicz, C.J., Blair, R.W., Moodie, C.A., Isik, A.I., Erramuzpe, A., Oya, H., fMRIPrep: a robust preprocessing pipeline for functional MRI (2019) Nature Methods, 16 (1), pp. 111-116; Fu, K.K., Sylcott, B., Das, K., Using fMRI to deepen our understanding of design fixation (2019) Design Science, 5, p. e22; Gabard-Durnam, L.J., Mendez Leal, A.S., Wilkinson, C.L., Levin, A.R., The Harvard automated processing pipeline for electroencephalography (HAPPE): Standardized processing software for developmental and high-artifact data (2018) Frontiers in Neuroscience, 12; Gagnon, L., Yücel, M.A., Dehaes, M., Cooper, R.J., Perdue, K.L., Selb, J., Huppert, T.J., Boas, D.A., Quantification of the cortical contribution to the NIRS signal over the motor cortex using concurrent NIRS-fMRI measurements (2012) NeuroImage, 59 (4), pp. 3933-3940; Gero, J.S., (2015) Studying Visual and Spatial Reasoning for Design Creativity, , Springer New York, NY, USA; Gero, J.S., From design cognition to design neurocognition (2019) Cognitive Science, pp. 49-51; Gero, J., Public lecture – Your brain on design: New field of design neurocognition (2022), https://events.humanitix.com/public-lecture-new-field-of-design-neurocognition, 06/06/2022; Gero, J.S., Milovanovic, J., A framework for studying design thinking through measuring designers' minds, bodies and brains (2020) Design Science, 6, p. e19; Gilbert, S.J., Zamenopoulos, T., Alexiou, K., Johnson, J.H., Involvement of right dorsolateral prefrontal cortex in ill-structured design cognition: An fMRI study (2010) Brain Research, 1312, pp. 79-88; Goucher-Lambert, K., McComb, C., Using hidden Markov models to uncover underlying states in neuroimaging data for a design ideation task (2019) Proceedings of the Design Society: International Conference on Engineering Design, 1 (1), pp. 1873-1882; Goucher-Lambert, K., Moss, J., Cagan, J., Inspired internal search: Using neuroimaging to understand design ideation and concept generation with inspirational stimuli (2018) 30th International Conference on Design Theory and Methodology, V007T06A007, 7; Goucher-Lambert, K., Moss, J., Cagan, J., Unsuccessful external search: Using neuroimaging to understand fruitless periods of design ideation involving inspirational stimuli (2018) Design Computing and Cognition '18, pp. 37-54. , J.S. Gero Springer International Publishing; Goucher-Lambert, K., Moss, J., Cagan, J., A neuroimaging investigation of design ideation with and without inspirational stimuli-understanding the meaning of near and far stimuli (2019) Design Studies, 60, pp. 1-38; Grohs, J.R., Shealy, T., Maczka, D.K., Hu, M., Panneton, R., Yang, X., Evaluating the potential of fNIRS neuroimaging to study engineering problem solving and design (2017) 2017 ASEE Annual Conference &amp; Exposition; Hartog, T., Marshall, M., Ahad, M.T., Alhashim, A.G., Okudan Kremer, G., van Hell, J., Siddique, Z., Pilot Study: Investigating EEG based neuro-responses of engineers via a modified alternative uses task to understand creativity (2020) 17th International Conference on Design Education (DEC), V003T03A019, 3; Hay, L., Cash, P., McKilligan, S., The future of design cognition analysis (2020) Design Science, 6 (20), pp. 1-26; Hay, L., Duffy, A.H.B., Gilbert, S.J., Grealy, M.A., Functional magnetic resonance imaging (fMRI) in design studies: Methodological considerations, challenges, and recommendations (2022) Design Studies, 78; Hay, L., Duffy, A.H.B., Gilbert, S.J., Lyall, L., Campbell, G., Coyle, D., Grealy, M.A., The neural correlates of ideation in product design engineering practitioners (2019) Design Science, 5 (29), pp. 1-23; Hellhammer, D.H., Wüst, S., Kudielka, B.M., Salivary cortisol as a biomarker in stress research (2009) Psychoneuroendocrinology, 34 (2), pp. 163-171; He, B., Yang, L., Wilke, C., Yuan, H., Electrophysiological imaging of brain activity and connectivity—challenges and opportunities (2011) IEEE Transactions on Biomedical Engineering, 58 (7), pp. 1918-1931; Hu, W.-L., Booth, J., Reid, T., Reducing sketch inhibition during concept generation: Psychophysiological evidence of the effect of interventions (2015) International Design Engineering Technical Conferences and Computers and Information in Engineering Conference, 57175, V007T06A010; Hu, W.-L., Booth, J.W., Reid, T., The relationship between design outcomes and mental states during ideation (2017) Journal of Mechanical Design, 139 (5); Hu, L., McCuskey Shepley, M., Design meets neuroscience: A preliminary review of design research using neuroscience tools (2022) Journal of Interior Design, 47 (1), pp. 31-50; Hu, Y., Ouyang, J., Wang, H., Zhang, J., Liu, A., Min, X., Du, X., Design meets neuroscience: An electroencephalogram study of design thinking in concept generation phase (2022) Frontiers in Psychology, 13; Huppert, T.J., Diamond, S.G., Franceschini, M.A., Boas, D.A., HomER: A review of time-series analysis methods for near-infrared spectroscopy of the brain (2009) Applied Optics, 48 (10), p. D280; Hu, W.-L., Reid, T., The effects of designers' contextual experience on the ideation process and design outcomes (2018) Journal of Mechanical Design, 140 (10); Hu, M., Shealy, T., Gero, J.S., Neuro-cognitive differences among engineering students when using un-structured, partially structured, and structured design concept generation techniques (2018) 125th ASEE Annual Conference and Exposition, , American Society for Engineering Education Salt Lake City, UT; Hu, M., Shealy, T., Grohs, J., Panneton, R., Empirical evidence that concept mapping reduces neurocognitive effort during concept generation for sustainability (2019) Journal of Cleaner Production, 238; Hu, M., Shealy, T., Milovanovic, J., Cognitive differences among first-year and senior engineering students when generating design solutions with and without additional dimensions of sustainability (2021) Design Science, 7, p. e1; Jackson, A.F., Bolger, D.J., The neurophysiological bases of EEG and EEG measurement: A review for the rest of us (2014) Psychophysiology, 51 (11), pp. 1061-1071; Jenkins, S.D., Brown, R.D.H., Rutterford, N., Comparing thermographic, EEG, and subjective measures of affective experience during simulated product interactions (2009) International Journal of Design, 3 (2), pp. 53-65; Jia, W., Zeng, Y., EEG signals respond differently to idea generation, idea evolution and evaluation in a loosely controlled creativity experiment (2021) Scientific Reports, 11 (1), p. 2119; Kato, T., Nakatani, H., Ashizawa, Y., Brain activation during sketch task for design idea generation measured by NIRS (2021) Journal of the Science of Design, 5 (1), pp. 1-8; Kato, T., Okada, H., Izu, Y., Brain activities of idea generation using sketches (2017) The 4th International Conference on Design Engineering and Science, Aachen, Germany; Kato, T., Okada, H., Izu, Y., Measurement of brain activities of idea generation (sketch) (2018) Human Behavior and Design, pp. 2027-2034; Kato, T., Otagiri, S., Nagamori, Y., Izu, Y., Comparison of brain activities between hand and computer drawings in Finke's pattern generation task (2018) Journal of the Science of Design, 2 (2), pp. 43-52; Kim, S.-G., Ogawa, S., Biophysical and physiological origins of blood oxygenation level-dependent fMRI signals (2012) Journal of Cerebral Blood Flow and Metabolism, 32 (7), pp. 1188-1206; Kowatari, Y., Lee, S.H., Yamamura, H., Nagamori, Y., Levy, P., Yamane, S., Yamamoto, M., Neural networks involved in artistic creativity (2009) Human Brain Mapping, 30 (5), pp. 1678-1690; Krasnow, B., Tamm, L., Greicius, M., Yang, T., Glover, G., Reiss, A., Menon, V., Comparison of fMRI activation at 3 and 1.5 T during perceptual, cognitive, and affective processing (2003) NeuroImage, 18 (4), pp. 813-826; Kumar, A., Tsow, F., Hosseini, H., Bowden, A.K., A lightweight, portable, and low-cost near infrared spectroscopy headband for in-field neuro-monitoring (Conference Presentation) (2020) Biophotonics in Exercise Science, Sports Medicine, Health Monitoring Technologies, and Wearables, 11237, 1123709; Lawson, B., Dorst, K., Design Expertise (2009), Routledge; Lazar, L., The cognitive neuroscience of design creativity (2018) Journal of Experimental Neuroscience, 12; Le, A.S., Aoki, H., Murase, F., Ishida, K., A novel method for classifying driver mental workload under naturalistic conditions with information from near-infrared spectroscopy (2018) Frontiers in Human Neuroscience, 12. , https://www.frontiersin.org/articles/10.3389/fnhum.2018.00431; Leifer, L.J., ME268 dancing with NeuroDesign (2019), https://events.stanford.edu/events/823/82343/,06/06/2022, Accessed at; Liang, C., Chang, C.-C., Liu, Y.-C., Comparison of the cerebral activities exhibited by expert and novice visual communication designers during idea incubation (2019) International Journal of Design Creativity and Innovation, 7 (4), pp. 213-236; Liang, C., Lin, C.-T., Yao, S.-N., Chang, W.-S., Liu, Y.-C., Chen, S.-A., Visual attention and association: An electroencephalography study in expert designers (2017) Design Studies, 48, pp. 76-95; Liang, C., Liu, Y.-C., Brain electrical activity of film directors engaging in initiating imagination: Comparisons between different levels of creativity (2018) Archives of Neurology and Neuro Disorders, 1 (1), pp. 7-16; Liang, C., Liu, Y.-C., Effect of adequate non-verbal mnemonic conflict management: Comparing brain activity during idea incubation between different creativity levels (2018) Clinical Research in Neurology, 1 (2), p. 10; Liang, C., Liu, Y.-C., Effect of musical stimuli on design thinking: Differences between expert and student designers (2018) Cogent Psychology, 5 (1); Liang, C., Liu, Y.-C., Chang, W., Designer experience transfer: Overlapping and distinct brain activity at different levels of creativity (2018) Neurological Science Journal, 2 (1), pp. 1-8; Li, S., Becattini, N., Cascini, G., Correlating design performance to EEG activation: Early evidence from experimental data (2021) Proceedings of the Design Society, 1, pp. 771-780; Li, K., Guo, L., Nie, J., Li, G., Liu, T., Review of methods for functional brain connectivity detection using fMRI (2009) Computerized Medical Imaging and Graphics, 33 (2), pp. 131-139; Li, R., Mayseless, N., Balters, S., Reiss, A.L., Dynamic inter-brain synchrony in real-life inter-personal cooperation: A functional near-infrared spectroscopy hyperscanning study (2021) NeuroImage, 238; Li, R., Potter, T., Huang, W., Zhang, Y., Enhancing performance of a hybrid EEG-fNIRS system using channel selection and early temporal features (2017) Frontiers in Human Neuroscience, 11. , https://www.frontiersin.org/article/10.3389/fnhum.2017.00462; Liu, Y.-C., Chang, C.-C., Yang, Y.-H.S., Liang, C., Spontaneous analogising caused by text stimuli in design thinking: Differences between higher- and lower-creativity groups (2018) Cognitive Neurodynamics, 12 (1), pp. 55-71; Liu, N., Cui, X., Bryant, D.M., Glover, G.H., Reiss, A.L., Inferring deep-brain activity from cortical activity using functional near-infrared spectroscopy (2015) Biomedical Optics Express, 6 (3), pp. 1074-1089; Liu, W., Jin, Y., Li, B., Lyu, Z., Pan, W., Wang, N., Zhao, X., NeuroDesign: Making decisions and solving problems through understanding of the human brain (2020) Design, User Experience, and Usability. Interaction Design, pp. 199-208. , A. Marcus E. Rosenzweig Springer International Publishing; Liu, Y.-C., Liang, C., Design exploration predicts designer creativity: A deep learning approach (2020) Cognitive Neurodynamics, 14 (3), pp. 291-300; Liu, D., Liu, S., Liu, X., Zhang, C., Li, A., Jin, C., Chen, Y., Zhang, X., Interactive brain activity: Review and progress on EEG-based hyperscanning in social interactions (2018) Frontiers in Psychology, 9, p. 1862; Liu, L., Li, Y., Xiong, Y., Cao, J., Yuan, P., An EEG study of the relationship between design problem statements and cognitive behaviours during conceptual design (2018) Artificial Intelligence for Engineering Design, Analysis and Manufacturing, 32 (3), pp. 351-362; Liu, L., Nguyen, T.A., Zeng, Y., Hamza, A.B., Identification of relationships between electroencephalography (EEG) bands and design activities (2016) ASME 2016 International Design Engineering Technical Conferences and Computers and Information in Engineering Conference; Liu, Y., Ritchie, J.M., Lim, T., Kosmadoudi, Z., Sivanathan, A., Sung, R.C.W., A fuzzy psycho-physiological approach to enable the understanding of an engineer's affect status during CAD activities (2014) Computer-Aided Design, 54, pp. 19-38; Liu, Y.C., Sylvia Yang, Y.H., Liang, C., How do creativity levels and stimulus types matter? A preliminary investigation of designer visual association (2017) Journal of Neurology and Neuroscience, 8 (2); Logothetis, N.K., What we can do and what we cannot do with fMRI (2008) Nature, 453 (7197), pp. 869-878; Manandhar, U., Hu, M., Milovanovic, J., Shealy, T., Gero, J., Concept maps decrease students' neurocognitive demand when thinking about engineering problems (2022), 244–253; Mayseless, N., Hawthorne, G., Reiss, A.L., Real-life creative problem solving in teams: fNIRS based hyperscanning study (2019) NeuroImage, 203; Meinel, C., Leifer, L., (2020) Design Thinking Research: Investigating Design Team Performance, , Springer International Publishing; Michel, C.M., Brunet, D., EEG source imaging: A practical review of the analysis steps (2019) Frontiers in Neurology, 10; Michel, C.M., He, B., Chapter 6—EEG source localization (2019) Handbook of Clinical Neurology, 160, pp. 85-101. , K.H. Levin P. Chauvel Elsevier; Milovanovic, J., Hu, M., Shealy, T., Gero, J., Evolution of brain network connectivity in the prefrontal cortex during concept generation using brainstorming for a design task (2020) 32nd International Conference on Design Theory and Methodology (DTM), ASME 2020 International Design Engineering Technical Conferences and Computers and Information in Engineering Conference, Virtual, 8. , Online; Milovanovic, J., Hu, M., Shealy, T., Gero, J., Temporal dynamics of brain activation during three concept generation techniques (2021) Proceedings of the Design Society, 1, pp. 2961-2970; Milovanovic, J., Hu, M., Shealy, T., Gero, J., Characterization of concept generation for engineering design through temporal brain network analysis (2021) Design Studies, 76; Milovanovic, J., Hu, M., Shealy, T., Gero, J., Exploration of the dynamics of neuro-cognition during TRIZ (2021) ASME 2021 International Design Engineering Technical Conferences and Computers and Information in Engineering Conference; Misaki, M., Kerr, K.L., Ratliff, E.L., Cosgrove, K.T., Simmons, W.K., Morris, A.S., Bodurka, J., Beyond synchrony: The capacity of fMRI hyperscanning for the study of human social interaction (2021) Social Cognitive and Affective Neuroscience, 16 (1-2), pp. 84-92; Mišić, B., Sporns, O., From regions to connections and networks: New bridges between brain and behavior (2016) Current Opinion in Neurobiology, 40, pp. 1-7; Monti, M.M., Statistical analysis of fMRI time-series: A critical review of the GLM approach (2011) Frontiers in Human Neuroscience, 5, p. 28; Nagai, Y., Jones, C.I., Sen, A., Galvanic skin response (GSR)/electrodermal/skin conductance biofeedback on epilepsy: A systematic review and meta-analysis (2019) Frontiers in Neurology, 10, p. 377; Nanjundaswamy, V.G., Kulkarni, A., Chen, Z., Jaiswal, P.S.S.S., Verma, A., Rai, R., Intuitive 3D computer-aided design (CAD) system with multimodal interfaces (2013) 33rd Computers and Information in Engineering Conference, V02AT02A037, Vol. 2A; Nguyen, P., Nguyen, T.A., Zeng, Y., Measuring the evoked hardness of design problems using transient microstates (2015) 27th International Conference on Design Theory and Methodology, V007T06A029, 7; Nguyen, P., Nguyen, T.A., Zeng, Y., Quantitative analysis of the effort-fatigue tradeoff in the conceptual design process: A multistate EEG approach (2016) 28th International Conference on Design Theory and Methodology, V007T06A020, 7; Nguyen, P., Nguyen, T.A., Zeng, Y., Empirical approaches to quantifying effort, fatigue and concentration in the conceptual design process (2018) Research in Engineering Design, 29 (3), pp. 393-409; Nguyen, P., Nguyen, T.A., Zeng, Y., Segmentation of design protocol using EEG (2019) Artificial Intelligence for Engineering Design, Analysis and Manufacturing, 33 (1), pp. 11-23; Nguyen, P., Nguyen, T.A., Zeng, Y., others, Physiologically based segmentation of design protocol (2015) DS 80-11 Proceedings of the 20th International Conference on Engineering Design (ICED '15), 11. , Human Behaviour in Design, Design Education Milan, Italy 27-30.07.15, 061–070; Nguyen, T.A., Zeng, Y., Analysis of design activities using EEG signals (2010) 22nd International Conference on Design Theory and Methodology; Special Conference on Mechanical Vibration and Noise, 5, pp. 277-286; Nguyen, T.A., Zeng, Y., Clustering Designers' Mental Activities Based On EEG Power (2012), Tools and Methods of Competitive Engineering Karlsruhe, Germany; Nguyen, T.A., Zeng, Y., A physiological study of relationship between designer's mental effort and mental stress during conceptual design (2014) Computer-Aided Design, 54, pp. 3-18; Nguyen, T.A., Zeng, Y., A preliminary study of EEG spectrogram of a single subject performing a creativity test (2014) Proceedings of the 2014 International Conference on Innovative Design and Manufacturing (ICIDM), pp. 16-21; Nguyen, P., Zeng, Y., Modal shifts in concentration indicate creativity (2017) DS 87-8 Proceedings of the 21st International Conference on Engineering Design (ICED '17), Human Behaviour in Design, Vancouver, Canada, 8. , 21-25.08.2017, 021–030; Nguyen, T.A., Zeng, Y., Effects of stress and effort on self-rated reports in experimental study of design activities (2017) Journal of Intelligent Manufacturing, 28 (7), pp. 1609-1622; Nieto-Vallejo, A.-E., Camacho, J.-E., Cuervo-Pulido, R., Hernandez-Mihajlovic, E., Dynamic lighting system to increase the attention of design students in the classroom (2021) Revista Facultad De Ingenieria, Universidad Pedagogica Y Tecnologica De Colombia, 30 (55); Ohashi, T., Auernhammer, J., Liu, W., Pan, W., Leifer, L., NeuroDesignScience: Systematic literature review of current research on design using neuroscience techniques (2022) Design Computing and Cognition'20, pp. 575-592. , J.S. Gero Springer International Publishing; Olejniczak, P., Neurophysiologic basis of EEG (2006) Journal of Clinical Neurophysiology, 23 (3), pp. 186-189; Page, M.J., McKenzie, J.E., Bossuyt, P.M., Boutron, I., Hoffmann, T.C., Mulrow, C.D., Shamseer, L., McDonald, S., The PRISMA 2020 statement: An updated guideline for reporting systematic reviews (2021) British Medical Journal, p. n71; Pessoa, L., Kastner, S., Ungerleider, L.G., Neuroimaging studies of attention: From modulation of sensory processing to top-down control (2003) Journal of Neuroscience, 23 (10), pp. 3990-3998; Petkar, H., Dande, S., Yadav, R., Zeng, Y., Nguyen, T.A., A Pilot Study to Assess Designer's Mental Stress Using Eye Gaze System and Electroencephalogram (2009), pp. 899-909; Phelps, E.A., LeDoux, J.E., Contributions of the amygdala to emotion processing: From animal models to human behavior (2005) Neuron, 48 (2), pp. 175-187; Poldrack, R.A., The future of fMRI in cognitive neuroscience (2012) NeuroImage, 62 (2), pp. 1216-1220; Poldrack, R.A., Fletcher, P.C., Henson, R.N., Worsley, K.J., Brett, M., Nichols, T.E., Guidelines for reporting an fMRI study (2008) NeuroImage, 40 (2), pp. 409-414; Rajah, M.N., D'Esposito, M., Region-specific changes in prefrontal function with age: A review of PET and fMRI studies on working and episodic memory (2005) Brain, 128 (9), pp. 1964-1983; Runco, M.A., Yoruk, S., The neuroscience of divergent thinking (2014) Activitas Nervosa Superior, 56 (1), pp. 1-16; Saggar, M., Quintin, E.-M., Bott, N.T., Kienitz, E., Chien, Y.-H., Hong, D.W.-C., Liu, N., Reiss, A.L., Changes in brain activation associated with spontaneous improvization and figural creativity after design-thinking-based training: A longitudinal fMRI study (2017) Cerebral Cortex, 27 (7), pp. 3542-3552; Santosa, H., Zhai, X., Fishburn, F., Sparto, P.J., Huppert, T.J., Quantitative comparison of correction techniques for removing systemic physiological signal in functional near-infrared spectroscopy studies (2020) Neurophotonics, 7 (3); Sawyer, K., The cognitive neuroscience of creativity: A critical review (2011) Creativity Research Journal, 23 (2), pp. 137-154; Scholkmann, F., Kleiser, S., Metz, A.J., Zimmermann, R., Pavia, J.M., Wolf, U., Wolf, M., A review on continuous wave functional near-infrared spectroscopy and imaging instrumentation and methodology (2014) NeuroImage, 85, pp. 6-27; Shealy, T., Gero, J., The neurocognition of three engineering concept generation techniques (2019) Proceedings of the Design Society: International Conference on Engineering Design, 1 (1), pp. 1833-1842; Shealy, T., Gero, J., Hu, M., Milovanovic, J., Concept generation techniques change patterns of brain activation during engineering design (2020) Design Science, 6, p. e31; Shealy, T., Gero, J., Milovanovic, J., Hu, M., Sustaining creativity with neuro-cognitive feedback: A preliminary study (2020) Proceedings of the Sixth International Conference on Design Creativity (ICDC 2020), 084–091; Shealy, T., Grohs, J., Hu, M., Maczka, D., Panneton, R., Investigating Design Cognition During Brainstorming Tasks With Freshmen and Senior Engineering Students Using Functional Near Infrared Spectroscopy (2017), ASEE Columbus, OH; Shealy, T., Hu, M., Gero, J., Patterns of cortical activation when using concept generation techniques of brainstorming, morphological analysis, and TRIZ (2018) 30th International Conference on Design Theory and Methodology, V007T06A035, 7; Siddiqi, S.H., Kording, K.P., Parvizi, J., Fox, M.D., Causal mapping of human brain function (2022) Nature Reviews Neuroscience, 23 (6), pp. 361-375; Song, J., Davey, C., Poulsen, C., Luu, P., Turovets, S., Anderson, E., Li, K., Tucker, D., EEG source localization: Sensor density and head surface coverage (2015) Journal of Neuroscience Methods, 256, pp. 9-21; Specht, K., Current challenges in translational and clinical fMRI and future directions (2020) Frontiers in Psychiatry, 10. , https://www.frontiersin.org/article/10.3389/fpsyt.2019.00924; Steinert, M., Jablokow, K., Triangulating front end engineering design activities with physiology data and psychological preferences (2013) International Conference on Engineering Design, Seoul, Korea; Sun, L., Xiang, W., Chai, C., Wang, C., Liu, Z., Impact of text on idea generation: An electroencephalography study (2013) International Journal of Technology and Design Education, 23 (4), pp. 1047-1062; Tak, S., Ye, J.C., Statistical analysis of fNIRS data: A comprehensive review (2014) NeuroImage, 85, pp. 72-91; Thayer, J.F., Åhs, F., Fredrikson, M., Sollers, J.J., III, Wager, T.D., A meta-analysis of heart rate variability and neuroimaging studies: Implications for heart rate variability as a marker of stress and health (2012) Neuroscience &amp; Biobehavioral Reviews, 36 (2), pp. 747-756; Tsai, Y.-P., Hung, S.-H., Huang, T.-R., Sullivan, W.C., Tang, S.-A., Chang, C.-Y., What part of the brain is involved in graphic design thinking in landscape architecture? (2021) PLoS One, 16 (12); Vartanian, O., Neuroscience of creativity (2019) The Cambridge Handbook of Creativity, pp. 148-172. , J.C. Kaufman R.J. Sternberg 2nd ed. Cambridge University Press; Vieira, S., Benedek, M., Gero, J.S., Cascini, G., Li, S., Brain activity of industrial designers in constrained and open design: The effect of gender on frequency bands (2021) Proceedings of the Design Society, 1, pp. 571-580; Vieira, S., Benedek, M., Gero, J., Li, S., Cascini, G., Brain activity in constrained and open design: The effect of gender on frequency bands (2022) Artificial Intelligence for Engineering Design, Analysis and Manufacturing, 36 (e6), pp. 1-19; Vieira, S., Benedek, M., Gero, J., Li, S., Cascini, G., Design spaces and EEG frequency band power in constrained and open design (2022) International Journal of Design Creativity and Innovation, pp. 1-28; Vieira, S., Gero, J.S., Delmoral, J., Gattol, V., Fernandes, C., Fernandes, A.A., Comparing the design neurocognition of mechanical engineers and architects: A study of the effect of designer's domain (2019) Proceedings of the Design Society: International Conference on Engineering Design, 1 (1), pp. 1853-1862; Vieira, S., Gero, J.S., Delmoral, J., Gattol, V., Fernandes, C., Parente, M., Fernandes, A., Understanding the design neurocognition of mechanical engineers when designing and problem-solving (2019) International Design Engineering Technical Conferences and Computers and Information in Engineering Conference, 59278, V007T06A037; Vieira, S., Gero, J.S., Delmoral, J., Gattol, V., Fernandes, C., Parente, M., Fernandes, A.A., The neurophysiological activations of mechanical engineers and industrial designers while designing and problem-solving (2020) Design Science, 6; Vieira, S., Gero, J.S., Delmoral, J., Li, S., Cascini, G., Fernandes, A., Brain activity in constrained and open design spaces: An EEG study (2020) Proceedings of the Sixth International Conference on Design Creativity (ICDC 2020), 068–075; Vieira, S., Gero, J.S., Gattol, V., Delmoral, J., Li, S., Cascini, G., Fernandes, A., Designing-related neural processes: Higher alpha, theta and beta bands' key roles in distinguishing designing from problem-solving (2020) Design Computing and Cognition'20, pp. 535-553. , J.S. Gero Springer International Publishing; von Thienen, J., Neurodesign lecture – physiological perspectives on engineering design, creativity, collaboration and innovation (WT 2019/20). tele-TASK (2019), https://www.tele-task.de/series/1284/; von Thienen, J., Szymanski, C., Santuber, J., Plank, I.S., Rahman, S., Weinstein, T., Owoyele, B., Meinel, C., Neurodesign live (2021) Interrogating the Doing, , https://www.springerprofessional.de/neurodesign-live/19010796, Springer Professional; Wang, P., Peng, D., Li, L., Chen, L., Wu, C., Wang, X., Childs, P., Guo, Y., Human-in-the-loop design with machine learning (2019) Proceedings of the Design Society: International Conference on Engineering Design, 1 (1), pp. 2577-2586; Xie, H., Beaty, R.E., Jahanikia, S., Geniesse, C., Sonalkar, N.S., Saggar, M., Spontaneous and deliberate modes of creativity: Multitask eigen-connectivity analysis captures latent cognitive modes during creative thinking (2021) NeuroImage, 243; Yao, S.-N., Lin, C.-T., King, J.-T., Liu, Y.-C., Liang, C., Learning in the visual association of novice and expert designers (2017) Cognitive Systems Research, 43, pp. 76-88; Yeung, M.K., Chu, V.W., Viewing neurovascular coupling through the lens of combined EEG–fNIRS: A systematic review of current methods (2022) Psychophysiology, 59 (6); Yuan, H., Doud, A., Gururajan, A., He, B., Cortical imaging of event-related (de)synchronization during online control of brain-computer interface using minimum-norm estimates in frequency domain (2008) IEEE Transactions on Neural Systems and Rehabilitation Engineering, 16 (5), pp. 425-431; Yücel, M.A., Lühmann, A.V., Scholkmann, F., Gervain, J., Dan, I., Ayaz, H., Boas, D., Tong, Y., Best practices for fNIRS publications (2021) Neurophotonics, 8 (1); Zhang, Q., Hao, J., Xue, Q., Yan, Y., Characterizing the EEG features of inspiring designers with functional terms (2018) International Conference on Human-Computer Interaction, pp. 371-381</t>
  </si>
  <si>
    <t>Balters, S.; Center for Interdisciplinary Brain Sciences Research, United States; email: balters@stanford.edu</t>
  </si>
  <si>
    <t>0142694X</t>
  </si>
  <si>
    <t>DSSTD</t>
  </si>
  <si>
    <t>Des Stud</t>
  </si>
  <si>
    <t>2-s2.0-85143342454</t>
  </si>
  <si>
    <t>Pierre P.M.O., Guidolin A.F., Dos Santos M., Trevisani N., Cerutti P.H.</t>
  </si>
  <si>
    <t>10739833400;6602489192;57297566000;55874912800;56909687800;</t>
  </si>
  <si>
    <t>Origin, evolution and strategies for the genetic improvement of physalis [Origem, evolução e estratégias para o melhoramento genético de fisális]</t>
  </si>
  <si>
    <t>Ciencia Rural</t>
  </si>
  <si>
    <t>e20210742</t>
  </si>
  <si>
    <t>10.1590/0103-8478cr20210742</t>
  </si>
  <si>
    <t>https://www.scopus.com/inward/record.uri?eid=2-s2.0-85142636620&amp;doi=10.1590%2f0103-8478cr20210742&amp;partnerID=40&amp;md5=98cb4ce7c7f9c7d5e5ee7c03717de1fc</t>
  </si>
  <si>
    <t>Universidade do Estado de Santa Catarina (UDESC), SC, Lages, Brazil; Universidade do Alto Vale do Rio do Peixe (UNIARP), SC, Caçador, Brazil; Universidade Federal de Santa Catarina (UFSC), SC, Curitibanos, Brazil</t>
  </si>
  <si>
    <t>Pierre, P.M.O., Universidade Federal de Santa Catarina (UFSC), SC, Curitibanos, Brazil; Guidolin, A.F., Universidade do Estado de Santa Catarina (UDESC), SC, Lages, Brazil; Dos Santos, M., Universidade do Estado de Santa Catarina (UDESC), SC, Lages, Brazil; Trevisani, N., Universidade do Alto Vale do Rio do Peixe (UNIARP), SC, Caçador, Brazil; Cerutti, P.H., Universidade do Estado de Santa Catarina (UDESC), SC, Lages, Brazil</t>
  </si>
  <si>
    <t>Physalis peruviana L. (physalis) has significant economic potential by virtue of the unique flavor of its fruit. However, the productivity of Brazilian plantations is low because of the limited number of varieties or cultivars available. The main obstacle in the selection of superior genotypes is the lack of information about genetic variability within-and between-populations and limited genetic basis that has likely resulted from evolutionary, domestication and selection processes of the natural or artificial populations. Physalis currently cultivated in Brazil is tetraploid, and such polyploidy may have led to the reproductive isolation of the species, preventing the occurrence of intraspecific hybridization. Moreover, cultivated populations derive from a common gene pool and have undergone a long process of domestication and selection carried out empirically by farmers. In Colombia and other Andean countries there are wild populations that exhibit genetic diversity which; although, fundamental for the conservation of the species, have low potential for the development of genotypes with superior agronomic traits. In order to create and expand the genetic variability of physalis, breeders have employed various strategies including induction of mutation, chromosome duplication, and interspecific and intraspecific hybridization. Furthermore, the production of double haploid lines from in vitro anther cultures has shown good results in the selection of hybrids. The mutant genotypes and/or hybrids obtained using these methods in association with those of wide genomic selection can generate cultivars with superior agronomic traits. © 2023, Universidade Federal de Santa Maria. All rights reserved.</t>
  </si>
  <si>
    <t>chromosomal duplication; genetic improvement; interspecific and intraspecific hybridization; mutagenesis; Solanaceae</t>
  </si>
  <si>
    <t>Coordenação de Aperfeiçoamento de Pessoal de Nível Superior, CAPES; Conselho Nacional de Desenvolvimento Científico e Tecnológico, CNPq; Fundação de Amparo à Pesquisa e Inovação do Estado de Santa Catarina, FAPESC</t>
  </si>
  <si>
    <t>The authors wish to thank Coordenação de Aperfeiçoamento de Pessoal de Nível Superior (CAPES), Conselho Nacional de Desenvolvimento Científico e Tecnológico (CNPq) and Programa de Bolsas Universitárias de Santa Catarina/Fundo de Apoio à Manutenção e ao Desenvolvimento da Educação Superior (UNIEDU/FUMDES) for provision of scholarships. We are also grateful to Fundação de Amparo à Pesquisa e Inovação do Estado de Santa Catarina (FAPESC) for financial support.</t>
  </si>
  <si>
    <t>(2019) Agronet MinAgricultura, , https://www.agronet.gov.co/estadistica/Paginas/home.aspx?cod=1, Accessed: Oct. 2021; ALLARD, R.W., (1999) Princípios do melhoramento genético das plantas, p. 381. , São Paulo: Edgard Blucher; ANTÚNEZ-OCAMPO, O. M., Induced variability in physiological characters of Physalis peruviana L. through 60Co gamma rays applied to the seed (2017) Revista Fitotecnia Mexicana, 40 (2), pp. 211-218. , https://www.redalyc.org/pdf/610/61051413012.pdf, Accessed: Sep. 12, 2022; ANTÚNEZ-OCAMPO, O. M., Growth dynamics of morphological and reproductive traits of Physalis peruviana L. M1 plants obtained from seeds irradiated with gamma rays Notulae; (2020) Botanicae Horti Agrobotanici Cluj-Napoca, 48 (1), pp. 200-209. , https://www.notulaebotanicae.ro.corten-garden.com/index.php/nbha/article/view/11745, Accessed: Sep. 12, 2022; AZEEZ, S., FALUYI. J. Hybridization in four Nigerian Physalis (Linn.) species (2018) Not Sci Biol, 10, pp. 205-210. , https://notulaebiologicae.ro/index.php/nsb/article/view/10241, Accessed: Sep. 12, 2022; CARO-MELGAREJO, D. P., Effect of gamma rays on vegetative buds of Physalis peruviana L (2012) Acta Agronómica. Altamira, 61 (4), pp. 305-314. , https://revistas.unal.edu.co/index.php/acta_agronomica/article/view/38128/40294, Accessed: Sep. 12, 2022; CELY, J. A. B., Genética de parentales y poblaciones F1 inter e intraespecíficas de Physalis peruviana L. y Physalis floridana Rydb (2015) Revista Brasileira de Fruticultura. Jaboticabal, 37 (1), pp. 179-192. , https://www.scielo.br/j/rbf/a/w8cCmgmdQvPZkFyzvnYz7sF/abstract/?lang=es, Mar. Accessed: Sep. 12, 2022; CHACÓN, M., Genetic structure of a Colombian Cape gooseberry (Physalis peruviana L.) collection by means of microsatellite markers (2016) Agronomía Colombiana, 34 (1). , https://revistas.unal.edu.co/index.php/agrocol/article/view/52960, Accessed: Sep. 12, 2022; COMLEKCIOGLU, N., OZDEN, M., Polyploidy induction by colchicine treatment in golden berry (Physalis peruviana), and effects of polyploidy on some traits (2019) JAPS: Journal of Animal &amp; Plant Sciences, 29 (5). , http://www.thejaps.org.pk/docs/v-29-05/14.pdf, Accessed: Sep. 12, 2022; Genetic diversity of 40 genotypes of cape gooseberry (Physalis peruviana L.) using microsatellite markers (2019) Revista De Ciencias Agrícolas, 36, pp. 95-107. , https://revistas.udenar.edu.co/index.php/rfacia/article/view/4962/5812, DELGADO-BASTIDAS. N.; n.E. Accessed: Sep. 12, 2022; DUARTE, A., (2013) Physalis peruviana: fruta andina para el mundo: cultivo, recurso genético, agroindustria, normativa y mercado, , Madrid: Editorial Académica Española; ENCISO-RODRÍGUEZ, F. E., Identification of immunity related genes to study the Physalis peruviana–Fusarium oxysporum pathosystem (2013) PloS one, 8 (7), p. e68500. , https://journals.plos.org/plosone/article?id=10.1371/journal.pone.0068500, Accessed: Sep. 12, 2022; FISCHER, G., Importância y cultivo de la uchuva (Physalis peruviana L.) (2014) Revista Brasileira de Fruticultura, Jaboticabal, 36 (1), pp. 01-15. , https://www.scielo.br/j/rbf/a/q3DkbGPRBMcZq3DGS5fC5vH/?format=pdf&amp;lang=es, Março. Accessed: Sep. 12, 2022; FISCHER, G., (2005) Avances en cultivo. poscosecha y exportación de la uchuva (Physalis peruviana L.) en Colombia, pp. 55-82. , Bogotá: Universidad Nacional de Colombia; (2019) Mutant variety search, , http://mvgs.iaea.org/Search.aspx/, Accessed: Sep. 18, 2019; GANAPATHI, A., The diploid taxon in Indian natural populations of Physalis peruvianaL. and its taxonomic significance (1991) Cytologia, 56 (2), pp. 283-288. , https://www.jstage.jst.go.jp/article/cytologia1929/56/2/56_2_283/_pdf, Accessed: Sep. 12, 2022; GARCÍA-ARIAS, F. L., Association Study Reveals Novel Genes Related to Yield and Quality of Fruit in Cape Gooseberry (Physalis peruviana L.) (2018) Frontiers in plant science, 9, p. 362. , https://www.frontiersin.org/articles/10.3389/fpls.2018.00362/full, Accessed: Sep. 12, 2022; GARCÍA-ARIAS, F., Fertility recovery of anther-derived haploid plants in Cape gooseberry (Physalis peruviana L.) (2018) Agronomía Colombiana, 36 (3), pp. 201-209. , https://www.ncbi.nlm.nih.gov/pmc/articles/PMC5869928/, Accessed: Sep. 12, 2022; GARZÓN-MARTÍNEZ, G. A., The Physalis peruviana leaf transcriptome: assembly. annotation and gene model prediction (2012) BMC GENOMICS, 13 (1), p. 151. , https://bmcgenomics.biomedcentral.com/articles/10.1186/1471-2164-13-151, Accessed: Sep. 12, 2022; GARZÓN-MARTÍNEZ, G. A., Genetic diversity and population structure in Physalis peruviana and related taxa based on InDels and SNPs derived from COSII and IRG markers (2015) Plant Gene, 4, pp. 29-37. , https://www.sciencedirect.com/science/article/pii/S2352407315000232, Accessed: Sep. 12, 2022; GALVIS, J. A., Cosecha e poscosecha de la uchuva (2005) Producción, poscosecha y exportación de la uchuva Physalis peruviana L, pp. 165-188. , Bogotá: Universidad Nacional de Colombia, Ministerio de Agricultura y Desarrollo Rural y Asociación Hortifrutícola de Colombia; GOULART JUNIOR, R., (2017) Relatório sobre a Fruticultura Catarinense: Fruticultura em números – Safra 2014/15, 271, p. 114. , Florianópolis: Epagri. Documentos; GRIFFITHS, A. J. F., (2009) Introdução a Genética, , 9 ed. Rio de Janeiro. Guanabara Koogan; GUPTA, S. K., ROY, S. K., Radiation induced sterility in a diploid and a tetraploid species of Physalis (1986) Cytologia, 51 (2), pp. 271-277. , https://www.jstage.jst.go.jp/article/cytologia1929/51/2/51_2_271/_article, Accessed: Sep. 12, 2022; GUPTA, A. K., Mutagenic effectiveness and efficiency of gamma rays and EMS on cape gooseberry (Physalis peruviana L.) (2018) International Journal of Current Microbiology and Applied Sciences, 7 (2), pp. 3254-3260. , https://www.ijcmas.com/7-2-2018/Alok%20Kumar%20Gupta,%20et%20al.pdf, Accessed: Sep. 12, 2022; LAGOS-BURBANO, T. C., Physicochemical properties of Colombian cape gooseberry hybrids in the selection of high-quality materials Pesquisa Agropecuária Brasileira, 55. , https://www.scielo.br/j/pab/a/YGtJ4NGrdNpYDbvGDgwT5xN/?lang=en, 2021a. Accessed: Sep. 12, 2022; LAGOS-BURBANO, T. C., Fruit characterization of 36 cape gooseberry hybrids for identification of potential industrial or fresh consumption uses Revista Colombiana de Ciencias Hortícolas, 15 (2), pp. e12526-e12526. , https://revistas.uptc.edu.co/index.php/ciencias_horticolas/article/view/12526/10449, 2021b. Accessed: Sep. 12, 2022; LAGOS, T. C., Combining ability analysis of some fruit traits of Physalis peruviana L (2007) Agronomía Colombiana, 25 (1), pp. 36-46. , https://revistas.unal.edu.co/index.php/agrocol/article/view/14395/15206, Accessed: Sep. 12, 2022; LAGOS, T. C., Biología reproductiva de la uchuva (2008) Acta Agronómica, 57, pp. 81-88. , https://revistas.unal.edu.co/index.php/acta_agronomica/article/view/1346/1924, Accessed: Sep. 12, 2022; LEIVA-BRONDO, M., Genetic analysis indicate superiority of perfomance of cape goosberry (Physalis peruviana L.) hybrids (2001) Journal of New Seeds, 3 (3), pp. 71-84. , https://www.tandfonline.com/doi/abs/10.1300/J153v03n03_04; Accessed: Sep. 12, 2022; LIBERATO, S. A., Citogenéticade genotipos de uchuva, Physalis peruviana L., y Physalis floridana Rydb., con respuesta diferencial a Fusarium oxysporum (2014) Corpoica. Ciencia y Tecnología Agropecuaria, 15 (1), pp. 51-61. , https://redib.org/Record/oai_articulo2290959-citogen%C3%A9tica-de-genotipos-de-uchuva-physalis-peruviana-l-y-physalis-floridana-rydb-con-respuesta-diferencial-a-fusarium-oxysporum, Accessed: Sep. 12, 2022; LIGARRETO, G., Recursos genéticos del género Physalis en Colombia (2005) Avances en cultivo, poscosecha y exportación de la uchuva, (Physalis peruviana L.) en Colombia, pp. 9-27. , M. et al FISCHER, G. D.; MIRANDA, W. P.; J. ROMERO (Ed). Bogotá: Unibiblos, Facultad de Agronomía, Universidad Nacional de Colombia, 222; LONDOÑO, J., (2013) Physalis peruviana: fruta andina para el mundo: cultivo. recurso genético. agroindustria. normativa y mercado, , (Ed). Madrid: Editorial Académica Española; KUMAR, R., Effect of colchicine treatment on plant growth and floral behaviour in cape gooseberry (Physalis peruviana L.) (2019) Journal of Pharmacognosy and Phytochemistry, 8 (5), pp. 405-411. , https://www.phytojournal.com/archives?year=2019&amp;vol=8&amp;issue=5&amp;ArticleId=9592, Accessed: Sep. 12, 2022; MENZEL, M. Y., The cytotaxonomy and genetics of Physalis (1951) Proceedings of the American Philosophical Society, 95 (2), pp. 132-183. , https://www.jstor.org/stable/3143331, Accessed: Sep. 12, 2022; MIRANDA, C. M., Analysis of the social. productive and governance dimensions of the Physalis peruviana chain: a case study of the Inter-Andean zone in Ecuador (2020) Ciencia &amp; Tecnología Agropecuaria, 21 (2). , https://revistacta.agrosavia.co/index.php/revista/article/view/1304/639, Accessed: Sep. 12, 2022; MORILLO-CORONADO, A. C., Caracterización de la diversidad genética de uchuva (Physalis peruvianaL.) en boyacá (2018) Rev. Bio. Agro. Popayán, 16 (1), pp. 26-33. , https://revistas.unicauca.edu.co/index.php/biotecnologia/article/view/1139/933, June, Accessed: Sep. 12, 2022; NUNEZ ZARANTES, V. M., La tecnología doble haploide en el mejoramiento genético de frutas exóticas: uchuva, Physalis peruviana L., como estudio de caso (2020) Rev. colomb. biotecnol, Bogotá, 22 (1), pp. 3-5. , http://www.scielo.org.co/scielo.php?script=sci_arttext&amp;pid=S0123-34752020000100003&amp;lng=en&amp;nrm=iso, June Accessed: Sep. 13, 2022; OLMSTEAD, R. G., Phylogeny and biogeography in Solanaceae. Verbenaceae and Bignoniaceae: a comparison of continental and intercontinental diversification patterns (2013) Botanical Journal of the Linnean Society, 171 (1), pp. 80-102. , https://academic.oup.com/botlinnean/article/171/1/80/2557483, Accessed: Sep. 12, 2022; (2019) T. J. Horticultural Plant Breeding, , ORTON. Academic Press; OSORIO-GUARÍN, J.A., Association analysis for disease resistance to Fusarium oxysporum in cape gooseberry (Physalis peruviana L) (2016) BMC genomics, 17 (1), p. 248. , https://bmcgenomics.biomedcentral.com/articles/10.1186/s12864-016-2568-7, Accessed: Sep. 12, 2022; PAL, B., In vitro plantlet regeneration from embryos of inter-specific hybrids of cape gooseberry (Physalis peruviana L.) (1993) Indian Journal of Plant Genetic Resources, 6 (1), pp. 37-40. , https://www.indianjournals.com/ijor.aspx?target=ijor:ijpgr&amp;volume=6&amp;issue=1&amp;article=007, Accessed: Sep. 12, 2022; PANDEY, K.K., Genetics of self-incompatibility in Physalis ixocarpa Brot.: a new system (1957) American Journal of Botany, 44, pp. 879-887. , https://www.jstor.org/stable/2438909, Accessed: Sep. 12, 2022; PELÉ, A., Speciation success of polyploid plants closely relates to the regulation of meiotic recombination (2018) Frontiers in plant science, 9, p. 907. , https://www.frontiersin.org/articles/10.3389/fpls.2018.00907/full#:~:text=Speciation%20Success%20of%20Polyploid%20Plants%20Closely%20Relates%20to%20the%20Regulation%20of%20Meiotic%20Recombination,-Alexandre%20Pel%C3%A91&amp;text=Polyploidization%20is%20a%20widespread%20phenomenon,duplication%20during%20their%20evolutionary%20history, Accessed: Sep. 12, 202; PEREIRA, R. C., Stability in chromosome number and DNA content in synthetic tetraploids of Lolium multiflorum after two generations of selection (2017) Ciência Rural, 47 (2). , https://www.scielo.br/j/cr/a/nWcvjsj88wczsdJ9dsWYWth/?format=pdf&amp;lang=en, Accessed: Sep. 12, 2022; PUENTE, L. A., Physalis peruviana Linnaeus. the multiple properties of a highly functional fruit: A review (2011) Food Research International, 44 (7), pp. 1733-1740. , https://www.sciencedirect.com/science/article/abs/pii/S0963996910003571, Accessed: Sep. 12, 2022; RAMÍREZ, F., (2021) DAVENPORT. T. L. Uchuva (Physalis peruviana L.) Reproductive Biology; ROBLEDO-TORRES, V., Development of tomatillo (Physalis ixocarpa Brot.) autotetraploids and their chromosome and phenotypic characterization (2011) Breeding Science, 61 (3), pp. 288-293. , https://www.jstage.jst.go.jp/article/jsbbs/61/3/61_3_288/_article, Accessed: Sep. 12, 2022; RODRÍGUEZ, N. C., BUENO. M. L. Estudio de la diversidad citogenética de Physalis peruviana L. (Solanaceae) (2006) Acta Biologica Colombiana. Bogotá, 11 (2), pp. 75-85. , https://revistas.unal.edu.co/index.php/actabiol/article/view/63322, Accessed: Sep. 12, 2022; SÁNCHEZ BETANCOURT, E. P., (2016) Corpoica Andina: variedad de uchuva para Boyacá, , https://repository.agrosavia.co/bitstream/handle/20.500.12324/11528/80387_66861.pdf?sequence=1&amp;isAllowed=y, Cundinamarca y Antioquia. a. Accessed: Sep. 12, 2022; SÁNCHEZ BETANCOURT, E. P., Corpoica Dorada: variedad de uchuva para Boyacá (2016) Cundinamarca y Antioquia, , https://repository.agrosavia.co/bitstream/handle/20.500.12324/11528/80387_66861.pdf?sequence=1&amp;isAllowed=y, Accessed: Sep. 12, 2022; SATTLER, M. C., The polyploidy and its key role in plant breeding (2016) Planta, 243 (2), pp. 281-296. , https://pubmed.ncbi.nlm.nih.gov/26715561/, Accessed: Sep. 12, 2022; SILVA-JÚNIOR, A. D. S., Divergência genética em espécies e híbridos interespecíficos de Physalis baseada em caracteres morfoagronômicos (2022) Research, Society and Development, 11 (2), p. e4311225464. , https://rsdjournal.org/index.php/rsd/article/view/25464, e4311225464, Accessed: Sep. 12, 2022; SIMBAQUEBA, J., Development and characterization of microsatellite markers for the Cape gooseberry Physalis peruviana (2011) PloS one, 6 (10), p. e26719. , https://journals.plos.org/plosone/article?id=10.1371/journal.pone.0026719, Accessed: Sep. 12, 2022; TAYALÉ, A., PARISOD. C. Natural pathways to polyploidy in plants and consequences for genome reorganization (2013) Cytogenetic and genome research, 140 (2-4), pp. 79-96. , https://pubmed.ncbi.nlm.nih.gov/23751271/, Accessed: Sep. 12, 2022; TREVISANI, N., Growthvariation in reproductive structures of physalis populations (2016) Interciencia; Caracas, 41. , https://www.interciencia.net/wp-content/uploads/2017/10/470-TREVISANI-41-7.pdf, v.7. Jul. a. Accessed: Sep. 12, 2022; TREVISANI, N., Selection of fisális populations for hybridizations based on fruit traits (2016) Revista Brasileira de Fruticultura, 38 (2). , https://www.scielo.br/j/rbf/a/MhhfXRFmZWCVGDrMYWvZtbK/?lang=en, Jaboticabal b. Accessed: Sep. 12, 2022; TREVISANI, N., Mutation induction as a strategy to overcome the restricted genetic base in Physalis (2018) Revista Brasileira de Fruticultura, 40 (3). , https://www.scielo.br/j/rbf/a/ByyTLNDFpG6sjcCZ5nt5Nvf/abstract/?lang=en, Accessed: Sep. 12, 2022; VAN DE PEER, Y., The evolutionary significance of polyploidy (2017) Nature Reviews Genetics, 18 (7), p. 411. , https://pubmed.ncbi.nlm.nih.gov/28502977/, Accessed: Sep. 12, 2022; VEASEY, E. A., Evolutionary processes and the origin of crop plants (2011) Ciência Rural, Santa Maria, 41 (7), pp. 1218-1228. , https://www.scielo.br/j/cr/a/vLd3DxXKLdgdNGkzCh7pZjy/?lang=pt&amp;format=pdf, July, Accessed: Sep. 12, 2022; WHITE, T. L., (2007) Genética florestal, , (Ed). Cabi; WILF, P., Eocene lantern fruits from Gondwanan Patagonia and the early origins of Solanaceae (2017) Science, 355 (6320), pp. 71-75. , https://www.science.org/doi/10.1126/science.aag2737, Accessed: Sep. 12, 2022; WITTMANN, M. T. S., DALL’AGNOL, M., Indução de poliploidia no melhoramento de plantas (2003) Pesquisa Agropecuária Gaúcha, 9 (1), pp. 155-164. , http://www.fepagro.rs.gov.br/upload/1398800287_art17.pdf, Accessed: Sep. 12, 2022</t>
  </si>
  <si>
    <t>Dos Santos, M.; Universidade do Estado de Santa Catarina (UDESC), SC, Brazil; email: mdsantos182@hotmail.com</t>
  </si>
  <si>
    <t>Universidade Federal de Santa Maria</t>
  </si>
  <si>
    <t>Cienc. Rural</t>
  </si>
  <si>
    <t>2-s2.0-85142636620</t>
  </si>
  <si>
    <t>González C.L.B., Leiva M.Á., Torres A., Álvarez S.R.</t>
  </si>
  <si>
    <t>57224678114;57843789500;57844819500;57843536200;</t>
  </si>
  <si>
    <t>Senior Citizens’ Training Experience in Secure Electronic Payment Methods</t>
  </si>
  <si>
    <t>Lecture Notes in Networks and Systems</t>
  </si>
  <si>
    <t>10.1007/978-981-19-1610-6_35</t>
  </si>
  <si>
    <t>https://www.scopus.com/inward/record.uri?eid=2-s2.0-85135923671&amp;doi=10.1007%2f978-981-19-1610-6_35&amp;partnerID=40&amp;md5=d90f362afb45f8115aa3105c5859bd9d</t>
  </si>
  <si>
    <t>Mayor University, Santiago, Chile; University Corporation Comfacauca-Unicomfacauca, Popayán, Colombia</t>
  </si>
  <si>
    <t>González, C.L.B., Mayor University, Santiago, Chile; Leiva, M.Á., Mayor University, Santiago, Chile; Torres, A., University Corporation Comfacauca-Unicomfacauca, Popayán, Colombia; Álvarez, S.R., University Corporation Comfacauca-Unicomfacauca, Popayán, Colombia</t>
  </si>
  <si>
    <t>Virtual training is a mechanism that enables contemporary society to be literate, allowing up-to-date information on the technological environment, improving cognitive abilities as well as soft skills required in the workplace where individuals can develop their maximum performance. The following article presents results obtained in the literacy of older adults of Santiago de Chile, belonging to the Los Andes Compensation Fund in the area of Information Security in Electronic Payment Means, through the application of the alternative action research method under an apprehensive level methodology of the comparative analytical type of quantitative data, oriented in the development of a virtual object that allows to reduce the knowledge gap and lose the fear of the use of technology through the integration of media literacy and informational (MIL) focused on the transmission of updated knowledge and training in technological resources. © 2023, The Author(s), under exclusive license to Springer Nature Singapore Pte Ltd.</t>
  </si>
  <si>
    <t>Andragogy; Computer security; Electronic payment methods; Learning and knowledge technologies (TAC); Media and information literacy (AMI)</t>
  </si>
  <si>
    <t>López Bonilla, L.M., López Bonilla, J.M., Models of adopting information technologies from the attitudinal paradigm (2011) Cad. EBAPE.BR, 9 (1), pp. 176-196. , https://doi.org/10.1590/S1679-39512011000100011; Azofeifa Bolaños, J.B., Evolución conceptual e importancia de la andragogía para la optimización del alcance de los programas y proyectos académicos universitarios de desarrollo rural (2017) Rev. Electrónica Educ. (Educare Electron. Journal), 21 (1), pp. 1-16. , https://doi.org/10.15359/ree.21-1.23; Stuart, T.A., Ye, S.Y., Computer Simulation of IGBT losses in PFC circuit (1994) IEEE Workshop on Computers in Power Electronics, 1994, pp. 85-90. , , pp; Stuart, T.A., Ye, S.Y., Computer Simulation of IGBT losses in PFC circuit (1994) IEEE Workshop on Computers in Power Electronics, 1994, pp. 85-90. , , pp; Stuart, T.A., Ye, S.Y., Computer Simulation of IGBT losses in PFC circuit (1994) IEEE Workshop on Computers in Power Electronics, 1994, pp. 85-90. , , pp; Stuart, T.A., Ye, S.Y., Computer Simulation of IGBT losses in PFC circuit (1994) IEEE Workshop on Computers in Power Electronics, 1994, pp. 85-90. , , pp; Welch, S., Comer, J., (1988) Quantitative Methods for Public Administration: Techniques and Applications, , 2nd edn. Ill Dorsey Press, Chicago; Galvis Panqueva, A.H., Del Pedraza Vega, L.C., Desafíos del eLearning y del bLearning en educación superior: Análisis de buenas prácticas en instituciones líderes (2013) Cent. Innovación En Tecnol. Y Educ. – Univ. Los Andes., P, 48 (Online). , https://conectate.uniandes.edu.co/images/pdf/desafios_conectate.pdf; Stuart, T.A., Ye, S.Y., Computer Simulation of IGBT losses in PFC circuit (1994) IEEE Workshop on Computers in Power Electronics, 1994, pp. 85-90. , , pp; Stuart, T.A., Ye, S.Y., Computer Simulation of IGBT losses in PFC circuit (1994) IEEE Workshop on Computers in Power Electronics, 1994, pp. 85-90. , , pp; Sánchez Domenech, I., Rubia Avi, M., ¿Es posible la reconstrucción de la teoría de la educación de personas adultas integrando las perspectivas humanistas, críticas y postmodernas ? (2017) Rev Electrónica Educ, 21 (2), pp. 1-26. , https://doi.org/10.15359/ree.21-2.23; Stuart, T.A., Ye, S.Y., Computer Simulation of IGBT losses in PFC circuit (1994) IEEE Workshop on Computers in Power Electronics, 1994, pp. 85-90. , , pp; Organizaciones de las NAciones Unidad para la Educación, la Ciencia y la Cultura (UNESCO) (2008) La UNESCO Y La Declaración Universal De Derechos Humanos, , https://es.unesco.org/udhr; Stuart, T.A., Ye, S.Y., Computer Simulation of IGBT losses in PFC circuit (1994) IEEE Workshop on Computers in Power Electronics, 1994, pp. 85-90. , , pp; Morales Pacavita, O.S., Leguizamón González, M.C., Teoría andragógica: Aciertos y desaciertos en la formación docente en tic (2018) Rev. Investig. Y Pedagog. Maest. En Educ. Uptc, 9, pp. 161-181. , https://doi.org/10.19053/22160159.v9.n19.2018.7926; Galán Figueroa, J., Venegas Martínez, F., Impacto de los medios electrónicos de pago sobre la demanda de dinero (2016) Investig Económica, 75 (295), pp. 93-124. , https://doi.org/10.1016/j.inveco. 2016.03.003; Alves P (2020) Mastercard. Encuesta Mastercard: 63% De Los Chilenos Quisiera Poder Realizar Pagos En Tiempo Real, , https://www.mastercard.com/news/latin-america/es/sala-de-prensa/com unicados-de-prensa/pr-es/2020/junio/encuesta-mastercard-63-de-los-chilenos-quisiera-poder-realizar-pagos-en-tiempo-real/; Hernández Sampieri, R., Fernández Collado, C., Del Baptista Lucio, M.P., (2005) Metodología De La Investigación. Mexico, p. V. , McGRAW-HILL / INTERAMERICANA EDITORES, S.A. DE C; Stuart, T.A., Ye, S.Y., Computer Simulation of IGBT losses in PFC circuit (1994) IEEE Workshop on Computers in Power Electronics, 1994, pp. 85-90. , , pp; Plaza Arias, J.L., (2021) Ambiente Virtual De Aprendizaje Para La Formación En Seguridad Informática</t>
  </si>
  <si>
    <t>González, C.L.B.; Mayor UniversityChile; email: clara.burbano@umayor.cl</t>
  </si>
  <si>
    <t>Yang X.-S.Sherratt S.Dey N.Joshi A.</t>
  </si>
  <si>
    <t>Springer Science and Business Media Deutschland GmbH</t>
  </si>
  <si>
    <t>7th International Congress on Information and Communication Technology, ICICT 2022</t>
  </si>
  <si>
    <t>21 February 2022 through 24 February 2022</t>
  </si>
  <si>
    <t>Lect. Notes Networks Syst.</t>
  </si>
  <si>
    <t>2-s2.0-85135923671</t>
  </si>
  <si>
    <t>Massa R., Vilalta C., Fondevila G.</t>
  </si>
  <si>
    <t>57195320798;26659260500;56000740200;</t>
  </si>
  <si>
    <t>How to periodize a violent conflict: A proposal using the case of Mexico</t>
  </si>
  <si>
    <t>International Journal of Social Research Methodology</t>
  </si>
  <si>
    <t>10.1080/13645579.2022.2026131</t>
  </si>
  <si>
    <t>https://www.scopus.com/inward/record.uri?eid=2-s2.0-85122884059&amp;doi=10.1080%2f13645579.2022.2026131&amp;partnerID=40&amp;md5=ec09298b01dab615e14203a844d5cdcd</t>
  </si>
  <si>
    <t>Centro de Investigacion y Docencia Economicas (CIDE), National Laboratory of Public Policy, Carretera México-Toluca 3655 Col. Lomas De Santa Fe, Mexico City, 01210, Mexico; CONACYT-CIDE, Interdisciplinary Program for Studies in Regulation and Economic Competition (PIRCE), Mexico City, Mexico; Center for Research in Geospatial Information Sciences (Centrogeo), Mexico City, Mexico; Centro de Investigacion y Docencia Economicas (CIDE), Division of Legal Studies, Mexico City, Mexico</t>
  </si>
  <si>
    <t>Massa, R., Centro de Investigacion y Docencia Economicas (CIDE), National Laboratory of Public Policy, Carretera México-Toluca 3655 Col. Lomas De Santa Fe, Mexico City, 01210, Mexico, CONACYT-CIDE, Interdisciplinary Program for Studies in Regulation and Economic Competition (PIRCE), Mexico City, Mexico; Vilalta, C., Center for Research in Geospatial Information Sciences (Centrogeo), Mexico City, Mexico; Fondevila, G., Centro de Investigacion y Docencia Economicas (CIDE), Division of Legal Studies, Mexico City, Mexico</t>
  </si>
  <si>
    <t>The definition of what constitutes a conflict, in terms of both time and events, has been consistently debated in the historical study of social phenomena. What has become increasingly clear, however, is that the methods used to define it are generally biased as they are highly dependent on the perceptions of the researchers who establish them. Using Mexico as a case study, we tested a data-driven method for periodizing long-term homicide trends. We found structural break analysis and Markov-switching regression modelling to be useful methods for periodizing long-term time series data of homicide rates, without an a priori or skewed definition. We also found that the current trend of increasing homicidal violence may prove difficult to reverse given that historical structural shifts in Mexican homicidal violence are unlikely events in the long term. © 2022 Informa UK Limited, trading as Taylor &amp; Francis Group.</t>
  </si>
  <si>
    <t>Conflict periodization; homicide rate; Markov-switching; structural break analysis; time series</t>
  </si>
  <si>
    <t>Jung, D., (2002) Shadow globalization, ethnic conflicts and new wars: A political economy of intra-state war, , Routledge, (Ed; Ascher, W., Mirovitskaya, N., (2016) Economic development strategies and the evolution of violence in Latin America, , Springer, &amp;, (Eds; Alston, L.J., Libecap, G.D., Mueller, B., Land reform policies, the sources of violent conflict, and implications for deforestation in the Brazilian Amazon (2000) Journal of Environmental Economics and Management, 39 (2), pp. 162-188. , https://doi.org/; Arredondo, J., (2012) Mapping violence homicides trends in Mexico and Brazil 1990–2010, , University of California; Ayala, J.F., La emergencia de la oposición política en México, 1949–1952. Dos propuestas de reforma electoral (2017) Historia y Memoria, 14 (14), pp. 127-165. , https://doi.org/; Bai, J., Perron, P., Estimating and testing linear models with multiple structural changes (1998) Econometrica, 66 (1), pp. 47-78. , https://doi.org/; Bai, J., Perron, P., Computation and analysis of multiple structural change models (2003) Journal of Applied Econometrics, 18 (1), pp. 1-22. , https://doi.org/; Bardhan, P., Method in the madness? A political-economy analysis of the ethnic conflicts in less developed countries (1997) World Development, 25 (9), pp. 1381-1398. , https://doi.org/; Batton, C., Jensen, G., Decommodification and homicide rates in the 20th-century United States (2002) Homicide Studies, 6 (1), pp. 6-38. , https://doi.org/; Bergman, M., Fondevila, G., (2021) Prisons and crime in Latin America, , Cambridge University Press; Bergman, M., (2018) Illegal drugs, drug trafficking and violence in Latin America, , Springer; Besley, T., Persson, T., The logic of political violence (2011) The Quarterly Journal of Economics, 126 (3), pp. 1411-1445. , https://doi.org/; Brown, G., Langer, A., Stewart, F., A typology of post-conflict environments (2011) CRPD Working Paper, 1, pp. 1-22. , http://www.kuleuven.be/crpd; Brubaker, R., Laitin, D.D., Ethnic and nationalist violence (1998) Annual Review of Sociology, 24 (1), pp. 423-452. , https://doi.org/; Brunborg, H., Lyngstad, T.H., Urdal, H., Accounting for genocide: How many were killed in Srebrenica? (2003) European Journal of Population/Revue européenne de démographie, 19 (3), pp. 229-248. , https://doi.org/; Buhaug, H., Gates, S., The geography of civil war (2002) Journal of Peace Research, 39 (4), pp. 417-433. , https://doi.org/; Burnham, G., Lafta, R., Doocy, S., Roberts, L., Mortality after the 2003 invasion of Iraq: A cross-sectional cluster sample survey (2006) The Lancet, 368 (9545), pp. 1421-1428. , https://doi.org/; Cano, I., Rojido, E., Introducción: La singularidad de la violencia letal en América Latina/Introduction: The singularity of lethal violence in Latin America (2017) Revista CIDOB d'afers internacionals, pp. 7-24. , http://www.jstor.org/stable/26379138; Ceceña, J.L., Economía política y política económica: Consideraciones generales en torno a la economía política, a la situación económica y a la política económica (1978) Problemas del Desarrollo, Revista Latinoamericana de Economía, 14 (55), pp. 180-221. , https://doi.org/; Chew Sánchez, M., Limas Hernández, A., Periodization of Feminicide in Cd (2020) Juárez, Journal of Liberal Arts and Humanities, 1 (10), pp. 17-30. , https://jlahnet.com/archive/; Collier, P., Hoeffler, A., (2004) Murder by numbers: Socio-economic determinants of homicide and civil war: Vol. WPS/2004-10, , Centre for the Study of African Economies (CSAE; Collier, P., Hoeffler, A., Söderbom, M., On the duration of civil war (2004) Journal of Peace Research, 41 (3), pp. 253-273. , https://doi.org/; Correa-Cabrera, G., Keck, M., Nava, J., Losing the monopoly of violence: The state, a drug war and the paramilitarization of organized crime in Mexico (2007–10) (2015) State Crime Journal, 4 (1), pp. 77-95. , https://doi.org/; Cruz, J.M., Kloppe-Santamaría, G., Determinants of support for extralegal violence in Latin America and the Caribbean (2019) Latin American Research Review, 54 (1), pp. 50-68. , https://doi.org/; Davenport, C., Ball, P., Views to a kill: Exploring the implications of source selection in the case of Guatemalan state terror, 1977–1995 (2002) Journal of Conflict Resolution, 46 (3), pp. 427-450. , https://doi.org/; Dávila-Cervantes, C.A., Agudelo-Botero, M., Gómez-Dantés, H., Trends and differences in homicide mortality in Colombia and Mexico, 1990-2016: Two realities, one problem (2019) Journal of Interpersonal Violence, 36 (17-18), pp. 7962-7977. , https://doi.org/; De Boer, J., Bosetti, L., The crime-conflict “nexus”: State of the evidence (2015) Occasional Paper, 5 (9), pp. 1-25. , https://cpr.unu.edu/; Demmers, J., (2016) Theories of violent conflict: An introduction, , Routledge; Diamint, R., A new militarism in Latin America (2015) Journal of Democracy, 26 (4), pp. 155-168. , https://doi.org/; Dickey, D.A., Fuller, W.A., Likelihood ratio statistics for autoregressive time series with a unit root (1981) Econometrica, 49 (4), pp. 1057-1072. , https://doi.org/; Dillbeck, M.C., Cavanaugh, K.L., Societal violence and collective consciousness: Reduction of US homicide and urban violent crime rates (2016) SAGE Open, 6 (2). , 215824401663789, https://doi.org/; Eisner, M., Long-Term historical trends in violent crime (2003) Crime and Justice, 30, pp. 83-142. , https://doi.org/; Eisner, M., From swords to words: Does macro-level change in self-control predict long-term variation in levels of homicide? (2014) Crime and Justice, 43 (1), pp. 65-134. , https://doi.org/; Farrell, G., Five tests for a theory of the crime drop (2013) Crime Science, 2 (5). , 1–8, https://doi.org/; Fearon, J.D., Why do some civil wars last so much longer than others? (2004) Journal of Peace Research, 41 (3), pp. 275-301. , https://doi.org/; Garcia Filho, C., Sampaio, J.J.C., Interfaces entre a história da violência e a constituição do território no Ceará: um esforço de síntese e periodização (2014) Saúde e Sociedade, 23 (4), pp. 1209-1221. , https://doi.org/; Glebbeek, M.L., Koonings, K., Between Morro and Asfalto. Violence, insecurity and socio-spatial segregation in Latin American cities (2016) Habitat International, 54, pp. 3-9. , 1, https://doi.org/; Gleditsch, N.P., Wallensteen, P., Eriksson, M., Sollenberg, M., Strand, H., Armed conflict 1946–2001: A new dataset (2002) Journal of Peace Research, 39 (5), pp. 615-637. , https://doi.org/; González-Pérez, G.J., Vega-López, M.G., Cabrera-Pivaral, C.E., Vega-Lopez, A., P1-432 Violence and health: An epidemiological analysis of Homicides in México, 1979–2008 (2011) Journal of Epidemiology and Community Health, 65, p. A187. , https://doi.org/; González-Pérez, G.J., Vega-López, M.G., Cabrera-Pivaral, C.E., Impact of Homicide on male life expectancy in Mexico (2012) Revista Panamericana de Salud Publica=Pan American Journal of Public Health, 32 (5), pp. 335-342. , https://doi.org/; Gouda, F., Smith, P.H., Famine, crime, and gender in nineteenth century France: Explorations in time series analysis (1983) Historical Methods: A Journal of Quantitative and Interdisciplinary History, 16 (2), pp. 59-73. , https://doi.org/; Green, W.A., Periodization in European and World History (1992) Journal of World History, 3 (1), pp. 13-53. , https://www.jstor.org/stable/20078511; Greenberg, D.F., Time series analysis of crime rates (2001) Journal of Quantitative Criminology, 17 (4), pp. 291-327. , https://doi.org/; Griffin, L.J., Isaac, L.W., Recursive regression and the historical use of ‘Time’ in Time series analysis of historical process (1992) Historical Methods: A Journal of Quantitative and Interdisciplinary History, 25 (4), pp. 166-179. , https://doi.org/; Hathazy, P., Müller, M.M., The rebirth of the prison in Latin America: Determinants, regimes and social effects (2016) Crime, Law, and Social Change, 65 (3), pp. 113-135. , https://doi.org/; Haydu, J., Making use of the past: Time periods as cases to compare and as sequences of problem solving (1998) American Journal of Sociology, 104 (2), pp. 339-371. , https://doi.org/; Heaton, H., Criteria of periodization in economic history (1955) The Journal of Economic History, 15 (3), pp. 267-272. , https://doi.org/; Hoddie, M., Hartzell, C., Civil war settlements and the implementation of military power-sharing arrangements (2003) Journal of Peace Research, 40 (3), pp. 303-320. , https://doi.org/; Ingram, M.C., Marchesini Da Costa, M., A spatial analysis of homicide across Brazil’s municipalities (2017) Homicide Studies, 21 (2), pp. 87-110. , https://doi.org/; Koonings, K., Kruijt, D., (2015) Violence and resilience in Latin American Cities, , Zed; Kwiatkowski, D., Phillips, P.C.B., Schmidt, P., Shin, Y., Testing the null hypothesis of stationarity against the alternative of a unit root: How sure are we that economic time series have a unit root? (1992) Journal of Econometrics, 54 (1-3), pp. 159-178. , https://doi.org/; Kynoch, G., Crime, conflict and politics in transition-era South Africa (2005) African Affairs, 104 (416), pp. 493-514. , https://doi.org/; Lacombe, D.J., Flores, M., A hierarchical SLX model application to violent crime in Mexico (2017) The Annals of Regional Science, 58 (1), pp. 119-134. , https://doi.org/; Lawrence, A., Triggering nationalist violence: Competition and conflict in uprisings against colonial rule (2010) International Security, 35 (2), pp. 88-122. , https://doi.org/; Lee, R.M., Stanko, E., Stanko, E.A., (2014) Researching violence: Methodology and measurement, , Routledge; Leenen, I., Cervantes-Trejo, A., Temporal and geographic trends in homicide and suicide rates in Mexico, from 1998 through 2012 (2014) Aggression and Violent Behavior, 19 (6), pp. 699-707. , https://doi.org/; McDowall, D., Loftin, C., Are US crime rate trends historically contingent? (2005) Journal of Research in Crime and Delinquency, 42 (4), pp. 359-383. , https://doi.org/; Mesquida, C., Weiner, N., Male age composition and conflict severity (1999) Politics and the Life Sciences, 18 (2), pp. 181-189. , https://doi.org/; Mitchell, C., (1981) The structure of international conflict, , Macmillan; Moody, C.E., Firearms and the decline of violence in Europe: 1200–2010 (2017) Review of European Studies, 9 (2), p. 53. , https://doi.org/; Morris, S.D., Passe-Smith, J., What a difference a crisis makes (2001) NAFTA, Mexico and the United States, Latin American Perspectives, 28 (8). , 124–149, https://doi.org/; Most, B.A., Starr, H., Diffusion, Reinforcement, geopolitics, and the spread of war (1980) American Political Science Review, 74 (4), pp. 932-946. , https://doi.org/; Mueller, J., The perfect enemy: Assessing the Gulf War (1995) Security Studies, 5 (1), pp. 77-117. , https://doi.org/; Muggah, R., Tobón, K.A., (2018) Citizen security in Latin America: Facts and figures, , Igarape Institute; Müller, M.M., The rise of the penal state in Latin America (2012) Contemporary Justice Review, 15 (1), pp. 57-76. , https://doi.org/; Müller, M.M., Governing crime and violence in Latin America (2018) Global Crime, 19 (3-4), pp. 171-191. , https://doi.org/; (SINAIS, as per its Spanish acronym) (2019) Mortality figures, , http://www.dgis.salud.gob.mx/contenidos/sinais/subsistema1.html; Geography and Information (INEGI, as per its Spanish acronym) (2019) Statistical Yearbooks and Homicide Deaths Database, , https://www.inegi.org.mx/datos/; Nivette, A.E., Institutional ineffectiveness, illegitimacy, and public support for vigilantism in Latin America (2016) Criminology, 54 (1), pp. 142-175. , https://doi.org/; Pearce, J., Perverse state formation and securitized democracy in Latin America (2010) Democratization, 17 (2), pp. 286-306. , https://doi.org/; Pearce, J., Authoritarian and resistant citizenship: Contrasting logics of violence diffusion and control in Latin America (2017) The transformation of citizenship: Struggles, resistance, and violence, pp. 137-156. , Mackert J., Turner B.S., (eds), Routledge,. (Eds; Phillips, B.J., How does leadership decapitation affect violence? The case of drug trafficking organizations in Mexico (2015) The Journal of Politics, 77 (2), pp. 324-336. , https://doi.org/; Phillips, M.D., Time series applications to intelligence analysis: A case study of Homicides in Mexico (2016) Intelligence and National Security, 31 (5), pp. 729-745. , https://doi.org/; Phillips, P.C.B., Perron, P., Testing for a unit root in time series regression (1988) Biometrika, 75 (2), pp. 335-346. , https://doi.org/; Piccato, P., (2001) City of suspects: Crime in Mexico City 1900–1931, , Duke Univ. Press; Piccato, P., Comments: How to build a perspective on the recent past (2013) Journal of Iberian and Latin American Research, 19 (1), pp. 91-102. , https://doi.org/; Pinker, S., (2011) The better angels of our nature: The decline of violence in history and its causes, , UK; Restrepo, J.A., (2008) A methodology for the measurement and analysis of civil conflicts with application to the case of Colombia, , Doctoral dissertation, University of London; Roberts, A., LaFree, G., Explaining Japan’s Postwar violent crime trends (2004) Criminology, 42 (1), pp. 179-210. , https://doi.org/; Roberts, L., Lafta, R., Garfield, R., Khudhairi, J., Burnham, G., Mortality before and after the 2003 invasion of Iraq: Cluster sample survey (2004) The Lancet, 364 (9448), pp. 1857-1864. , https://doi.org/; Sagrestano, L.M., Heavey, C.L., Christenson, A., Perceived power and physical violence in marital conflict (1999) Journal of Social Issues, 55 (1), pp. 65-79. , https://doi.org/; Said, S.E., Dickey, D.A., Testing for unit roots in autoregressive-moving average models of unknown order (1984) Biometrika, 71 (3), pp. 599-607. , https://doi.org/; Santamaría, G., Carey, D., (2017) Violence and crime in Latin America: Representations and politics, , University of Oklahoma Press; Saridakis, G., Violent crime in the United States of America: A time series analysis between 1960–2000 (2004) European Journal of Law and Economics, 18 (2), pp. 203-221. , https://doi.org/; Schatz, S., The Mexican Judiciary &amp; the prosecution of organized crime: The long road ahead (2011) Trends in Organized Crime, 14 (4), pp. 347-360. , https://doi.org/; Schmidt, B., Schröder, I., (2001) Anthropology of violence and conflict, , Routledge; Shirk, D., Wallman, J., Understanding Mexico’s drug violence (2015) Journal of Conflict Resolution, 59 (8), pp. 1348-1376. , https://doi.org/; Shrader, E., (1999) Methodologies to measure the gender dimensions of crime and violence, , The World Bank, https://doi.org/; Stowell, J.I., Messner, S.F., McGeever, K.F., Raffalovich, L.E., Immigration and the recent violent crime drop in the United States: A pooled, cross-sectional time series analysis of Metropolitan areas (2009) Criminology, 47 (3), pp. 889-928. , https://doi.org/; Trinkunas, H., Clunan, A., Alternative governance in Latin America (2016) Routledge handbook of Latin American security, , Mares D.R., Kacowicz A.M., (eds), Routledge, &amp;,. (Eds.),. 121–132; Ungar, M., The privatization of citizen security in Latin America: From elite guards to neighborhood vigilantes (2007) Social Justice, 34, pp. 20-37. , https://www.jstor.org/stable/29768462, 3/4109–110; Vilalta, C.J., Castillo, J., Torres, J.A., (2016) Violent crime in Latin American cities, , Inter-American Development Bank; Vilalta, C., Anomia Institucional, Espacialidad y Temporalidad En Las Muertes Asociadas a La Lucha Contra La Delincuencia Organizada En México (2013) Mexican Studies/Estudios Mexicanos, 29 (1), pp. 280-319. , https://doi.org/; Vilalta, C., How did things get so bad so quickly? An assessment of the initial conditions of the war against organized crime in Mexico (2014) European Journal on Criminal Policy and Research, 20 (1), pp. 137-161. , https://doi.org/; Vilalta, C., Violence in Latin America: An overview of research and issues (2020) Annual Review of Sociology, 46 (1), pp. 693-706. , https://doi.org/; Wikström, P.O.H., Cross-National comparisons and context-specific trends in criminal homicide (1991) Journal of Crime and Justice, 14 (2), pp. 71-95. , https://doi.org/; Willis, G.D., Before the body count: Homicide statistics and everyday security in Latin America (2017) Journal of Latin American Studies, 49 (1), p. 29. , https://doi.org/; Yamaguchi, K., (1991) Event history analysis, , Sage; Zdun, S., Difficulties measuring and controlling Homicide in Rio de Janeiro (2011) International Journal of Conflict and Violence, 5 (1), pp. 188-199. , https://doi.org/; Zeileis, A., Leisch, F., Hornik, K., Kleiber, C., strucchange: An R package for testing for structural change in linear regression models (2002) Journal of Statistical Software, 7 (2), pp. 1-38. , https://doi.org/</t>
  </si>
  <si>
    <t>Massa, R.Carretera México-Toluca 3655 Col. Lomas De Santa Fe, Mexico; email: ricardo.massa@cide.edu</t>
  </si>
  <si>
    <t>Routledge</t>
  </si>
  <si>
    <t>Int. J. Soc. Res. Methodol.</t>
  </si>
  <si>
    <t>2-s2.0-85122884059</t>
  </si>
  <si>
    <t>All Open Access, Bronze</t>
  </si>
  <si>
    <t>All Open Access, Hybrid Gold</t>
  </si>
  <si>
    <t>American Physical Society</t>
  </si>
  <si>
    <t>All Open Access, Green</t>
  </si>
  <si>
    <t>Becerra, D.; Grupo de Catálisis de la UPTC, Avenida Central del Norte 39-115, Colombia; email: diana.becerra08@uptc.edu.co</t>
  </si>
  <si>
    <t>Scientific Reports</t>
  </si>
  <si>
    <t>Nature Research</t>
  </si>
  <si>
    <t>Sci. Rep.</t>
  </si>
  <si>
    <t>Muñoz-Castiblanco T., de la Parra L.S.M., Peña-Cañón R., Mejía-Giraldo J.C., León I.E., Puertas-Mejía M.Á.</t>
  </si>
  <si>
    <t>57219936654;58000193400;57999972300;56901298600;56261093400;24471673600;</t>
  </si>
  <si>
    <t>Anticancer and Antioxidant Activity of Water-Soluble Polysaccharides from Ganoderma aff. australe against Human Osteosarcoma Cells</t>
  </si>
  <si>
    <t>International Journal of Molecular Sciences</t>
  </si>
  <si>
    <t>10.3390/ijms232314807</t>
  </si>
  <si>
    <t>https://www.scopus.com/inward/record.uri?eid=2-s2.0-85143682453&amp;doi=10.3390%2fijms232314807&amp;partnerID=40&amp;md5=ae4af6e51ca0305bc0317120a3d90e8d</t>
  </si>
  <si>
    <t>Grupo de Investigación en Compuestos Funcionales, Facultad de Ciencias Exactas y Naturales, Universidad de Antioquia (UdeA), Calle 70 No. 52-21, Medellín, 050010, Colombia; Centro de Química Inorgánica, (CEQUINOR UNLP, CCT-CONICET La Plata, Asociado a CIC), Departamento de Química, Facultad de Ciencias Exactas, Universidad Nacional de La Plata, Blvd. 120 No. 1465, La Plata, 1900, Argentina; Grupo de Investigación Biología para la Conservación, Escuela de Ciencias Biológicas, Facultad de Ciencias Básicas, Universidad Pedagógica y Tecnológica de Colombia, Avenida Central del Norte 39-115, Tunja, 150003, Colombia; Facultad de Ciencias Farmacéuticas y Alimentarias, Universidad de Antioquia (UdeA), Calle 70 No. 52-21, Medellín, 050010, Colombia; Cátedra de Fisiopatología, Departamento de Ciencias Biológicas, Facultad de Ciencias Exactas, Universidad Nacional de La Plata, 47 y 115, La Plata, 1900, Argentina</t>
  </si>
  <si>
    <t>Muñoz-Castiblanco, T., Grupo de Investigación en Compuestos Funcionales, Facultad de Ciencias Exactas y Naturales, Universidad de Antioquia (UdeA), Calle 70 No. 52-21, Medellín, 050010, Colombia; de la Parra, L.S.M., Centro de Química Inorgánica, (CEQUINOR UNLP, CCT-CONICET La Plata, Asociado a CIC), Departamento de Química, Facultad de Ciencias Exactas, Universidad Nacional de La Plata, Blvd. 120 No. 1465, La Plata, 1900, Argentina; Peña-Cañón, R., Grupo de Investigación Biología para la Conservación, Escuela de Ciencias Biológicas, Facultad de Ciencias Básicas, Universidad Pedagógica y Tecnológica de Colombia, Avenida Central del Norte 39-115, Tunja, 150003, Colombia; Mejía-Giraldo, J.C., Grupo de Investigación en Compuestos Funcionales, Facultad de Ciencias Exactas y Naturales, Universidad de Antioquia (UdeA), Calle 70 No. 52-21, Medellín, 050010, Colombia, Facultad de Ciencias Farmacéuticas y Alimentarias, Universidad de Antioquia (UdeA), Calle 70 No. 52-21, Medellín, 050010, Colombia; León, I.E., Centro de Química Inorgánica, (CEQUINOR UNLP, CCT-CONICET La Plata, Asociado a CIC), Departamento de Química, Facultad de Ciencias Exactas, Universidad Nacional de La Plata, Blvd. 120 No. 1465, La Plata, 1900, Argentina, Cátedra de Fisiopatología, Departamento de Ciencias Biológicas, Facultad de Ciencias Exactas, Universidad Nacional de La Plata, 47 y 115, La Plata, 1900, Argentina; Puertas-Mejía, M.Á., Grupo de Investigación en Compuestos Funcionales, Facultad de Ciencias Exactas y Naturales, Universidad de Antioquia (UdeA), Calle 70 No. 52-21, Medellín, 050010, Colombia</t>
  </si>
  <si>
    <t>Wild mushrooms have gained great importance for being a source of biologically active compounds. In this work, we evaluate the anticancer and antioxidant activity of a water-soluble crude polysaccharide extract isolated from the fruiting bodies of the Ganoderma aff. australe (GACP). This mushroom was collected in San Mateo (Boyacá, Colombia) and identified based on macroscopic and microscopic characterization. GACP was characterized by UV–Vis spectroscopy, Fourier-transform infrared spectroscopy, high-performance liquid chromatography–diode array detector, and nuclear magnetic resonance. The antiradical and antioxidant activity were evaluated by different methods and its anticancer activity was verified in the osteosarcoma MG-63 human cell line. Chemical and spectroscopic analysis indicated that GACP consisted of β-D-Glcp-(1→, →3)-β-D-Glcp-(1→ and α-D-Glcp-(1→ residues. The results of the biological activity showed that GACP exhibited high antioxidant activity in the different methods and models studied. Moreover, the results showed that GACP impaired cell viability (3-(4,5-dimethylthiazol-2-yl)-2,5-diphenyltetrazolium bromide (MTT) assay) and cell proliferation (clonogenic assay) in a dose–response manner on MG-63 cells. The findings of this work promote the use of mushroom-derived compounds as anticancer and antioxidant agents for potential use in the pharmaceutical and food industries. © 2022 by the authors.</t>
  </si>
  <si>
    <t>anticancer activity; antioxidant activity; G. aff. australe; MG-63 cells; mushrooms; osteosarcoma; polysaccharides</t>
  </si>
  <si>
    <t>Consejo Nacional de Investigaciones Científicas y Técnicas, CONICET: PIP 2051; Agencia Nacional de Promoción Científica y Tecnológica, ANPCyT: PICT 2019-2322; Universidad Nacional de La Plata, UNLP: X053; Universidad de Antioquia, UdeA: SIIU 2019-25210</t>
  </si>
  <si>
    <t>This research was partly funded by Universidad Nacional de La Plata (UNLP, Grant X053), Consejo Nacional de Investigaciones Científicas y Técnicas (CONICET, PIP 2051) and Agencia Nacional de Promoción Científica y Tecnológica (ANPCyT, PICT 2019-2322) from Argentina. Also, this research was partially funded by Universidad de Antioquia (UdeA, SIIU 2019-25210). The APC was funded by Universidad de Antioquia.</t>
  </si>
  <si>
    <t>Agudelo-Valencia, D., Uribe-Echeverry, P.T., Betancur-Pérez, J.F., De novo assembly and annotation of the Ganoderma australe genome (2020) Genomics, 112, pp. 930-933. , 31175979; Soliman, A., Abdelbary, S., Yonus, A., Abdelghany, T., Trends in assessment of Ganoderma lucidum methanol extract against MRSA infection in vitro and in vivo with nutrition support (2022) J. Adv. Pharm. Res, 6, pp. 46-57; Peña-Cañón, E.R., Enao-Mejía, L.G., Conocimiento y uso tradicional de hongos silvestres de las comunidades campesinas asociadas a bosques de roble (Quercus humboldtii) en la zona de influencia de la Laguna de Fúquene, Andes Nororientales (2014) Etnobiologia, 12, pp. 28-40; López-Legarda, X., Arboleda-Echavarría, C., Parra-Saldívar, R., Rostro-Alanis, M., Alzate, J.F., Villa-Pulgarín, J.A., Segura-Sánchez, F., Biotechnological production, characterization and in vitro antitumor activity of polysaccharides from a native strain of Lentinus crinitus (2020) Int. J. Biol. Macromol, 164, pp. 3133-3144. , 32860792; López-Legarda, X., Rostro-Alanis, M., Parra-Saldivar, R., Villa-Pulgarín, J.A., Segura-Sánchez, F., Submerged cultivation, characterization and in vitro antitumor activity of polysaccharides from Schizophyllum radiatum (2021) Int. J. Biol. Macromol, 186, pp. 919-932. , 34280450; Ferreira, I.C.F.R., Heleno, S.A., Reis, F.S., Stojkovic, D., Queiroz, M.J.R.P., Vasconcelos, M.H., Sokovic, M., Chemical features of Ganoderma polysaccharides with antioxidant, antitumor and antimicrobial activities (2015) Phytochemistry, 114, pp. 38-55; Wang, Q., Niu, L.L., Liu, H.P., Wu, Y.R., Li, M.Y., Jia, Q., Structural characterization of a novel polysaccharide from Pleurotus citrinopileatus and its antitumor activity on H22 tumor-bearing mice (2021) Int. J. Biol. Macromol, 168, pp. 251-260; Wang, W., Li, X., Chen, K., Yang, H., Jialengbieke, B., Hu, X., Extraction optimization, characterization and the antioxidant activities in vitro and in vivo of polysaccharide from Pleurotus ferulae (2020) Int. J. Biol. Macromol, 160, pp. 380-389. , 32446895; Gu, J., Zhang, H., Wen, C., Zhang, J., He, Y., Ma, H., Duan, Y., Purification, characterization, antioxidant and immunological activity of polysaccharide from Sagittaria sagittifolia L (2020) Food Res. Int, 136, p. 109345; Garcia, J., Rodrigues, F., Saavedra, M.J., Nunes, F.M., Marques, G., Bioactive polysaccharides from medicinal mushrooms: A review on their isolation, structural characteristics and antitumor activity (2022) Food Biosci, 49, p. 101955; Xie, L., Shen, M., Hong, Y., Ye, H., Huang, L., Xie, J., Chemical modifications of polysaccharides and their anti-tumor activities (2020) Carbohydr. Polym, 229, p. 115436. , 31826393; Mingyi, Y., Belwal, T., Devkota, H.P., Li, L., Luo, Z., Trends of utilizing mushroom polysaccharides (MPs) as potent nutraceutical components in food and medicine: A comprehensive review (2019) Trends Food Sci. Technol, 92, pp. 94-110; Mateu-Sanz, M., Tornín, J., Brulin, B., Khlyustova, A., Ginebra, M.P., Layrolle, P., Canal, C., Cold plasma-treated ringer’s saline: A weapon to target osteosarcoma (2020) Cancers, 12. , 31963398; Mateu-sanz, M., Tornin, J., Ginebra, M., Canal, C., Cold Atmospheric Plasma: A new strategy based primarily on oxidative stress for Osteosarcoma therapy (2021) J. Clin. Med, 10; Sun, Z., Huang, K., Li, H., Fu, X., Cui, Y., Zhou, Z., A chemically sulfated polysaccharide derived from Ganoderma lucidum induces mitochondrial-mediated apoptosis in human osteosarcoma MG63 cells (2014) Tumor. Biol, 35, pp. 9919-9926; Zhao, X., Ma, S., Liu, N., Liu, J., Wang, W., A polysaccharide from Trametes robiniophila Murrill induces apoptosis through intrinsic mitochondrial pathway in human osteosarcoma (U-2 OS) cells (2015) Tumor. Biol, 36, pp. 5255-5263; Vasco-Palacios, A.M., Franco-Molano, A.E., Diversity of Colombian macrofungi (Ascomycota-Basidiomycota) (2013) Mycotaxon, 4, pp. 121-499; Pinzón-Osorio, C.A., Pinzón-Osorio, J., Ampliación de la distribución geográfica de Ganoderma australe (Patouillard, 1889) (Aphyllophorales-Basidiomycota), para el departamento de Cundinamarca, Colombia (2015) Rev. Biodivers. Neotrop, 6, p. 7; Hapuarachchi, K.K., Karunarathna, S.C., Raspé, O., De Silva, K.H.W.L., Thawthong, A., Wu, X.L., Kakumyan, P., Wen, T.C., High diversity of Ganoderma and Amauroderma (Ganodermataceae, Polyporales) in Hainan Island, China (2018) Mycosphere, 9, pp. 931-982; Kozarski, M., Klaus, A., Nikšić, M., Vrvić, M.M., Todorović, N., Jakovljević, D., Van Griensven, L.J.L.D., Antioxidative activities and chemical characterization of polysaccharide extracts from the widely used mushrooms Ganoderma applanatum, Ganoderma lucidum, Lentinus edodes and Trametes versicolor (2012) J. Food Compos. Anal, 26, pp. 144-153; Klaus, A., Kozarski, M., Niksic, M., Jakovljevic, D., Todorovic, N., Van Griensven, L.J.L.D., Antioxidative activities and chemical characterization of polysaccharides extracted from the basidiomycete Schizophyllum commune (2011) LWT, 44, pp. 2005-2011; Siu, K.-C., Chen, X., Wu, J.-Y., Constituents actually responsible for the antioxidant activities of crude polysaccharides isolated from mushrooms (2014) J. Funct. Foods, 11, pp. 548-556; Cui, J., Chisti, Y., Polysaccharopeptides of Coriolus versicolor: Physiological activity, uses, and production (2003) Biotechnol. Adv, 21, pp. 109-122. , 14499133; Hanyu, X., Lanyue, L., Miao, D., Wentao, F., Cangran, C., Hui, S., Effect of Ganoderma applanatum polysaccharides on MAPK/ERK pathway affecting autophagy in breast cancer MCF-7 cells (2020) Int. J. Biol. Macromol, 146, pp. 353-362. , 31911173; Miao, J., Shi, W., Zhang, J., Zhang, X., Zhang, H., Wang, Z., Qiu, J., Response surface methodology for the fermentation of polysaccharides from Auricularia auricula using Trichoderma viride and their antioxidant activities (2020) Int. J. Biol. Macromol, 155, pp. 393-402. , 32224182; Siriamornpun, S., Kaewseejan, N., Chumroenphat, T., Inchuen, S., Characterization of polysaccharides from Gynura procumbens with relation to their antioxidant and anti-glycation potentials (2021) Biocatal. Agric. Biotechnol, 32, p. 101957; Kang, Q., Chen, S., Li, S., Wang, B., Liu, X., Hao, L., Lu, J., Comparison on characterization and antioxidant activity of polysaccharides from Ganoderma lucidum by ultrasound and conventional extraction (2019) Int. J. Biol. Macromol, 124, pp. 1137-1144; Amirullah, N.A., Zainal Abidin, N., Abdullah, N., The potential applications of mushrooms against some facets of atherosclerosis: A review (2018) Food Res. Int, 105, pp. 517-536; Si, J., Meng, G., Wu, Y., Ma, H.F., Cui, B.K., Dai, Y.C., Medium composition optimization, structural characterization, and antioxidant activity of exopolysaccharides from the medicinal mushroom Ganoderma lingzhi (2019) Int. J. Biol. Macromol, 124, pp. 1186-1196; Chen, S., Guan, X., Yong, T., Gao, X., Xiao, C., Xie, Y., Chen, D., Wu, Q., Structural characterization and hepatoprotective activity of an acidic polysaccharide from Ganoderma lucidum (2022) Food Chem. X, 13, p. 100204; Li, J., Gu, F., Cai, C., Hu, M., Fan, L., Hao, J., Yu, G., Purification, structural characterization, and immunomodulatory activity of the polysaccharides from Ganoderma lucidum (2020) Int. J. Biol. Macromol, 143, pp. 806-813. , 31715242; Gao, X., Qi, J., Ho, C.T., Li, B., Mu, J., Zhang, Y., Hu, H., Xie, Y., Structural characterization and immunomodulatory activity of a water-soluble polysaccharide from Ganoderma leucocontextum fruiting bodies (2020) Carbohydr. Polym, 249, p. 116874; Trabelsi, L., M’sakni, N.H., Ouada, H.B., Bacha, H., Roudesli, S., Partial characterization of extracellular polysaccharides produced by cyanobacterium Arthrospira platensis (2009) Biotechnol. BioProc. Eng, 14, pp. 27-31; Feriani, A., Tir, M., Hamed, M., Sila, A., Nahdi, S., Alwasel, S., Harrath, A.H., Tlili, N., Multidirectional insights on polysaccharides from Schinus terebinthifolius and Schinus molle fruits: Physicochemical and functional profiles, in vitro antioxidant, anti-genotoxicity, antidiabetic, and antihemolytic capacities, and in vivo anti-inflammator (2020) Int. J. Biol. Macromol, 165, pp. 2576-2587. , 33096174; Li, S., Wang, A., Liu, L., Tian, G., Xu, F., Effect of deproteinization methods on the antioxidant activity of polysaccharides extracted from Lentinus edodes stipe (2019) J. Food Meas. Charact, 13, pp. 1382-1389; Tian, H., Liu, H., Song, W., Zhu, L., Zhang, T., Li, R., Yin, X., Structure, antioxidant and immunostimulatory activities of the polysaccharides from Sargassum carpophyllum (2020) Algal Res, 49, p. 101853; He, P., Li, F., Huang, L., Xue, D., Liu, W., Xu, C., Chemical characterization and antioxidant activity of polysaccharide extract from spent mushroom substrate of Pleurotus eryngii (2016) J. Taiwan Inst. Chem. Eng, 69, pp. 48-53; Fimbres-Olivarria, D., Carvajal-Millan, E., Lopez-Elias, J.A., Martinez-Robinson, K.G., Miranda-Baeza, A., Martinez-Cordova, L.R., Enriquez-Ocaña, F., Valdez-Holguin, J.E., Chemical characterization and antioxidant activity of sulfated polysaccharides from Navicula sp (2018) Food Hydrocoll, 75, pp. 229-236; Liu, Y., Luo, M., Liu, F., Feng, X., Ibrahim, S.A., Cheng, L., Huang, W., Effects of freeze drying and hot-air drying on the physicochemical properties and bioactivities of polysaccharides from Lentinula edodes (2020) Int. J. Biol. Macromol, 145, pp. 476-483; Zhu, H., Tian, L., Zhang, L., Bi, J., Song, Q., Yang, H., Qiao, J., Preparation, characterization and antioxidant activity of polysaccharide from spent Lentinus edodes substrate (2018) Int. J. Biol. Macromol, 112, pp. 976-984; Tang, W., Liu, C., Liu, J., Hu, L., Huang, Y., Yuan, L., Liu, F., Bian, S., Purification of polysaccharide from Lentinus edodes water extract by membrane separation and its chemical composition and structure characterization (2020) Food Hydrocoll, 105, p. 105851; Liu, Y., Wang, Y., Zhou, S., Yan, M., Tang, Q., Zhang, J., Structure and chain conformation of bioactive β-D-glucan purified from water extracts of Ganoderma lucidum unbroken spores (2021) Int. J. Biol. Macromol, 180, pp. 484-493. , 33689774; Chen, J., Zhang, X., Huo, D., Cao, C., Li, Y., Liang, Y., Li, B., Li, L., Preliminary characterization, antioxidant and α-glucosidase inhibitory activities of polysaccharides from Mallotus furetianus (2019) Carbohydr. Polym, 215, pp. 307-315. , 30981359; Zeng, D., Zhu, S., Purification, characterization, antioxidant and anticancer activities of novel polysaccharides extracted from Bachu mushroom (2018) Int. J. Biol. Macromol, 107, pp. 1086-1092. , 28947220; Dong, X., Zhu, C.P., Huang, G.Q., Xiao, J.X., Fractionation and structural characterization of polysaccharides derived from red grape pomace (2021) Proc. Biochem, 109, pp. 37-45; Wang, J.H., Xu, J.L., Zhang, J.C., Liu, Y., Sun, H.J., Zha, X., Physicochemical properties and antioxidant activities of polysaccharide from floral mushroom cultivated in Huangshan Mountain (2015) Carbohydr. Polym, 131, pp. 240-247. , 26256181; Gunasekaran, S., Govindan, S., Ramani, P., Investigation of chemical and biological properties of an acidic polysaccharide fraction from Pleurotus eous (Berk.) Sacc (2021) Food Biosci, 42, p. 101209; Agrawal, P.K., NMR Spectroscopy in the structural elucidation of oligosaccharides and glycosides (1992) Phytochemistry, 31, pp. 3307-3330; Morales, D., Rutckeviski, R., Villalva, M., Abreu, H., Soler-Rivas, C., Santoyo, S., Iacomini, M., Smiderle, F.R., Isolation and comparison of α- and β-D-glucans from shiitake mushrooms (Lentinula edodes) with different biological activities (2020) Carbohydr. Polym, 229, p. 115521; Maity, G.N., Maity, P., Khatua, S., Acharya, K., Dalai, S., Mondal, S., Structural features and antioxidant activity of a new galactoglucan from edible mushroom Pleurotus djamor (2021) Int. J. Biol. Macromol, 168, pp. 743-749. , 33232703; Hamed, M., Bougatef, H., Karoud, W., Krichen, F., Haddar, A., Bougatef, A., Sila, A., Polysaccharides extracted from pistachio external hull: Characterization, antioxidant activity and potential application on meat as preservative (2020) Ind. Crop. Prod, 148, p. 112315; Hammami, N., Gara, A.B., Bargougui, K., Ayedi, H., Abdalleh, F.B., Belghith, K., Improved in vitro antioxidant and antimicrobial capacities of polysaccharides isolated from Salicornia arabica (2018) Int. J. Biol. Macromol, 120, pp. 2123-2130. , 30217647; Yan, J., Zhu, L., Qu, Y., Qu, X., Mu, M., Zhang, M., Muneer, G., Sun, L., Analyses of active antioxidant polysaccharides from four edible mushrooms (2019) Int. J. Biol. Macromol, 123, pp. 945-956; Hong, Y., Ying, T., Isolation, molecular characterization and antioxidant activity of a water-soluble polysaccharide extracted from the fruiting body of Termitornyces albuminosus (Berk.) Heim (2019) Int. J. Biol. Macromol, 122, pp. 115-126. , 30326226; Wang, Y., Jia, J., Ren, X., Li, B., Zhang, Q., Extraction, preliminary characterization and in vitro antioxidant activity of polysaccharides from Oudemansiella radicata mushroom (2018) Int. J. Biol. Macromol, 120, pp. 1760-1769. , 30287363; Cheng, Z., Zhang, Y., Song, H., Zhou, H., Zhong, F., Hu, H., Feng, Y., Extraction optimization, characterization and antioxidant activity of polysaccharide from Gentiana scabra bge (2016) Int. J. Biol. Macromol, 93, pp. 369-380. , 27565299; Qu, Y., Yan, J., Zhang, X., Song, C., Zhang, M., Mayo, K.H., Sun, L., Zhou, Y., Structure and antioxidant activity of six mushroom-derived heterogalactans (2022) Int. J. Biol. Macromol, 209, pp. 1439-1449. , 35461867; Liu, J., Pu, Q., Qiu, H., Di, D., Polysaccharides isolated from Lycium barbarum L. by integrated tandem hybrid membrane technology exert antioxidant activities in mitochondria (2021) Ind. Crop. Prod, 168, p. 113547; Tian, L., Zhao, Y., Guo, C., Yang, X., A comparative study on the antioxidant activities of an acidic polysaccharide and various solvent extracts derived from herbal Houttuynia cordata (2011) Carbohydr. Polym, 83, pp. 537-544; Liu, Q., Zhu, M., Geng, X., Wang, H., Ng, T.B., Characterization of polysaccharides with antioxidant and hepatoprotective activities from the edible mushroom Oudemansiella radicata (2017) Molecules, 22; Muñoz-castiblanco, T., Mejía-Giraldo, J.C., Puertas-Mejía, M.A., Lentinula edodes, a novel source of polysaccharides with antioxidant power (2022) Antioxidants, 11. , 36139844; Quan, H., Qiong-Yao, Y., Jiang, S., Chang-Yun, X., Ze-Jie, L., Pu-Ming, H., Structural characterization and antioxidant activities of 2 water-soluble polysaccharide fractions purified from tea (Camellia sinensis) flower (2011) J. Food Sci, 76, pp. 462-471. , 21535815; Wu, B., Cui, J., Zhang, C., Li, Z., A polysaccharide from Agaricus blazei inhibits proliferation and promotes apoptosis of osteosarcoma cells (2012) Int. J. Biol. Macromol, 50, pp. 1116-1120. , 22390851; You, L., Gao, Q., Feng, M., Yang, B., Ren, J., Gu, L., Cui, C., Zhao, M., Structural characterisation of polysaccharides from Tricholoma matsutake and their antioxidant and antitumour activities (2013) Food Chem, 138, pp. 2242-2249. , 23497882; Khan, T., Date, A., Chawda, H., Patel, K., Polysaccharides as potential anticancer agents—A review of their progress (2019) Carbohydr. Polym, 210, pp. 412-428; Perillo, B., Di Donato, M., Pezone, A., Di Zazzo, E., Giovannelli, P., Galasso, G., Castoria, G., Migliaccio, A., ROS in cancer therapy: The bright side of the moon (2020) Exp. Mol. Med, 52, pp. 192-203; Jiang, C., Wang, M., Liu, J., Gan, D., Zeng, X., Extraction, preliminary characterization, antioxidant and anticancer activities in vitro of polysaccharides from Cyclina sinensis (2011) Carbohydr. Polym, 84, pp. 851-857; Dou, X., Chen, L., Lei, M., Zellmer, L., Jia, Q., Ling, P., He, Y., Liao, D.J., Evaluating the remote control of programmed cell death, with or without a compensatory cell proliferation (2018) Int. J. Biol. Sci, 14, pp. 1800-1812; Liu, X., Yang, W., Guan, Z., Yu, W., Fan, B., Xu, N., Liao, D.J., There are only four basic modes of cell death, although there are many ad-hoc variants adapted to different situations (2018) Cell Biosci, 8, pp. 1-12; Zhang, J., Lou, X., Jin, L., Zhou, R., Liu, S., Xu, N., Liao, D.J., Necrosis, and then stress induced necrosis-like cell death, but not apoptosis, should be the preferred cell death mode for chemotherapy: Clearance of a few misconceptions (2014) Oncoscience, 1, pp. 407-422; Park, H.S., Kim, G.Y., Nam, T.J., Deuk Kim, N., Hyun Choi, Y., Antiproliferative activity of fucoidan was associated with the induction of apoptosis and autophagy in AGS human gastric cancer cells (2011) J. Food Sci, 76, pp. T77-T83. , 21535865; Chen, S., Zhao, Y., Zhang, Y., Zhang, D., Fucoidan induces cancer cell apoptosis by modulating the endoplasmic reticulum stress cascades (2014) PLoS ONE, 9. , 25232957; Hsu, H.Y., Lin, T.Y., Lu, M.K., Leng, P.J., Tsao, S.M., Wu, Y.C., Fucoidan induces Toll-like receptor 4-regulated reactive oxygen species and promotes endoplasmic reticulum stress-mediated apoptosis in lung cancer (2017) Sci. Rep, 7, pp. 1-13. , 28332554; Sano, R., Reed, J.C., ER stress-induced cell death mechanisms Renata (2005) Bone, 23, pp. 1-7; Muñoz-Castiblanco, T., Mejía-Giraldo, J.C., Puertas-Mejía, M.A., Trametes genus, a source of chemical compounds with anticancer activity in human osteosarcoma: A systematic review (2020) J. Appl. Pharm. Sci, 10, pp. 121-129; DuBois, M., Gilles, K.A., Hamilton, J.K., Rebers, P.A., Colorimetric method for determination of sugars and related substances (1956) Anal. Chem, 28, pp. 350-356; Li, J., Kisara, K., Danielsson, S., Lindström, M.E., Gellerstedt, G., An improved methodology for the quantification of uronic acid units in xylans and other polysaccharides (2007) Carbohydr. Res, 342, pp. 1442-1449. , 17509543; Monsalve-Bustamante, Y., Rincón-Valencia, S., Mejía-Giraldo, J., Moreno-Tirado, D., Puertas-Mejía, M., Screening of the UV absorption capacity, proximal and chemical characterization of extracts, and polysaccharide fractions of the Gracilariopsis tenuifrons cultivated in Colombia (2019) J. Appl. Pharm. Sci, 9, pp. 103-109; Bradford, M.M., A rapid and sensitive method for the quantitation of microgram quantities of protein utilizing the principle of protein-dye binding (1976) Anal. Biochem, 72, pp. 248-254; Liu, J., Shang, F., Yang, Z., Wu, M., Zhao, J., Structural analysis of a homogeneous polysaccharide from Achatina fulica (2017) Int. J. Biol. Macromol, 98, pp. 786-792. , 28212929; Shang, X.L., Liu, C.Y., Dong, H.Y., Peng, H.H., Zhu, Z.Y., Extraction, purification, structural characterization, and antioxidant activity of polysaccharides from Wheat bran (2021) J. Mol. Struct, 1233, p. 130096; Hu, Z., Yu, R., Sun, J., Duan, Y., Zhou, H., Zhou, W., Li, G., Static decolorization of polysaccharides from the leaves of Rhododendron dauricum: Process optimization, characterization and antioxidant activities (2022) Proc. Biochem, 121, pp. 113-125; Mejía-Giraldo, J.C., Winkler, R., Puertas-Mejía, M., Novel UV filters from Pentacalia pulchella extracts with photoprotective properties and antioxidant activity (2021) Photochem. Photobiol. Sci, 20, pp. 1585-1597. , 34724169; Mosmann, T., Rapid colorimetric assay for cellular growth and survival: Application to proliferation and cytotoxicity assays (1983) J. Immunol. Methods, 65, pp. 55-63; Balsa, L.M., Rodriguez, M.R., Parajón-Costa, B.S., González-Baró, A.C., Lavecchia, M.J., León, I.E., Anticancer Activity and Mechanism of action evaluation of an acylhydrazone Cu(II) complex toward breast cancer cells, spheroids, and mammospheres (2022) ChemMedChem, 17, p. e202100520</t>
  </si>
  <si>
    <t>Puertas-Mejía, M.Á.; Grupo de Investigación en Compuestos Funcionales, Calle 70 No. 52-21, Colombia; email: miguel.puertas@udea.edu.co</t>
  </si>
  <si>
    <t>Int. J. Mol. Sci.</t>
  </si>
  <si>
    <t>2-s2.0-85143682453</t>
  </si>
  <si>
    <t>Rusinque-Quintero L.L., Montoya-Rojas G.A., Moyano-Molano A.L.</t>
  </si>
  <si>
    <t>57972740100;57211965950;57972519800;</t>
  </si>
  <si>
    <t>Environmental risks due to the presence of microplastics in coastal and marine environments of the Colombian Caribbean</t>
  </si>
  <si>
    <t>Marine Pollution Bulletin</t>
  </si>
  <si>
    <t>10.1016/j.marpolbul.2022.114357</t>
  </si>
  <si>
    <t>https://www.scopus.com/inward/record.uri?eid=2-s2.0-85142314071&amp;doi=10.1016%2fj.marpolbul.2022.114357&amp;partnerID=40&amp;md5=0891f02f5df85e1b55ec1a096d1d1b01</t>
  </si>
  <si>
    <t>INGEOS SAS, Bogotá, 111166, Colombia</t>
  </si>
  <si>
    <t>Rusinque-Quintero, L.L., INGEOS SAS, Bogotá, 111166, Colombia; Montoya-Rojas, G.A., INGEOS SAS, Bogotá, 111166, Colombia; Moyano-Molano, A.L., INGEOS SAS, Bogotá, 111166, Colombia</t>
  </si>
  <si>
    <t>Microplastics (MPs) are plastic sediments that are released into the environment by various sources, their abundance and distribution increase as their size decreases, they represent a risk to ecological processes and their abundance is related to their proximity to human activities and The Anthropocene era, in addition to the Covid-19 pandemic, has exacerbated the emitting sources of plastics such as face masks, disinfectant container bottles, among others, all due to all the biosafety measures required globally. Over time, the transformation of plastics into microplastics generates particles transported by atmospheric and water dynamics, being accumulated in soils, bodies of water and incorporated into ecosystems and the food chains of organisms, including humans. Marine-coastal environments such as coastal lagoons, which in addition to hosting strategic ecosystems, being areas of convergence of different ecological flows and with important ecosystem services, have also become sinks for MP particles, putting their productivity and value at risk. Socio-ecological that they have. The purpose of this research is to evaluate and zone the environmental risks derived from contamination by microplastics in a coastal lagoon system, since once the MPs enter the environment they can cause harmful effects, in this case in the Caribbean Sea and in the lagoon complex. To this end, a comprehensive study of planetary systems was carried out to better understand their disturbances due to the presence of microplastics. © 2022 Elsevier Ltd</t>
  </si>
  <si>
    <t>Anthropocene; Coastal and marine environment; Microplastic; Multicriteria analysis; Pollution</t>
  </si>
  <si>
    <t>Ecosystems; Elastomers; Lakes; Marine pollution; Particle size analysis; Risk assessment; Value engineering; Anthropocene; Coastal environments; Coastal lagoons; Colombians; Ecological process; Environmental risks; Human activities; Marine environment; Microplastics; Multicriteria analysis; Microplastic; Anthropocene; coastal lagoon; environmental risk; marine environment; marine pollution; multicriteria analysis; plastic waste; Caribbean Coast [Colombia]; Colombia; plastic; Caribbean; Colombia; ecosystem; food chain; human; pandemic; Caribbean Region; Colombia; COVID-19; Ecosystem; Food Chain; Humans; Microplastics; Pandemics; Plastics</t>
  </si>
  <si>
    <t>Microplastics; Plastics</t>
  </si>
  <si>
    <t>Instituto de Investigaciones Marinas y Costeras</t>
  </si>
  <si>
    <t>The Ministry of Sciences of Colombia is thanked for opening the opportunity to present this project and for having benefited from it. To the Instituto de Investigaciones Marinas y Costeras José Benito Vives de Andréis – INVEMAR for all the advances and research associated with the biological and social aspects, as well as facilitating the field studies carried out. To Ingeniería, Geociencias y Sostenibilidad – INGEOS SAS, for the support in field trips and allowing everything associated with systemic analysis to be incorporated. Thanks to the scientific community and researchers who contributed to the analysis processes. To the community in the region, the fishermen, academic institutions, mayors of the municipalities, logistic people, and all collaborators. We thank Ostin Garces for invite us to be part of the team from the beginning of the project, the INVEMAR researchers.</t>
  </si>
  <si>
    <t>Andrady, A., Microplastics in the marine environment (2011) Mar. Pollut. Bull., 62 (8), pp. 1596-1605; Arias, M., (2020) Antropoceno. Paradigma: Revista Universitaria de Cultura, 23, pp. 16-22. , https://riuma.uma.es/xmlui/bitstream/handle/10630/19523/16.pdf?sequence=1; Bakir, A., Rowland, S.J., Thompson, R.C., Transport of persistent organic pollutants by microplastics in estuarine conditions (2014) Estuar. Coast. Shelf Sci., 140, pp. 14-21; Barnes, D., Galgani, F., Thompson, R., Barlaz, M., Accumulation and fragmentation of plastic debris in global environments (2009) Philos.Trans.R.Soc., 364, pp. 1985-1998; Beier, P., Majka, D., Newell, S., Uncertainty analysis of least-cost modeling for designing wildlife linkages (2009) Ecol. Appl., 19 (8), pp. 2067-2077; Bernal, G.B., Betancur, J., Sedimentología de lagunas costeras: Ciénaga Grande de Santa Marta y Ciénaga de Pajarales (1996) Bol. Investig. Mar. Costeras INVEMAR, 25 (1). , http://www.scielo.org.co/scielo.php?script=sci_arttext&amp;pid=S0122-97611996000100003; Blanco, J.A., Viloria, E.A., Narváez, B.J.C., ENSO and salinity changes in the Ciénaga Grande de Santa Marta coastal lagoon system, Colombian Caribbean (2006) Estuar.Coast.Shelf Sci., 66 (1-2), pp. 157-167; Brennecke, D., Duarte, B., Paiva, F., Caçador, I., Canning-Clode, J., Microplastics as vector for heavy metal contamination from the marine environment (2016) Estuar. Coast. Shelf Sci., 178, pp. 189-195; Browne, M.A., Dissanayake, A., Galloway, T.S., Lowe, D.M., Thompson, R.C., Ingested microscopic plastic translocates to the circulatory system of the mussel, Mytilus edulis (L.) (2008) Environ. Sci. Technol., 42 (13), pp. 5026-5031; Camargo Moyano, F., La transformación del bosque seco desde la mirada geográfico-ambiental, en la Cuenca hidrográfica del río César (2017), https://repository.udca.edu.co/handle/11158/813, Universidad de Ciencia Aplicadas y Ambientales – U.D.C.A Colombia; Cearreta, A., (2015) La definición geológica del Antropoceno según el Anthropocene Working Group (AWG). Enseñanza de Las Ciencias de La Tierra: Revista de La Asociación Española Para La Enseñanza de Las Ciencias de La Tierra, 233, pp. 263-271. , https://dialnet.unirioja.es/servlet/articulo?codigo=5471158; de Sá, L., Oliveira, M., Ribeiro, F., Rocha, T., Futter, M., Studies of the effects of microplastics on aquatic organisms: what do we know and where should we focus our efforts in the future? (2018) Sci. Total Environ., 645, pp. 1029-1039; Dris, R., Gasperi, J., Saad, M., Mirande, C., Tassin, B., Synthetic fibers in atmospheric fallout: a source of microplastics in the environment? (2016) Mar. Pollut. Bull., 104 (1-2), pp. 290-293; Du, C., Liang, H., Li, Z., Gong, J., Pollution characteristics of microplastics in soils in southeastern suburbs of Baoding City, China (2020) Int. J. Environ. Res. Public Health, 17 (3), p. 845; Eriksen, M., Lebreton, L., Carson, H., Thiel, M., Moore, C., Borerro, J., Galgani, F., Reisser, J., Plastic pollution in the world's oceans: more than 5 trillion plastic pieces weighing over 250,000 tons afloat at sea (2014) PLoS ONE, 9 (12), pp. 1-15; Garcés, O., Bayona, M., View of impacts of marine debris contamination in the mangrove ecosystem of the Ciénaga Grande de Santa Marta,Colombian Caribbean (2019) J. Mar. Coast. Sci.; Garcés-Ordóñez, O., Saldarriaga-Vélez, J.F., Espinosa-Díaz, L.F., Patiño, A.D., Cusba, J., Canals, M., Mejía-Esquivia, K., Thiel, M., Microplastic pollution in water, sediments and commercial fish species from Ciénaga Grande de Santa Marta lagoon complex, Colombian Caribbean (2022) Sci. Total Environ., 829; Gutiérrez Olaya, H., Valencia Ospina, A., Identificación y evaluación de Impactos Ambientales- Análisis de Riesgos (2006) Plan de Manejo Ambiental Arenera El Vinculo Localizada en el municipio de Soacha (Cundinamarca) Expediente CAR No. 2334, pp. 56-87. , https://repository.unilibre.edu.co/bitstream/handle/10901/11006/CAPÍTULO.4.pdf?sequence=8&amp;isAllowed=y; Hanvey, J., Lewis, P., Lavers, J., Crosbie, N., Pozo, K., Clarke, B., A review of analytical techniques for quantifying microplastics in sediments (2017) Anal. Methods, 1369-1383; Hanvey, J.S., Lewis, P.J., Lavers, J.L., Crosbie, N.D., Pozo, K., Clarke, B.O., A review of analytical techniques for quantifying microplastics in sediments (2017) Anal. Methods, 9 (9), pp. 1369-1383; Haro Velasteguí, A., Borja Arévalo, A., Triviño Bloisse, S., Análisis sobre el aprovechamiento de los residuos del plátano, como materia prima para la producción de materiales plásticos biodegradables [Analysis on the use of banana waste as a raw material for the production of biodegradable plastic materials] (2017) DominioCienc., 3 (2), pp. 506-525; Jambeck, J.R., Geyer, R., Wilcox, C., Siegler, T.R., Perryman, M., Andrady, A., Narayan, R., Law, K.L., Plastic waste inputs from land into the ocean (2015) Science, 347 (6223), pp. 768-771; León Bello, E., Los servicios ecosistémicos de regulación del suelo y riqueza escénica en las ciudades puerto-frontera de la cuenca baja del Magdalena (2020), https://repository.udca.edu.co/handle/11158/3734, Universidad de Ciencias Aplicadas y Ambientales – U.D.C.A; Li, W.C., Tse, H.F., Fok, L., Plastic waste in the marine environment: a review of sources, occurrence and effects (2016) Sci. Total Environ., 566-567, pp. 333-349; Mani, T., Hauk, A., Walter, U., Burkhardt-Holm, P., Microplastics profile along the Rhine River (2015) Sci. Rep., 5; Martinez-Bernal, L., Caro-González, A., Daza-Cruz, Y., Roa-Polo, K., Propuesta metodológica para la evaluación de riesgos ambientales en contextos complejos: aplicación en instituciones de educación superior (IES) (2018) GestiónAmbiente, 21 (2), pp. 220-232; Montalvo, Y., Luque, J., Guía de Evaluación de Riesgos Ambientales (2010), https://www.minam.gob.pe/calidadambiental/wp-content/uploads/sites/22/2013/10/guia_riesgos_ambientales.pdf; Montoya Rojas, G., (2018) Lineamientos epistemológicos para la aplicación de la geografía del suelo, , Sociedad Geográfica de Colombia; Montoya-Rojas, G., (2011) Zonificación Ambiental en la Cuenca Hidrográfica media de Río Negro. Un caso práctico en el Municipio de Útica. Colombia (Zoning Environmental average in “Rio Negro” Watershed. A Case Study in the Municipality of Utica. Colombia)., pp. 0-304. , https://www.eae-publishing.com/catalog/details/store/gb/book/978-3-8454-8408-2/zonificaci%C3%B3n-ambiental-en-cuencas-hidrogr%C3%A1ficas, ISBN 978-3-8454-8408-2 Editorial Académica Española, marca comercial de LAP Lambert Academic Publishing GmbH Dudweiler Lanstrase 99, D-66123 Saarbrucken; Montoya-Rojas, G., Almario, M., Bello-Escobar, S., Singh, K., Analysis of the interrelations between biogeographic systems and the dynamics of the Port-Waterfront Cities: Cartagena de Indias, Colombia [Análisis de las interrelaciones entre los sistemas biogeográficos y la dinámica de las ciudades portuarias: Cartage (2019) OceanCoast.Manag., 30; Montoya-Rojas, G., Moyano-Molano, A., Rusinque-Quintero, L., Microplastics in the landscapes of marine-coastal environments. Case study Cienaga Grande de Santa Marta (CGSM), Colombia (2021) Advances in Cleaner Production, Proceedings of the 10h International Workshop, Ferrara, Italy, , http://www.advancesincleanerproduction.net/10th/files/proceedings_10th.pdf, B.F. Giannetti C.M.V.B. Almeida F. Agostinho November 11th, 2021. 638-646 pp. ISBN: 1984-8455; Moyano-Molano, A.L., Rusinque-Quintero, L.L., Montoya-Rojas, G.A., Análisis de la conectividad de las áreas protegidas a través del paisaje del departamento de Caquetá, Colombia (2021) Rev.Cartogr., 104, pp. 37-61; Obando, P., Desarrollo de lineamientos de medidas de prevención frente a la eutrofización costera en las áreas marinas protegidas del golfo de Urabá en Antioquia (2020), http://hdl.handle.net/20.500.12010/16771, Expeditio Repositorio Institucional Universidad de Bogotá Jorge Tadeo Lozano - UJTL; Qi, H., Fu, D., Wang, Z., Gao, M., Peng, L., Microplastics occurrence and spatial distribution in seawater and sediment of Haikou Bay in the northern South China Sea (2020) Estuar. Coast. Shelf Sci., 239; Rech, S., Borrell, Y., García-Vazquez, E., Marine litter as a vector for non-native species: what we need to know (2016) Mar. Pollut. Bull., 113 (1-2), pp. 40-43; Rillig, M.C., Microplastic in terrestrial ecosystems and the soil? (2012) Environ.Sci.Technol., 46, pp. 6453-6456; Robins, P.E., Skov, M.W., Lewis, M.J., Giménez, L., Davies, A.G., Malham, S.K., Neill, S.P., Jago, C.F., Impact of climate change on UK estuaries: a review of past trends and potential projections (2016) Estuar. Coast. Shelf Sci., 169, pp. 119-135; Rodríguez-Rodríguez, J.A., Pineda, J.E.M., Trujillo, L.V.P., Rueda, M., Ibarra-Gutiérrez, K.P., Ciénaga Grande de Santa Marta: the largest lagoon-delta ecosystem in the Colombian Caribbean (2016) The Wetland Book, pp. 1-16; Rojo-Nieto, E., Montoto, T., Basuras marinas, plásticos y microplásticos orígenes, impactos y consecuencias de una amenaza global (Ecologistas en Acci…) (2017); Rusinque Quintero, L.L., Moyano Molano, A.L., Montoya Rojas, G.A., Conectividad entre los Andes y la Amazonía, un análisis de la configuración del paisaje del departamento de Caquetá, Colombia (2022) Perspect. Geogr., 27 (1), pp. 86-105. , https://revistas.uptc.edu.co/index.php/perspectiva/article/view/12944/11430, https://revistas.uptc.edu.co/index.php/perspectiva/article/view/12944/11430; Saura, S., González, S., Rosselló, R.E., Evaluación de los cambios en la conectividad de los bosques: el índice de área conexa equivalente y su aplicación en los bosques de Castilla y León (2011) Rev. Montes, 3 (106), pp. 15-21. , http://www.conefor.org/files/usuarios/Saura_et_al_2011_Montes_short_paper_version.pdf; Trischler, H., El Antropoceno, ¿un concepto geológico o cultural, o ambos? 40–57 (2017), http://www.scielo.org.mx/pdf/desacatos/n54/2448-5144-desacatos-54-00040.pdf; UNAL- Universidad Nacional de Colombia, Metodología de Evaluación de Riesgos Ambientales (2016), https://oga.bogota.unal.edu.co/wp-content/uploads/2016/08/Metodología-de-evaluación-de-riesgos-ambientales.pdf; Von Bertalanffy, L., Teoría General de los Sistemas (1993), https://fad.unsa.edu.pe/bancayseguros/wp-content/uploads/sites/4/2019/03/Teoria-General-de-los-Sistemas.pdf; Wang, W., Ndungu, A.W., Li, Z., Wang, J., Microplastics pollution in inland freshwaters of China: a case study in urban surface waters of Wuhan,China (2017) Sci. Total Environ., 575, pp. 1369-1374. , 41907352; Wang, J., Guo, X., Xue, J., Biofilm-developed microplastics as vectors of pollutants in aquatic environments (2021) Environ. Sci. Technol., 55 (19), pp. 12780-12790; Wright, S., Kelly, F., Plastic and human health: a micro issue? (2017) Environ. Sci. Technol., 51 (12), pp. 6634-6647; Wright, S., Ulke, J., Font, A., Chan, K., Kelly, F., Atmospheric microplastic deposition in an urban environment and an evaluation of transport (2020) Environ. Int., 136 (December); Zhang, H., Transport of microplastics in coastal seas (2017) Estuar. Coast. Shelf Sci., 199, pp. 74-86</t>
  </si>
  <si>
    <t>Rusinque-Quintero, L.L.; INGEOS SASColombia; email: lrusinque@udca.edu.co</t>
  </si>
  <si>
    <t>0025326X</t>
  </si>
  <si>
    <t>MPNBA</t>
  </si>
  <si>
    <t>Mar. Pollut. Bull.</t>
  </si>
  <si>
    <t>2-s2.0-85142314071</t>
  </si>
  <si>
    <t>Alexiades A.V., González-Gamboa I., Herrera-Martínez Y.</t>
  </si>
  <si>
    <t>55532385900;57208255867;35751436200;</t>
  </si>
  <si>
    <t>Onchorynchus mykiss alter nutrient dynamics in high-altitude headwater streams in Boyacá, Colombia through displacement of the native fish community</t>
  </si>
  <si>
    <t>Environmental Challenges</t>
  </si>
  <si>
    <t>10.1016/j.envc.2022.100628</t>
  </si>
  <si>
    <t>https://www.scopus.com/inward/record.uri?eid=2-s2.0-85139820481&amp;doi=10.1016%2fj.envc.2022.100628&amp;partnerID=40&amp;md5=4279be505bcfefb5c52320a4840e716e</t>
  </si>
  <si>
    <t>Department of Environmental Science, Heritage University, Toppenish, WA, United States; Research Group Integrated Management of Ecosystems and Biodiversity XIUÂ, School of Biological Sciences, Universidad Pedagógica y Tecnológica de Colombia, Boyacá, Tunja, Colombia</t>
  </si>
  <si>
    <t>Alexiades, A.V., Department of Environmental Science, Heritage University, Toppenish, WA, United States; González-Gamboa, I., Research Group Integrated Management of Ecosystems and Biodiversity XIUÂ, School of Biological Sciences, Universidad Pedagógica y Tecnológica de Colombia, Boyacá, Tunja, Colombia; Herrera-Martínez, Y., Research Group Integrated Management of Ecosystems and Biodiversity XIUÂ, School of Biological Sciences, Universidad Pedagógica y Tecnológica de Colombia, Boyacá, Tunja, Colombia</t>
  </si>
  <si>
    <t>A primary global threat to aquatic ecosystem conservation and biodiversity is the introduction of fish species, both deliberate and unintentional. Much of the research conducted on large predatory fish introductions has focused primarily on top-down controls that regulate the abundance and composition of native species assemblages, yet exotic species that alter ecosystem structure and function may pose an even greater threat. The objective of this study was to examine whether an introduced piscivorous fish alters nitrogen cycles in high elevation freshwater streams in the tropics by displacing the native species community through predation. To test this, we measured biomass and ammonium (NH4+-N) remineralization rates for introduced Onchorynchus mykiss and the two native species found in the area; Trichomycterus bogotensis and Grundulus bogotensis in six study sites along an elevation gradient in the Pómeca River Basin in Boyacá, Colombia. Nonnative O. mykiss populations remineralized ammonium at a rate that was 20 times higher than native G. bogotensis and 47 times higher than T. bogotensis. Our results indicate that high biomass of an introduced predatory fish species can have important implications in nutrient dynamics in freshwater streams through reduction in native species biomass when combined with differential nutrient remineralization rates. © 2022</t>
  </si>
  <si>
    <t>Andes; Colombia; Fish; Nitrogen cycle; Stream biogeochemistry; Tropical river conservation</t>
  </si>
  <si>
    <t>19-31-50; DHS 194–2009, DHS 52114162011; Rufford Foundation</t>
  </si>
  <si>
    <t>This work was supported by the Rufford Foundation , the Fulbright U.S. Specialist Program of Colombia (Grant Number 19-31-50), the Vicerrectoría de Investigación y Extension of the Universidad Pedagógica y Tecnológica de Colombia and the Colombian oil company ECOPETROL that funded part of the XIUÂ Research Group laboratory (Collaboration agreements DHS 194–2009 and DHS 52114162011).</t>
  </si>
  <si>
    <t>Alexiades, A.V., Flecker, A.S., Kraft, C.E., Nonnative fish stocking alters stream ecosystem nutrient dynamics (2017) Ecol. Appl., 27, pp. 956-965; Alvarado, H., Gutiérrez, F., Especies Hidrobiológicas Continentales Introducidas y Trasplantadas y Su Distribución En Colombia (2002), Ministerio de Medio Ambiente – Instituto de Investigaciones Alexander von Humboldt Bogotá D.C; Álvarez-León, R., Hernández-Barrero, S., González Acosta, J., Valderrama, M., Forero-Useche, J., Grundulus bogotensis (2012) Freshwater Fishes of Colombia. Bogotá D.C., Colombia. Alexander von Humboldt Institute of Biological Research, pp. 239-242. , J. Mojica J. Usma R. Álvarez-León C. Lasso Instituto de Ciencias Naturales de la Universidad Nacional de Colombia, WWF Colombia y Universidad de Manizales; Atkinson, C.L., Alexiades, A.V., MacNeill, K.L., Encalada, A.C., Thomas, S.A., Flecker, A.S., Nutrient recycling by insect and fish communities in high-elevation tropical streams (2019) Hydrobiologia, 838, pp. 13-28; Bassar, R.D., Ferriere, R., López-Sepulcre, A., Marshall, M.C., Travis, J., Pringle, C.M., Reznick, D.N., Direct and indirect ecosystem effects of evolutionary adaptation in the Trinidadian guppy (Poecilia reticulata) (2012) Am. Nat., 180, pp. 167-185; Bonar, S.A., Hubert, W.A., Willis, D.W., Standard Methods For Sampling North American Freshwater Fishes (2009), American Fisheries Society; Cambray, J.A., Impact on indigenous species biodiversity caused by the globalisation of alien recreational freshwater fisheries (2003) Hydrobiologia, 500, pp. 217-230; Capps, K.A., Atkinson, C.L., Rugenski, A.T., Implications of species addition and decline for nutrient dynamics in fresh waters (2015) Freshw. Sci., 34, pp. 485-496; Capps, K.A., Flecker, A.S., Invasive aquarium fish transform ecosystem nutrient dynamics (2013) Proc. Royal Soc. B., 280 (1772); Capps, K.A., Flecker, A.S., Invasive fishes generate biogeochemical hotspots in a nutrient-limited system (2013) PLoS ONE, 8 (1), p. e54093; Carmona, C.P., de Bello, F., Mason, N.W.H., Lepš, J., Traits without borders: integrating functional diversity across scales (2016) Trends Ecol. Evol., 31, pp. 382-394; Castellanos-Morales, C.A., Galvis, F., Las especies del género Trichomycterus (Siluriformes: trichomycteridae) (2012) Bol. Cient. Mus. Hist. Nat., 16, pp. 194-206; Castro-Rebolledo, M.I., Muñoz-Gracia, I., Donato-Rondón, J.C., Food web of a tropical high mountain stream: effects of nutrient addition (2014) Acta. Biol. Colomb., 19, pp. 33-42; Clesceri, L., Greenberg, A., Eaton, A., Standard Methods For the Examination of Water and Wastewater (1998), 20 ed. American Public Health Association, American Water Works Association, Water Environment Federation; Chará, J.D., Baird, D.J., Telfer, T.C., Rubio, E.A., Feeding ecology and habitat preferences of the catfish genus Trichomycterus in low-order streams of the Colombian Andes (2006) J. Fish. Biol., 68, pp. 1026-1040; Childress, E.S., Allan, J.D., McIntyre, P.B., Nutrient subsidies from iteroparous fish migrations can enhance stream productivity (2014) Ecosystems, 17 (3), pp. 522-534; DeLury, D.B., On the estimation of biological populations (1947) Biometrics, 3, pp. 145-167; DoNascimiento, C., Herrera-Collazos, E.E., Herrera-R, G.A., Ortega-Lara, A., Villa-Navarro, F.A., Usma Oviedo, J.S., Maldonado-Ocampo, J.A., Checklist of the freshwater fishes of Colombia: a Darwin Core alternative to the updating problem (2017) Zookeys, 708, pp. 25-138; Elser, J.J., Dobberfuhl, D.R., MacKay, N.A., Schampel, J.H., Organism size, life history, and N:P stoichiometry: toward a unified view of cellular and ecosystem processes (1996) Bioscience, 46, pp. 674-684; Elser, J.J., Urabe, J., The stoichiometry of consumer-driven nutrient recycling: theory, observations, and consequences (1999) Ecology, 80, pp. 735-751; Fricke, R., Eschmeyer, W., (2020), http://researcharchive.calacademy.org/research/ichthyology/catalog/fishcatmain.asp, Van der Laan, R. Eschmeyer's Catalog of Fishes: genera, Species, References. (Retrieved 30 Jan 2020); Galán, A., Saldías, G.S., Corredor-Acosta, A., Muñoz, R., Lara, C., Iriarte, J.L., Argo float reveals biogeochemical characteristics along the freshwater gradient off western Patagonia (2021) Front. Mar. Sci., 8; Gao, Y., Cornwell, J.C., Stoecker, D.K., Owens, M.S., Influence of cyanobacteria blooms on sediment biogeochemistry and nutrient fluxes (2014) Limnol. Oceanogr., 59 (3), pp. 959-971; Hinga, K.R., Effects of pH on coastal marine phytoplankton (2002) Mar. Ecol. Prog. Ser., 238, pp. 281-300; Herrera-Martínez, Y., Estructura De Los Ensamblajes De Crustáceos Zooplanctónicos De La Cordillera Oriental De Colombia y su Relación Con El Gradiente Altitudinal y La Presencia De Trucha (2016), Universidad Nacional de Colombia Bogotá (Doctoral thesis); Herrera-Martínez, Y., Paggi, J., Garcia, C., Cascading effect of exotic fish fry on plankton community in a tropical Andean high mountain lake: a mesocosm experiment (2017) J. Limnol., 76, pp. 397-408; Holmes, R.M., Aminot, A., Kerouel, R., Hooker, B.A., Peterson, B.J., A simple and precise method for measuring ammonium in marine and freshwater ecosystems (1999) Can. J. Fish. Aquat. Sci., 56, pp. 1801-1808; Kerr, S., Grant, R., Ecological Impacts of Fish Introductions: Evaluating the Risk. Fish and Wildlife Branch (2000), Ontario Ministry of Natural Resources Ontario; Krueger, C.C., May, B., Ecological and genetic effects of salmonid introductions in North America (1991) Can. J. Fish. Aquat., 48, pp. 66-77; Layman, C.A., Allgeier, J.E., Rosemond, A.D., Dahlgren, C.P., Yeager, L.A., Marine fisheries declines viewed upside down: human impacts on consumer-driven nutrient recycling (2011) Ecol. Appl., 21, pp. 343-349; Leslie, P.H., Davis, D.H.S., An attempt to determine the absolute number of rats on a given area (1939) J. Anim. Ecol., 8, pp. 94-113; MacCrimmon, H.R., World distribution of rainbow trout (Salmo gairdneri) (1971) J. Fish. Res. Board Can., 28, pp. 663-704; McIntyre, P.B., Flecker, A.S., Vanni, M.J., Hood, J.M., Taylor, B.W., Thomas, S.A., Fish distributions and nutrient cycling in streams: can fish create biogeochemical hotspots (2008) Ecology, 89, pp. 2335-2346; McIntyre, P.B., Jones, L.E., Flecker, A., Vanni, M.J., Fish extinctions alter nutrient recycling in tropical freshwaters (2007) Proc. Natl. Acad. Sci. U.S.A., 104, pp. 4461-4466; Moslemi, J.M., Snider, S.B., MacNeill, K., Gilliam, J.F., Flecker, A.S., Impacts of an Invasive Snail (Tarebia granifera) on nutrient cycling in tropical streams: the role of riparian deforestation in Trinidad, West Indies (2012) PLoS ONE, 7, p. e38806; (2020), https://www.R-project.org/, R Core Team (Producer) R: a language and environment for statistical computing. Retrieved from; Rice, E., Baird, R., Eaton, A., Clesceri, L., Standard Methods For the Examination of Water and Wastewater (2012), 22 ed. American Public Health Association, American Water Works Association, Water Environment Federation; Roa Fuentes, C.A., Prada Pedreros, S., Álvarez Zamora, R., Rivera Rondón, C.A., Maldonado Ocampo, J.A., Abundancia relativa y dieta de Grundulus bogotensis (Characiformes: characidae) en el altiplano Cundiboyacense, Colombia. University (2013) Science, 18, pp. 73-82; Rugenski, A.T., Múrria, C., Whiles, M.R., Tadpoles enhance microbial activity and leaf decomposition in a neotropical headwater stream (2012) Freshw. Biol., 57, pp. 1904-1913; Shostell, J., Bukaveckas, P., Seasonal and interannual variation in nutrient fluxes from tributary habitats, consumer recycling and algal growth in a eutrophic river impoundment (2004) Aquat. Ecol., 38, pp. 359-373; Strayer, D.L., Dudgeon, D., Freshwater biodiversity conservation: recent progress and future challenges (2010) J. North Am. Benthol. Soc., 29, pp. 344-358. , 315; Strayer, D.L., Eight questions about invasions and ecosystem functioning (2012) Ecol. Lett., 15, pp. 1199-1210; Taylor, B.W., Keep, C.F., Hall, R.O., Jr, Koch, B.J., Tronstad, L.M., Flecker, A.S., Ulseth, A.J., Improving the fluoro-metric ammonium method: matrix effects, background fluorescence, and standard additions (2007) J. North. Am. Benthol. Soc., 26, pp. 167-177; Vanni, M.J., Nutrient cycling by animals in freshwater ecosystems (2002) Annu. Rev. Ecol. Evol. Syst., 33, pp. 341-370; Vanni, M.J., Boros, G., McIntyre, P.B., When are fish sources vs. sinks of nutrients in lake ecosystems? (2013) Ecology, 94, pp. 2195-2206; Vanni, M.J., McIntyre, P.B., Predicting nutrient excretion of aquatic animals with metabolic ecology and ecological stoichiometry: a global synthesis (2016) Ecology, 97, pp. 3460-3471; Vitousek, P.M., (1986), pp. 163-176. , Biological invasions and ecosystem properties: can species make a difference? In H. A. Mooney &amp; J. A. Drake (Eds.), Ecology of Biological Invasions of North America and Hawaii. New York; Weber, M.J., Brown, M.L., Effects of common carp on aquatic ecosystems 80 years after “Carp as a Dominant”: ecological insights for fisheries management (2009) Rev. Fish. Sci., 17, pp. 524-537; Weber, M.J., Brown, M.L., Continuous, pulsed and disrupted nutrient subsidy effects on ecosystem productivity, stability, and energy flow (2013) Ecosphere, 4. , art27; Weidel, B.C., Josephson, D.C., Kraft, C.E., Littoral fish community response to smallmouth bass removal from an Adirondack Lake (2007) Trans. Am. Fish. Soc., 136, pp. 778-789; Whiles, M.R., Huryn, A.D., Taylor, B.W., Reeve, J.D., Influence of handling stress and fasting on estimates of ammonium excretion by tadpoles and fish: recommendations for designing excretion experiments (2009) Limnol. Oceanogr. Methods., 7, pp. 1-7; Zandonà, E., Moraes, M., Neres-Lima, V., Dalton, C.M., Flecker, A.S., Mazzoni, R., Differences in nutrient mineralisation between native and invasive grazing catfish during the invasion process (2021) Austral. Ecol., 46, pp. 290-302</t>
  </si>
  <si>
    <t>Alexiades, A.V.; Department of Environmental Science, 3240 Fort Road, United States; email: alexiades_a@heritage.edu</t>
  </si>
  <si>
    <t>Environ. Challenge.</t>
  </si>
  <si>
    <t>2-s2.0-85139820481</t>
  </si>
  <si>
    <t>de los Angeles Bohórquez-Quintero M., Galvis-Tarazona D.Y., Arias-Moreno D.M., Ojeda-Peréz Z.Z., Ochatt S., Rodríguez-Molano L.E.</t>
  </si>
  <si>
    <t>57204355966;57893639600;57195403456;57225230533;6602918257;56523333100;</t>
  </si>
  <si>
    <t>https://www.scopus.com/inward/record.uri?eid=2-s2.0-85139204731&amp;doi=10.1038%2fs41598-022-20439-6&amp;partnerID=40&amp;md5=4f07b2a1f8ec881c743b574f7ebd672a</t>
  </si>
  <si>
    <t>Grupo de Investigación BIOPLASMA-UPTC, Escuela de Ciencias Biológicas, Facultad de Ciencias, Universidad Pedagógica y Tecnológica de Colombia, Tunja, Colombia; Agroécologie, INRAE, Insitut Agro, Université Bourgogne, Université Bourgogne Franche-Comté, Dijon, 21000, France; Facultad de Ciencias Agrarias, Departamento de Agronomía, Universidad Nacional de Colombia, Carrera 30 Núm. 45-03, Edificio 500, Bogotá D.C., Colombia</t>
  </si>
  <si>
    <t>de los Angeles Bohórquez-Quintero, M., Grupo de Investigación BIOPLASMA-UPTC, Escuela de Ciencias Biológicas, Facultad de Ciencias, Universidad Pedagógica y Tecnológica de Colombia, Tunja, Colombia; Galvis-Tarazona, D.Y., Grupo de Investigación BIOPLASMA-UPTC, Escuela de Ciencias Biológicas, Facultad de Ciencias, Universidad Pedagógica y Tecnológica de Colombia, Tunja, Colombia; Arias-Moreno, D.M., Grupo de Investigación BIOPLASMA-UPTC, Escuela de Ciencias Biológicas, Facultad de Ciencias, Universidad Pedagógica y Tecnológica de Colombia, Tunja, Colombia; Ojeda-Peréz, Z.Z., Grupo de Investigación BIOPLASMA-UPTC, Escuela de Ciencias Biológicas, Facultad de Ciencias, Universidad Pedagógica y Tecnológica de Colombia, Tunja, Colombia; Ochatt, S., Agroécologie, INRAE, Insitut Agro, Université Bourgogne, Université Bourgogne Franche-Comté, Dijon, 21000, France; Rodríguez-Molano, L.E., Facultad de Ciencias Agrarias, Departamento de Agronomía, Universidad Nacional de Colombia, Carrera 30 Núm. 45-03, Edificio 500, Bogotá D.C., Colombia</t>
  </si>
  <si>
    <t>The diploid yellow potato (Solanum tuberosum L. Phureja Group) is an important plant genetic resource. In this study, we report for the first time the characterization of anther development and pollen formation in the cultivar Criolla Colombia. The description of morphological and histological characters of buds and flowers at different developmental stages permitted to identify ten main stages, from the differentiation of the male cells of the sporangium, meiosis, microspores formation and maturation, to the release of mature pollen. In addition, the results provide a graphic guide of the development of the anther, through the sequential and orderly formation of the epidermis, the endothecium, the middle layer and the nutritive layer or tapetum. This microanatomical information will be useful for work focused on androgenesis and identification of gene regulation in floral biology and gamete formation. Therefore, this study determined that to efficiently obtain haploids, flower buds between 5 and 8.9 mm long (stage 6 to 8) should be used, in which tetrads and microspores are in the early uninucleate and binucleate stage. © 2022, The Author(s).</t>
  </si>
  <si>
    <t>adult; androgenesis; anther culture; article; breeding; Colombia; cultivar; developmental stage; diploidy; epidermis; gamete; gene control; histology; histopathology; human; human cell; male; meiosis; microspore; nonhuman; pollen development; potato; sporangium; tapetum (pollen); diploidy; flower; gene expression regulation; genetics; plant breeding; pollen; Diploidy; Flowers; Gene Expression Regulation, Plant; Plant Breeding; Pollen; Solanum tuberosum</t>
  </si>
  <si>
    <t>Universidad Pedagógica y Tecnológica de Colombia, UPTC; Gobernación de Boyacá</t>
  </si>
  <si>
    <t>The authors thank the Ministry of Science, Technology, and Innovation of Colombia, the Government of Boyacá, Boyacá and Colombia Bio Program and the Universidad Pedagógica y Tecnológica de Colombia, for financing the project entitled "Implementation of biotechnological and agricultural processes for the cultivation of clean species of ancestral varieties of potato (Solanum sp.) from the agro-ecosystems of the department". Convocation 794 of 2017 R&amp;D projects for the technological development of a biological origin in the Department of Boyacá. Additionally, the authors thank the BIOPLASMA-UPTC research group and exalt the contribution of Dr. José Constantino Pacheco Maldonado who also conceived and designed the research. †</t>
  </si>
  <si>
    <t>Ortiz-Ramírez, C.I., Plata-Arboleda, S., Pabón-Mora, N., Evolution of genes associated with gynoecium patterning and fruit development in Solanaceae (2018) Ann. Bot., 121, pp. 1211-1230. , PID: 29471367; Mushtaq, W., Siddiqui, M.B., Allelopathy in Solanaceae plants allelopathic Solanaceae plants (2018) J. Plant Prot. Res., 58, p. 7; Kazemiani, S., Motallebi-azar, A.R., Panahandeh, J., Mokhtarzadeh, S., Ozdemir, F.A., Shoot proliferation from potato (Solanum tuberosum cv. Agria) under different concentration of MS include vitamins and BAP medium (2018) Progress Nutr., 20, pp. 160-166; Álvarez, M., Identification of novel associations of candidate genes with resistance to late blight in Solanum tuberosum group Phureja (2017) Front. Plant Sci., 8, pp. 1-11; Piñeros-Niño, C., Narváez-Cuenca, C.-E., Kusshalappa, A., Mosquera, T., Hydroxycinnamic acids in cooked potato tubers from Solanum tuberosum group Phureja (2016) Food Sci. Nutr., 5, pp. 380-389. , PID: 28572921; Huamán, Z., Spooner, D.M., Reclassification of landrace populations of cultivated potatoes (Solanum sect. Petota) (2002) Am. J. Bot., 89, pp. 947-965. , PID: 21665694; Rodríguez, L.E., Ñústez, C.E., Estrada, N., Criolla Latina, Criolla Paisa y Criolla Colombia, nuevos cultivares de papa criolla para el Departamento de Antioquia (Colombia) (2009) Agron. Colomb., 27, pp. 289-303; Herrera, A., Rodríguez, L., Tecnologías de la Producción y Transformación de Papa Criolla. (2012). ; Peña, C., Nutritional contents of advanced breeding clones of Solanum tuberosum group Phureja (2015) LWT-Food Sci. Technol., 62, pp. 76-82; Mosquera, T., Del-Castillo, S., Cuéllar, D., Rodríguez, L.E., Breeding differently: Participatory selection and scaling up innovations in Colombia (2018) Potato Res., 60, pp. 361-381; Castro, M., Galati, B., Desarrollo de la antera y formación del grano de polen en Cestrum bigibbosum Francey (Solanace) (2012) Pittieria, 36, pp. 67-76; Magalhães, M., Santana, T., Pombo, C., Rodrigues, R., Meiotic irregularities in Capsicum L. species (2012) Crop Breed. Appl. Biotechnol., 12, pp. 138-144; Rezanejad, F., The response of anther and pollen development, pollen cellular material release and pollen proteins to air pollution in Petunia juss Juss. (Solanaceae) (2013) Iran. J. Sci. Technol. Trans. A Sci., 37, pp. 63-68; Qu, H., Rylosona, J.S., Zhao, L., Cytological observation of Solanum pimpinellifolium L. Microspore development (2015) Pak. J. Bot., 47, pp. 1459-1465. , COI: 1:CAS:528:DC%2BC28XmsFGltLY%3D; Pijnacker, L.P., Ferwerda, M.A., Mattheij, W.M., Microsporogenesis in three tetraploid somatic hybrids of potato and their di(ha)ploid fusion partners (1992) Theor. Appl. Genet., 85, pp. 269-273. , COI: 1:STN:280:DC%2BC2c7jslSrtg%3D%3D, PID: 24197314; Talebi, S., Majd, A., Mirzai, M., Jafari, S., Abedini, M., The study of anther development, microsporogenesis and formation of male gametophyte in potato (Solanum tuberosum L.) (2016) Res. J. Biol. Sci., 11, pp. 34-37; Dafni, A., Firmage, D., Pollen viability and longevity: Practical, ecological and evolutionary implications (2000) Plant Syst. Evol., 222, pp. 113-114; Fadón, E., Herrero, M., Rodrigo, J., Anther and pollen development in sweet cherry (Prunus avium L.) in relation to winter dormancy (2019) Prtotoplasma, 256, pp. 733-744; Shivanna, K.R., Pollen Biology and Biotechnology., , https://doi.org/10.1201/9780429187704(CRCPressTaylor&amp;FrancisGroup,2019); Agadi, S., Talawar, P., Emmi, S., Ontogeny of anther in Solanum viarum, Dunal (2016) Int. J. Appl. Res., 2, pp. 86-91; Aloisi, I., Cai, G., Serafini-fracassini, D., Del Duca, S., Polyamines in pollen: From microsporogenesis to fertilization (2016) Front. Plant Sci., 7, pp. 1-7; Zhang, Z., Proteomes and phosphoproteomes of anther and pollen: Availability and progress (2017) Plant Proteom., pp. 1-12. , 1600458; Ochatt, S., Abiotic stress enhances androgenesis from isolated microspores of some legume species (Fabaceae) (2009) J. Plant Physiol., 166, pp. 1314-1328. , COI: 1:CAS:528:DC%2BD1MXpvVylt7s%3D, PID: 19324457; Sharma, V., Orchid micropropagation: Regeneration competence of anther culture (2012) J. Biotechnol. Biomater., 2, pp. 2-5; Mishra, R., Jwala, G., Rao, N., In-vitro androgenesis in rice: Advantages, constraints and future prospects (2016) Rice Sci., 23, pp. 57-68; Eliby, S., Developments and prospects for doubled haploid wheat (2022) Biotechnol. Adv., 60, p. 108007. , COI: 1:CAS:528:DC%2BB38Xit1Snt7nP, PID: 35732257; Karimi-Ashtiyani, R., (2021) Centromere engineering as an emerging tool for haploid plant production: Advances and challenges. in Doubled Haploid Technology (ed. Seguí-Simarro, J. M.)., 3, pp. 3-20. , (Humana Press; Youmbi, E., Oil palm (Elaeis guineensis Jacq.) improvement: Pollen assessment for better conservation and germination (2015) J. Oil Palm Res., 27, pp. 212-219; Fernández, J., Talle, B., Wilson, Z., Anther and pollen development: A conserved developmental pathway (2015) J. Integr. Plant Biol., 57, pp. 876-891; Höglund, M., Meiosis in Solanum phureja (1970) Hereditas, 66, pp. 183-188; Parra-Vega, V., González-García, B., Seguí-Simarro, J.M., Morphological markers to correlate bud and anther development with microsporogenesis and microgametogenesis in pepper (Capsicum annuum L.) (2013) Acta Physiol. Plant., 35, pp. 627-633; Touraev, A., Pfosser, M., Heberle-Bors, E., The microspore: A haploid multipurpose cell (2001) Adv. Bot. Res., 35, pp. 53-109; Verma, N., Transcriptional regulation of anther development in Arabidopsis (2019) Gene, 689, pp. 202-209. , COI: 1:CAS:528:DC%2BC1cXis1WgsrrN, PID: 30572098; Furuta, K.M., Hellmann, E., Helariutta, Y., Molecular control of cell specification and cell differentiation during procambial development (2014) Annu. Rev. Plant Biol., 65, pp. 607-638. , COI: 1:CAS:528:DC%2BC2cXhtFWhtrjI, PID: 24579995; Truskina, J., A peptide-mediated, multilateral molecular dialogue for the coordination of pollen wall formation (2022) Proc. Natl. Acad. Sci., 119, pp. 1-10; Zhang, D., Yang, L., Specification of tapetum and microsporocyte cells within the anther (2014) Curr. Opin. Plant Biol., 17, pp. 49-55. , COI: 1:CAS:528:DC%2BC2cXhvFGksr8%3D, PID: 24507494; Recopilación de la Investigación del Sistema Productivo Papa criolla (2009) (Fedepapa; Lora, J., Garcia-lor, A., Aleza, P., Pollen development and viability in diploid and doubled diploid citrus species (2022) Front. Plant Sci., 13, pp. 1-18; Wang, Z., Yin, M., Creech, D.L., Yu, C., Microsporogenesis, pollen ornamentation, viability of stored Taxodium distichum var. distichum pollen and its feasibility for cross breeding (2022) Forests, 13, pp. 1-13; Niazian, M., Shariatpanahi, M.E., Abdipour, M., Oroojloo, M., Modeling callus induction and regeneration in an anther culture of tomato (Lycopersicon esculentum L.) using image processing and artificial neural network method (2019) Protoplasma, 256, pp. 1317-1332. , COI: 1:CAS:528:DC%2BC1MXhtVyjt7jL, PID: 31055656; Yu, S., Feng, Q., Xie, H., Li, S., Zhang, Y., Reactive oxygen species mediate tapetal programmed cell death in tobacco and tomato (2017) BMC Plant Biol., 17, p. 76. , PID: 28427341; Adhikari, P.B., Kang, W.H., Association of floral bud and anther size with microspore developmental stage in campari tomato (2017) Korean J. Hortic. Sci. Technol., 35, pp. 608-617; Seguí-Simarro, J., Androgenesis in Solanaceae (2016) . in In Vitro Embryogenesis in Higher Plants (, 1359, pp. 209-244; Vural, G., Ari, E., Zengin, S., Ellialtouglu, S., Development of androgenesis studies on eggplant (Solanum melongena L.) in Turkey from past to present (2019) Appl. Life Sci., 27, p. 2; Chaudhry, B., Rustragi, A., Anther (2016) In Reproductive Biology of Angiosperms, 27; Åstrand, J., Knight, C., Robson, J., Talle, B., Wilson, Z.A., Evolution and diversity of the angiosperm anther: Trends in function and development (2021) Plant Reprod., 34, pp. 307-319. , PID: 34173886; Sato, H., González, A., Anatomy and development of the staminate flower, microsporogenesis and microgametogenesis of species of Lophophytum (Balanophoraceae) in (2013) Bol. Soc. Argentina Bot., 48, pp. 59-72; Carrizo García, C., Nepi, M., Pacini, E., It is a matter of timing: Asynchrony during pollen development and its consequences on pollen performance in angiosperms—A review (2016) Protoplasma, 254, pp. 57-73. , PID: 26872476; Salas, P., Rivas-Sendra, A., Prohens, J., Seguí-Simarro, J.M., Influence of the stage for anther excision and heterostyly in embryogenesis induction from eggplant anther cultures (2012) Euphytica, 184, pp. 235-250; Adhikari, P., Kang, W., Association of floral bud and anther size with microspore developmental Campari tomato (2017) Hortic. Sci. Technol., 35, pp. 608-617; Lindhout, P., Towards F1 hybrid seed potato breeding (2011) Potato Res., 54, pp. 301-312; Du, M., Developing a new model system for potato genetics by androgenesis (2021) J. Integr. Plant Biol., 63, pp. 628-633. , COI: 1:CAS:528:DC%2BB3MXovVaitrY%3D, PID: 32965762; Sierra, A.S., Gallo, Y., Estrada, M., Gutiérrez, A.P., Marín, M., Detección molecular de seis virus de Arn en brotes de tubérculos de papa criolla (Solanum phureja) en Antioquia, Colombia (2020) Bioagro, 32, pp. 3-14; Rodríguez, L., Eduardo, C., Estrada, N., Criolla Latina, Criolla Paisa y Criolla Colombia, nuevos cultivares de papa criolla para el departamento de Antioquia (Colombia) (2009) Agron. Colomb., 27, pp. 1-9; Navarro, C., Bolaños, L., Lagos, T., Caracterización morfoagronómica y molecular de 19 genotipos de papa guata y chaucha (Solanum tuberosum L. y Solanum phurejajuz et Buk) cultivados en el departamento de Nariño (2010) Rev. Agron., 1, pp. 27-39; Gómez, R., Guía para las caracterizaciones morfológicas básicas en colecciones de papas nativas (2000) Cent. Int. Papa, 1, pp. 1-27; Wang, C., Microsporogenesis and pollen formation in cassava (2010) Biol. Plant., 55, pp. 469-478; Zhang, D., Wilson, Z.A., Stamen specification and anther development in rice (2009) Chin. Sci. Bull., 54, pp. 2342-2353. , COI: 1:CAS:528:DC%2BD1MXovVSgu7Y%3D; Manual de Recomendaciones Técnicas para su Cultivo en el Departamento de Cundinamarca. (Corredor Tecnológico Agroindustrial (2020) CTA-2</t>
  </si>
  <si>
    <t>Arias-Moreno, D.M.; Grupo de Investigación BIOPLASMA-UPTC, Colombia; email: diana.arias04@uptc.edu.co</t>
  </si>
  <si>
    <t>2-s2.0-85139204731</t>
  </si>
  <si>
    <t>Galvis-Tarazona D.Y., Ojeda-Pérez Z.Z., Arias-Moreno D.M.</t>
  </si>
  <si>
    <t>57893639600;57225230533;57195403456;</t>
  </si>
  <si>
    <t>Journal of Ethnobiology and Ethnomedicine</t>
  </si>
  <si>
    <t>https://www.scopus.com/inward/record.uri?eid=2-s2.0-85138199511&amp;doi=10.1186%2fs13002-022-00557-1&amp;partnerID=40&amp;md5=ef5454230600ab6f9d692545fb8a66c5</t>
  </si>
  <si>
    <t>Grupo de Investigación BIOPLASMA, Facultad de Ciencias, Universidad Pedagógica y Tecnológica De Colombia (UPTC), Avenida Central del Norte, Boyacá, Tunja, 050030, Colombia</t>
  </si>
  <si>
    <t>Galvis-Tarazona, D.Y., Grupo de Investigación BIOPLASMA, Facultad de Ciencias, Universidad Pedagógica y Tecnológica De Colombia (UPTC), Avenida Central del Norte, Boyacá, Tunja, 050030, Colombia; Ojeda-Pérez, Z.Z., Grupo de Investigación BIOPLASMA, Facultad de Ciencias, Universidad Pedagógica y Tecnológica De Colombia (UPTC), Avenida Central del Norte, Boyacá, Tunja, 050030, Colombia; Arias-Moreno, D.M., Grupo de Investigación BIOPLASMA, Facultad de Ciencias, Universidad Pedagógica y Tecnológica De Colombia (UPTC), Avenida Central del Norte, Boyacá, Tunja, 050030, Colombia</t>
  </si>
  <si>
    <t>Background: Native potatoes are Andean tubers of great historical, social, food, genetic and nutritional importance, and they contribute significantly to food security by supplementing the household diet and also providing alternative income. Even when their cultivation and consumption imply great benefits, their use and local preservation depend to a large extent on the recognition of their ethnobotanical and cultural importance. In this context, this study consolidates an important ethnobotanical research bases for native potatoes in Colombia. Methods: The study collected data through semi-structured interviews and dialogues (130) in the municipality of Chiscas, department of Boyacá, central-eastern Colombia. The questionnaire was focused on native potatoes and sought to investigate the knowledge related to cultivation, diversity, patterns and forms of preparation for use and consumption. Likewise, knowledge heritability mechanisms were investigated and ethnobotanical indices of relative importance, use and culture were estimated. Results: Documentation of ethnobotanical knowledge included aspects such as seed care and availability, cultural management of the crop, patterns of use and consumption, as well as ways of preparing the tubers. In total, 23 vernacular names of native potato and 360 reports of use (commercial, domestic or ritual-magical) were recorded for the 15 main genotypes. Quantitative estimates included the importance index: (a) cultural, for which values ranged between 0.059 and 0.812; (b) relative, with records between 0.04 and 0.43; and (c) use, which ranged between 0.06 and 0.63. The ethnobotanical importance index (d) for native potatoes was 57.26, which corresponds to a “very high” ethnobotanical value. This allowed us to identify that Criollas were the most recognized and used potatoes within the community. In addition, it was shown that vertical transmission is the main way in which traditional knowledge about native potatoes is inherited. Finally, an artificial intelligence tool was preliminarily implemented to identify the polarity generated in the interviewees by the questions. Conclusion: The results of this research provide valuable information on the ethnobotany of native potatoes in Colombia. The genotypes used by the community of the municipality of Chiscas were recognized for their high gastronomic and nutritional potential, as well as for their great ethnobotanical and cultural importance. These data can be considered as a valuable tool to support any action aimed at the conservation and revaluation of these tubers. © 2022, The Author(s).</t>
  </si>
  <si>
    <t>Conservation; Cultural importance; Ethnobotany; Native potatoes; Traditional knowledge</t>
  </si>
  <si>
    <t>article; artificial intelligence; Colombia; crop; documentation; ethnobotany; genotype; heritability; human; nonhuman; plant seed; potato; questionnaire; ritual; semi structured interview; vertical transmission; Colombia; ethnobotany; medicinal plant; Artificial Intelligence; Colombia; Ethnobotany; Plants, Medicinal; Seeds; Solanum tuberosum</t>
  </si>
  <si>
    <t>The authors would like to thank the Ministry of Science, Technology, and Innovation of Colombia, the Government of Boyacá, the Universidad Pedagógica y Tecnológica de Colombia (UPTC), the Mayor’s Office of the municipality of Chiscas, and the company Tesoros Nativos SAS, for financing the project entitled “Implementation of biotechnological and agricultural processes for the cultivation of clean species of ancestral varieties of potato (Solanum sp.) from the agro-ecosystems of the department.” Convocation 794 of 2017 I+D projects for the technological development of a biological origin in the Department of Boyacá. Likewise, the authors would like to thank the community of Chiscas, Boyacá for their contributions and active and objective participation during the field work. Additionally, the authors would like to thank Johan Sebastian Urquijo Ruiz for the data analysis and BIOPLASMA-UPTC research group. Finally, the authors thank to the company Quaxam Datalab Colombia, for the data analysis and to researcher Sergio Ochatt for the grammatical adjustment of the English language.</t>
  </si>
  <si>
    <t xml:space="preserve">Ortiz, O., Mares, V., The historical, social, and economic importance of the potato crop (2017) The potato genome, pp. 1-10. , Kole C, (ed), Springer, Cham; Hardigan, M.A., Laimbeer, F.P.E., Newton, L., Crisovan, E., Hamilton, J.P., Vaillancourt, B., Genome diversity of tuber-bearing Solanum uncovers complex evolutionary history and targets of domestication in the cultivated potato (2017) Proc Natl Acad Sci USA, 114 (46), pp. 9999-10008; Rodríguez, L.E., Origen y evolución de la papa cultivada (2010) Una revisión. Agron Colomb, 28 (1), pp. 9-17; Sood, S., Bhardwaj, V., Pandey, S., Chakrabarti, S., History of potato breeding: improvement, diversification, and diversity (2017) The potato genome, pp. 31-72. , Kole C, (ed), Springer, Cham; González, L., Vargas, A., Niño, L., Mejoramiento genético de la papa (Solanum tuberosum L.) en Venezuela (2017) Rev Latinoam la Papa, 21 (1), pp. 121-128; Romero, L., Monasterio, M., Papas Negras (2005) Papas De páramo, 23. , Boletín Antropológico. Mérida, Venezuela; Quicaño-Bellido, E., Evaluación de la resistencia genética de papas nativas a Phytophthora infestans, in vitro e in situ, Ayacucho (2017) Universidad Nacional San Cristóbal De Huamanga; Marmolejo-Gutarra, D., Ruiz-Velásquez, J., Tolerance of native potatoes (Solanum spp) to frost in the context of climate change (2018) Sci Agropecu, 9 (3), pp. 393-400; Lüttringhaus, S., Pradel, W., Suarez, V., Manrique-Carpintero, N.C., Anglin, N.L., Ellis, D., Dynamic guardianship of potato landraces by Andean communities and the genebank of the International Potato Center (2021) CABI Agric Biosci, 2 (1), pp. 1-16; Calliope, S., Wagner, J., Samman, N., (2020) Physicochemical and functional characterization of potato starch (Solanum tuberosum ssp. Andigenum) from the Quebrada De Humahuaca, Argentina; Martínez, P., Peña, F., Bello-Pérez, L., Núñez-santiago, C., Physicochemical, functional and morphological characterization of starches isolated from three native potatoes of the Andean region (2019) Food Chem X, 2; Cima, F.F., Pereira, E.D.S., Schiavon, M.V., Munhoz, P.C., Lenz, E.A., Wolter, D.D., Bioactive compounds, processing quality and yield of colored flesh potato clones (2020) Hortic Bras, 38 (2), pp. 139-145; Ticsihua-Huamán, J., Arteaga-Llacza, P., Miranda-Jara, A., Quispe-Barrantes, P., Miranda-Chávez, H., Quispe-Solano, M.Á., Changes in sugars, dry matter, and characteristics sensory of chip of native potato in the Chopcca region (2022) Proceedings of the 7Th Brazilian Technology Symposium, pp. 554-559. , Cham, Springer; De la Cruz, G., Miranda, T., Blas, R., Neyra, E., Orjeda, G., Simple sequence repeat-based genetic diversity and analysis of molecular variance among on-farm native potato landraces from the influence zone of Camisea Gas Project, Northern Ayacucho (2020) Peru Am J Potato Res, 97, pp. 143-161; Vanamala, J.K.P., Potatoes for targeting colon cancer stem cells (2019) Am J Potato Res, 6, p. 66; Fogelman, E., Oren-Shamir, M., Hirschberg, J., Mandolino, G., Parisi, B., Ovadia, R., Nutritional value of potato (Solanum tuberosum) in hot climates: Anthocyanins, carotenoids (2019) And Steroidal Glycoalkaloids; Fajardo-Escoffié, J.L., Explorations in the history and culture of human nourishment size, color, and freshness: standards and heritage of native potatoes in Peru (2022) Food Foodw, 30 (3), pp. 165-184; Clarke, P.A., The aboriginal ethnobotany of the south east of south Australia region. Part 2: foods, medicines and narcotics (2015) Trans R Soc South Aust, 139 (2), pp. 247-272; Jackson, M.T., Hawkes, J.G., Rowe, P.R., Primitive varieties study of (1980) Euphytica, 29, pp. 107-113; Brush, S.B., Reconsidering the green revolution: diversity and stability in cradle areas of crop domestication (1992) Hum Ecol, 20 (2), pp. 145-167; Ojeda-Pérez, Z.Z., Arias-Moreno, D.M., Bohórquez-Quintero M de los Á, Pacheco-Díaz JE, Araque-Barrera EJ. Colores y sabores de mi tierra: Papas nativas cultivadas en Boyacá (2021) Tunja, Boyacá: Editorial UPTC, p. 169; Rosero Alpala, M.G., Tapie, W.A., Rosero Alpala, D.A., Diversidad fenotípica de papas nativas en las comunidades indígenas de la etnia de los Pastos (Nariño, Colombia): Agricultura ecológica para la seguridad alimentaria y el desarrollo rural (2020) Rev Peru Biol, 27 (4), pp. 509-516; Tinjacá, S., Rodríguez, L.E., Catálogo de papas nativas de Nariño, Colombia. 1st ed. Delgado M, editor Bogotá (Colombia): Universidad Nacional De Colombia (UNAL), 2015, p. 140; Rojas, L., Seminario, J., Productividad de diez cultivares promisorios de papa chaucha (Solanum tuberosum, grupo Phureja) de la región Cajamarca (2014) Scientia Agropecuaria [Online]. Primera Ed. Cusco Peru, pp. 165-175; Ibrahim, M.S.E., Mohd, A.W.E., Tengku, S.T.M., Ethnobotany: challenges and future perspectives review article ethnobotany: challenges and future perspectives (2016) Res J Med Plants, 10 (6), pp. 1-6; Rodrigues, E., Cassas, F., Esteves, B., De La Cruz, C., Pereira, E., Dos Santos, G., Participatory ethnobotany and conservation: a methodological case study conducted with quilombola communities in Brazil’s Atlantic Forest (2020) J Ethnobiol Ethnomed, 16 (2), pp. 1-12; de Dane Dan, E., (2018) Censo Nacional De Población Y Vivienda Colombia; Magaldi, D., Berler, M., Semi-structured Interviews (2020) Encyclopedia of Personality and Individual Differences, pp. 4825-4830. , Springer; Piippo, J., MacGabhann, L., Open dialogue: offering possibilities for dialogical practices in mental health and psychiatric nursing (2016) J Ment Heal Train Educ Pract, 11 (5), pp. 269-278; KoBoCollect (2016) Cambridge; Ethnobotanyr, W.C., (2021) Calcule índices Cuantitativos De etnobotánica, , Paquete R]. Lenguaje de programación R; Reyes-Garcia, V., Huanca, T., Vadez, V., Leonard, W., Wilkie, D., Cultural, practical, and economyc value of wild plants: a cuantitative study in the Bolivian Amazon (2006) Econ Bot, 60 (1), pp. 62-74; Tardío, J., Pardo-De-Santayana, M., Cultural importance indices: a comparative analysis based on the useful wild plants of southern Cantabria (northern Spain) (2008) Econ Bot, 62 (1), pp. 24-39; Prance, G.T., Balée, W., Boom, B.M., Carneiro, R.L., Quantitative ethnobotany and the case for conservation in Amazonia (1987) Conserv Biol, 1 (4), pp. 296-310; Lajones-Bone, D., Lema-Tapia, Á., Propuesta y evaluación de un índice de valor de importanciapor medio del análisis de correspondencia en las comunidades de Arenales y San Salvador, Esmeraldas, Ecuador (1999) Crónica For Y Del Medio Ambient, 14 (122), p. 15; (2020) R: A Language and Environment for Statistical Computing. R Foundation for Statistical Computing, Vienna, , https://www.r-project.org/; Cox, P.A., Balick, M.J., Plants, people, and culture, 2nd ed New York: Garland Science, 2021, p. 228; Sharma, U.K., Pegu, S., Ethnobotany of religious and supernatural beliefs of the Mising tribes of Assam with special reference to the ‘Dobur Uie’ (2011) J Ethnobiol Ethnomed, 7 (1), p. 16; Kochhar, S.L., Economic botany, 5th ed India: Cambridge University Press, 2016, p. 680; Monteros, C., Yumisaca, F., Andrade-Piedra, J., Reinoso, I., Papas Nativas de la Sierra Centro y Norte del Ecuador: Catálogo etnobotánico, morfológico, agronómico y de calidad. Instituto Nacional Autónomo de Investigaciones Agropecuarias (INIAP), editor (2011) Quito, Ecuador: Centro Internacional De La Papa (CIP), p. 144; Suwardi, A.B., Navia, Z.I., Harmawan, T., Ethnobotany and conservation of indigenous edible fruit plants in South Aceh (2020) Indonesia Biodiversitas, 21 (5), pp. 1850-1860; Prado, A., Rangel, E., De Sousa, H., Messias, M.C., Etnobotânica como subsídio à gestão socioambiental de uma unidade de conservação de uso sustentável (2019) Rodriguésia, 70, p. 10; Whitney, C., Bahati, J., Gebauer, J., Ethnobotany and agrobiodiversity: valuation of plants in the homegardens of Southwestern Uganda (2018) Ethnobiol Lett, 9 (2), pp. 90-100; Bussa, N.F., Belayneh, A., Traditional medicinal plants used to treat cancer, tumors and inflammatory ailments in Harari Region, Eastern Ethiopia (2019) S Afr J Bot, 122, pp. 360-368; Faruque, M.O., Uddin, S.B., Barlow, J.W., Hu, S., Quantitative ethnobotany of medicinal plants used by indigenous communities in the Bandarban District of Bangladesh (2018) Front Pharmacol, 9, p. 40; Lara Reimers, E.A., Fernández Cusimamani, E., Lara Rodríguez, E.A., Zepeda Del Valle, J.M., Polesny, Z., Pawera, L., An ethnobotanical study of medicinal plants used in Zacatecas state (2018) Mexico. Acta Soc Bot Pol, 87 (2), p. 5; Ranfa, A., Bodesmo, M., An Ethnobotanical investigation of traditional knowledge and uses of edible wild plants in the Umbria Region, Central Italy (2017) J Appl Bot Food Qual, 90, pp. 246-258; Gonçalves Dos Santos, E., da Silva Santos, S., Do Nascimento Gonçalves, V., de Souza, I., Paiva De Lucena, R., Utilização de recursos vegetais em áreas de quintais em uma comunidade rural localizada no entorno do Parque Nacional de Sete Cidades, Piauí, Nordeste do Brasil (2019) Rev Bras Gestão Ambient E Sustentabilidade, 6 (13), pp. 365-383; Paiva De Lucena, R., Marques-Pedrosa, K., Nunes-Carvalho, K., Medeiros-Guerra, N., da Silva-Ribeiro, J., da Costa-Ferreira, E., Conhecimiento local e uso de espécies vegetais nativas da região da Serra de Santa Catarina, Paraíba, Nordeste do Brasil (2017) FLOVET, 1 (9), pp. 158-179; García-Gómez, E., Sol-Sánchez, Á., García-López, E., Pérez-Vásquez, A., Valor de uso de la flora del Ejido Sinaloa primera sección, Cárdenas, Tabasco, México (2016) Rev Mex Ciencias Agrícolas, 14 (15), pp. 2683-2694; Seminario-Cunya, J., Seminario-Cunya, A., Domínguez, A., Escalante, B., Rendimiento de cosecha de diecisiete cultivares de papa (Solanum tuberosum L.) del grupo Phureja (2017) Sci Agropecu., 8 (3), pp. 181-191; Guzmán Vásquez, J., Caracterización fenotipica de un cultivo de papa criolla (Solanum tuberosum Grupo Phureja, variedad criolla Colombia) irradiada con cobalto 60 ubicado en el municipio el rosal, finca el pino km 16 vía Subachoque Cundinamarca (2016) Universidad Distrital Francisco José De Caldas; Datalab, Q., </t>
  </si>
  <si>
    <t>Arias-Moreno, D.M.; Grupo de Investigación BIOPLASMA, Avenida Central del Norte, Boyacá, Colombia; email: diana.arias04@uptc.edu.co</t>
  </si>
  <si>
    <t>BioMed Central Ltd</t>
  </si>
  <si>
    <t>J. Ethnobiology Ethnomedicine</t>
  </si>
  <si>
    <t>2-s2.0-85138199511</t>
  </si>
  <si>
    <t>Aparisi-Torrijo S., Ribes-Giner G.</t>
  </si>
  <si>
    <t>57700477800;44061721500;</t>
  </si>
  <si>
    <t>Female entrepreneurial leadership factors</t>
  </si>
  <si>
    <t>International Entrepreneurship and Management Journal</t>
  </si>
  <si>
    <t>10.1007/s11365-022-00798-2</t>
  </si>
  <si>
    <t>https://www.scopus.com/inward/record.uri?eid=2-s2.0-85135528704&amp;doi=10.1007%2fs11365-022-00798-2&amp;partnerID=40&amp;md5=bc8a7ded2f415261ddefe958ece0bcf3</t>
  </si>
  <si>
    <t>Business Management department, Universitat Politècnica de València, Valencia, Spain</t>
  </si>
  <si>
    <t>Aparisi-Torrijo, S., Business Management department, Universitat Politècnica de València, Valencia, Spain; Ribes-Giner, G., Business Management department, Universitat Politècnica de València, Valencia, Spain</t>
  </si>
  <si>
    <t>This article presents the foundations, current structure and trend of academic research into leadership factors in female entrepreneurship to provide scholars in the field with an overview of the followed research directions and to explore whether the same traditional patterns are reproduced in gender studies on entrepreneurship and leadership. For this purpose, a bibliometric analysis of the Web of Science database from 2000 to 2020 was used. With a performance analysis of variables (e.g. authors, publications, journals and countries), and thanks to scientific mapping, the links among these variables were studied. The results show that the trend of publications increased from 2015, but with little influence and output. The most influential and productive countries are the USA and Spain. 35% of the journals are based in the USA and 25% in England. The most influential ones deal with entrepreneurship, business, management and leadership. Although the foundational base is influenced by the author Ahl, known for calling for new research directions related to women entrepreneurs from a social construction perspective, the most influential articles continue to investigate gender with a dominant male bias. The network analysis reveals cooperation between different countries and authors with the USA dominating. The ambiguity of entrepreneurial leadership field due to the overlap of entrepreneurship and leadership disciplines reveals through the co-citation of journals different specialisation areas: business and entrepreneurship, management and psychology, organisational behaviour. This work provides researchers with an overview that encourages them to overcome the dominant male normative lens from new epistemological perspectives. © 2022, The Author(s).</t>
  </si>
  <si>
    <t>Bibliometric analysis; Entrepreneurial leadership factors; Female Entrepreneurial Leadership; Gender</t>
  </si>
  <si>
    <t>Universitat Politècnica de València, UPV: Universitat Politècnica de València</t>
  </si>
  <si>
    <t>Ahl, H., The Scientific Reproduction of Gender Inequality (2003) Qualitative Sociology Review, , . A Discourse Analysis of Research Articles on Women’s Entrepreneurship; Ahl, H., The Scientific Reproduction of Gender Inequality (2004) . in Copenhagen Business School Press., , https://doi.org/10.1076/clin.17.3.402.18080, A Discourse Analysis of Research Texts on Women’s Entrepreneurship; Ahl, H., Why research on women entrepreneurs needs new directions (2006) Entrepreneurship: Theory and Practice, 30 (5), pp. 595-621; Ahl, H., Marlow, S., Exploring the dynamics of gender, feminism and entrepreneurship: Advancing debate to escape a dead end? (2012) Organization, 19 (5), pp. 543-562; Alonso, S., Cabrerizo, F.J., Herrera-Viedma, E., Herrera, F., h-Index: A review focused in its variants, computation and standardization for different scientific fields (2009) Journal of Informetrics, 3 (4), pp. 273-289; Antunes, L.G.R., de Abreu, A.A., Rodrigues, M.M., True heroines: unveiling the female management of startups’ entrepreneurs (2020) Revista de Gestão e Secretariado, 11 (2), pp. 211-234; Baier-Fuentes, H., Merigó, J.M., Amorós, J.E., Gaviria-Marín, M., International entrepreneurship: a bibliometric overview (2019) International Entrepreneurship and Management Journal, 15 (2), pp. 385-429; Balachandra, L., Briggs, T., Eddleston, K., Brush, C., Don’t Pitch Like a Girl!: How Gender Stereotypes Influence Investor Decisions (2019) Entrepreneurship: Theory and Practice, 43 (1), pp. 116-137; Blanco-Mesa, F., Merigó, J.M., Gil-Lafuente, A.M., Fuzzy decision making: A bibliometric-based review (2017) Journal of Intelligent and Fuzzy Systems, 32 (3), pp. 2033-2050; Bonilla, C.A., Merigó, J.M., Torres-Abad, C., Economics in Latin America: a bibliometric analysis (2015) Scientometrics, 105 (2), pp. 1239-1252; Börner, K., Chen, C., Boyack, K.W., Visualizing knowledge domains (2003) Annual Review of Information Science and Technology, 37, pp. 179-255; Boyack, K., Klavans, R., Co-Citation Analysis, Bibliographic Coupling, and Direct Citation: Which Citation Approach Represents the Research Front Most Accurately? (2010) Journal of the American Society for Information Science and Technology, 12 (61), pp. 2389-2404; Braun, T., Glänzel, W., Schubert, A., A Hirsch-type index for journals (2006) Scientometrics, 69 (1), pp. 169-173; de Bruin, A., Brush, C.G., Welter, F., Introduction to the Special Issue: Towards Building Cumulative Knowledge on Women’s Entrepreneurship (2006) Entrepreneurship Theory and Practice, 30 (5), pp. 585-593; Buttner, E.H., Examining female entrepreneurs’ management style: An application of a relational frame (2001) Journal of Business Ethics, 29 (3), pp. 253-269; Calás, M., Smircich, L., From “The Woman’s” Point of View: Feminist Approaches to Organization Studies (1996) Handbook of Organization Studies, pp. 218-257. , Clegg S, Hardy C, Nord W, (eds), Sage, London; Calás, M.B., Smircich, L., Bourne, K.A., Extending the boundaries: reframing “entrepreneurship as social change” through feminist perspectives (2009) Academy of Management Review, 34 (3), pp. 552-569; Callahan, J.L., Constructing a manuscript: Distinguishing integrative literature reviews and conceptual and theory articles (2010) Human Resource Development Review, 9 (3), pp. 300-304; Cancino, C., Merigó, J.M., Coronado, F., Dessouky, Y., Dessouky, M., Forty years of Computers &amp; Industrial Engineering: A bibliometric analysis (2017) Computers and Industrial Engineering, 113, pp. 614-629; Carter, S., Marlow, S., Bennett, D., Gender and entrepreneurship (2012) Enterprise and Small Business: Principles Practice and Policy, pp. 218-231; Women’s business ownership: Recent research and policy development (2006) Report to the Small Business Service, London; Cogliser, C.C., Brigham, K.H., The intersection of leadership and entrepreneurship: Mutual lessons to be learned (2004) The Leadership Quarterly, 15, pp. 771-799; Donthu, N., Kumar, S., Mukherjee, D., Pandey, N., Lim, W.M., How to conduct a bibliometric analysis: An overview and guidelines (2021) Journal of Business Research, 133 (April), pp. 285-296; Eagly, A.H., Carli, L.L., The female leadership advantage: An evaluation of the evidence (2003) Leadership Quarterly, 14 (6), pp. 807-834; Ellegaard, O., Wallin, J.A., The bibliometric analysis of scholarly production: How great is the impact? (2015) Scientometrics, 105 (3), pp. 1809-1831; Elliott, C., Stead, V., Learning from leading women’s experience: Towards a sociological understanding (2008) Leadership, 4 (2), pp. 159-180; Fernald, L.W.J., Solomon, G.T., Tarabishy, A., A New Paradigm: Entrepreneurial Leadership (2005) International Research Journal, 30 (2), pp. 257-276; Galloway, L., Kapasi, I., Sang, K., Entrepreneurship, Leadership, and the Value of Feminist Approaches to Understanding Them (2015) Journal of Small Business Management, 53 (3), pp. 683-692; Garfield, E., Citation Analysis as a Tool in Journal Evaluation (1972) Science, 178, pp. 417-479; Gaviria-Marín, M., Bibliometrics and business. A challenge for researchers (2021) Inquietud Empresarial, 21 (1), pp. IIII-III. , https://revistas.uptc.edu.co/index.php/inquietud_empresarial/article/view/12931, Retrieved from; Gaviria-Marin, M., Merigó, J.M., Baier-Fuentes, H., Knowledge management: A global examination based on bibliometric analysis (2019) Technological Forecasting and Social Change, 140 (July 2018), pp. 194-220. , https://doi.org/10.1016/j.techfore.2018.07.006; Gil-Gomez, H., Oltra-Badenes, R., Guerola-Navarro, V., Zegarra Saldaña, P., Crowdfunding: A bibliometric analysis (2021) International Entrepreneurship and Management Journal, , https://doi.org/10.1007/s11365-021-00784-0, 123456789; Guan, J., Gao, X., Comparison and evaluation of Chinese research performance in the field of bioinformatics (2008) Scientometrics, 75 (2), pp. 357-379; Gundry, L.K., Welsch, H.P., The ambitious entrepreneur: High growth strategies of women-owned enterprises (2001) Journal of Business Venturing, 16 (5), pp. 453-470; Gupta, V., MacMillan, I.C., Surie, G., Entrepreneurial leadership: Developing and measuring a cross-cultural construct (2004) Journal of Business Venturing, 19 (2), pp. 241-260; Harrison, C., Burnard, K., Paul, S., Entrepreneurial leadership in a developing economy: a skill-based analysis (2018) Journal of Small Business and Enterprise Development, 25 (3), pp. 521-548; Harrison, R., Leitch, C., Mcadam, M., Breaking Glass: Toward a Gendered Analysis of Entrepreneurial Leadership (2015) Journal of Small Business Management, 53 (3), pp. 693-713; Henry, C., Foss, L., Ahl, H., Gender and entrepreneurship research: A review of methodological approaches (2015) International Small Business Journal: Researching Entrepreneurship, 34 (3), pp. 217-241; Henry, C., Foss, L., Fayolle, A., Walker, E., Duffy, S., Entrepreneurial Leadership and Gender: Exploring Theory and Practice in Global Contexts (2015) Journal of Small Business Management, 53 (3), pp. 581-586; Hirsch, J.E., An index to quantify an individual’s scientific research output (2005) Proceedings of the National Academy of Sciences of the United States of America, 102 (46), pp. 16569-16572; Hjørland, B., Citation analysis: A social and dynamic approach to knowledge organization (2013) Information Processing and Management, 49 (6), pp. 1313-1325; Hood, W.W., Wilson, C.S., The literature of bibliometrics, scientometrics, and informetrics (2001) Scientometrics, 52 (2), pp. 291-314; Huff, A.S., (1999) Writing for scholarly publication, , Sage; Karpinskaia, E., Shirokova, G., Entrepreneurial leadership: approaches to concept definition and main research directions (2019) -., 18 (2), pp. 235-260. , Вестник Санкт Петербургского Университета Менеджмент; Kempster, S., Cope, J., Learning to lead in the entrepreneurial context (2010) Team Performance Management, 16, pp. 5-34; Kessler, M.M., Bibliographic coupling between scientific papers (1963) American Documentation, 14 (1), pp. 10-25. , (,),.,., issue; Kuratko, D.F., Entrepreneurial Leadership in the 21st Century (2007) Journal of Leadership &amp; Organizational Studies, 13 (4), pp. 1-11; Leitch, C.M., Harrison, R.T., The evolving field of entrepreneurial leadership: An overview (2018) Research Handbook on Entrepreneurship and Leadership, , https://doi.org/10.4337/9781783473762.00006; Leitch, C.M., Mcmullan, C., Harrison, R.T., The Development of Entrepreneurial Leadership: The Role of Human, Social and Institutional Capital (2013) British Journal of Management, 24 (3), pp. 347-366; Liao, H., Tang, M., Luo, L., Li, C., Chiclana, F., Zeng, X.J., A bibliometric analysis and visualization of medical big data research (2018) Sustainability (Switzerland), 10 (1), pp. 1-18; Lippitt, G.L., Entrepreneurial leadership: A performing art (1987) Journal of Creative Behavior, 21, pp. 264-270; Luor, T., Lu, H.P., Yu, H., Chang, K., Trends in and contributions to entrepreneurship research: A broad review of literature from 1996 to June 2012 (2014) Scientometrics, 99 (2), pp. 353-369; All credit to men? Entrepreneurship, finance, and gender.Entrepreneurship (2005) Theory and Practice, 29 (6), p. 717+. , https://link.gale.com/apps/doc/A138313768/AONE?u=anon~d835599e&amp;sid=googleScholar&amp;xid=3a075dce, . November; Martínez, M.A., Herrera, M., Contreras, E., Ruíz, A., Herrera-Viedma, E., Characterizing highly cited papers in Social Work through H-Classics (2014) Scientometrics, 102 (2), pp. 1713-1729; Merigó, J.M., Cancino, C.A., Coronado, F., Urbano, D., Academic research in innovation: a country analysis (2016) Scientometrics, 108 (2), pp. 559-593; Merigó, J.M., Gil-Lafuente, A.M., Yager, R.R., An overview of fuzzy research with bibliometric indicators (2015) Applied Soft Computing Journal, 27, pp. 420-433; Merigó, J.M., Pedrycz, W., Weber, R., de la Sotta, C., Fifty years of Information Sciences: A bibliometric overview (2018) Information Sciences, 432, pp. 245-268; Merigó, J.M., Yang, J.B., Accounting Research: A Bibliometric Analysis (2017) Australian Accounting Review, 27 (1), pp. 71-100; Nicholson, N., Personality and entrepreneurial leadership:: A study of the heads of the UK’s most successful independent companies (1998) European Management Journal, 16 (5), pp. 529-539; Patterson, N., Mavin, S., Turner, J., Unsettling the gender binary: Experiences of gender in entrepreneurial leadership and implications for HRD (2012) European Journal of Training and Development, 36 (7), pp. 687-711; Podsakoff, P.M., MacKenzie, S.B., Podsakoff, N.P., Bachrach, D.G., Scholarly influence in the field of management: A bibliometric analysis of the determinants of University and author impact in the management literature in the past quarter century (2008) Journal of Management, 34. , &amp;, (,).,., https://doi.org/10.1177/0149206308319533; Renko, M., Tarabishy, E., Carsrud, A., Brännback, M., Understanding and measuring entrepreneurial leadership style (2015) Journal of Small Business Management, 53 (1), pp. 54-74; Roomi, M.A., Harrison, P., Entrepreneurial Leadership: What Is It and How Should It Be Taught ? (2011) International Review of Entrepreneurship, 9 (3), pp. 1-43; Schubert, A., Successive h-indices (2007) Scientometrics, 70 (1), pp. 201-205; Simba, A., Thai, M.T.T., Advancing Entrepreneurial Leadership as a Practice in MSME Management and Development (2019) Journal of Small Business Management, 57 (S2), pp. 397-416; Thongpapanl, N., The changing landscape of technology and innovation management: An updated ranking of journals in the field (2012) Technovation, 32 (5), pp. 257-271; Van Eck, N.J., Waltman, L., Software survey: VOSviewer, a computer program for bibliometric mapping (2010) Scientometrics, 84 (2), pp. 523-538; Vecchio, R.P., Leadership and gender (2002) International Encyclopedia of Education, 13, pp. 797-802; Vecchio, R.P., Entrepreneurship and leadership: Common trends and common threads (2003) Human Resource Management Review, 13 (2), pp. 303-327; Wallin, J.A., Bibliometric methods: Pitfalls and possibilities (2005) Basic and Clinical Pharmacology and Toxicology, 97 (5), pp. 261-275; Wang, J., Citation time window choice for research impact evaluation (2013) Scientometrics, 94 (3), pp. 851-872; Zupic, I., Čater, T., Bibliometric Methods in Management and Organization (2015) Organizational Research Methods, 18 (3), pp. 429-472; Cobo, M., López-Herrera, A., Herrera-Viedma, E., Herrera, F., Science mapping software tools: Review, analysis, and cooperative study among tools (2011) J. Am. Soc. Inf. Sci., 62, pp. 1382-1402. , (,),.,:, -,., https://doi.org/10.1002/asi.21525</t>
  </si>
  <si>
    <t>Aparisi-Torrijo, S.; Business Management department, Spain; email: soaptor@omp.upv.es</t>
  </si>
  <si>
    <t>Int. Entrep. Manage. J.</t>
  </si>
  <si>
    <t>2-s2.0-85135528704</t>
  </si>
  <si>
    <t>Cifuentes E.A., Sierra M.A., Yepes A.F., Baldión A.M., Rojas J.A., Álvarez-Moreno C.A., Anzola J.M., Zambrano M.M., Huertas M.G.</t>
  </si>
  <si>
    <t>57767808900;57216321432;57767326500;57225939871;57768784300;57221557200;56674232400;55664687300;55350757800;</t>
  </si>
  <si>
    <t>Respiratory Research</t>
  </si>
  <si>
    <t>https://www.scopus.com/inward/record.uri?eid=2-s2.0-85132992676&amp;doi=10.1186%2fs12931-022-02086-7&amp;partnerID=40&amp;md5=efcd5a6f555bdc3f8fbf31c1b5cd2e53</t>
  </si>
  <si>
    <t>Corporación CorpoGen Research Center, Bogotá, Colombia; Tri-Institutional Computational Biology &amp; Medicine Program, Weill Cornell Medicine, New York, NY, United States; Hospital Universitario Fundación Santa Fe de Bogotá, Bogotá, Colombia; Clínica Universitaria Colombia, Clínica Colsanitas, Bogotá, Colombia; Universidad Central, Bogotá, Colombia; Universidad Pedagógica y Tecnológica de Colombia, Tunja, Boyacá, Colombia</t>
  </si>
  <si>
    <t>Cifuentes, E.A., Corporación CorpoGen Research Center, Bogotá, Colombia; Sierra, M.A., Corporación CorpoGen Research Center, Bogotá, Colombia, Tri-Institutional Computational Biology &amp; Medicine Program, Weill Cornell Medicine, New York, NY, United States; Yepes, A.F., Hospital Universitario Fundación Santa Fe de Bogotá, Bogotá, Colombia; Baldión, A.M., Hospital Universitario Fundación Santa Fe de Bogotá, Bogotá, Colombia; Rojas, J.A., Clínica Universitaria Colombia, Clínica Colsanitas, Bogotá, Colombia; Álvarez-Moreno, C.A., Clínica Universitaria Colombia, Clínica Colsanitas, Bogotá, Colombia; Anzola, J.M., Corporación CorpoGen Research Center, Bogotá, Colombia, Universidad Central, Bogotá, Colombia; Zambrano, M.M., Corporación CorpoGen Research Center, Bogotá, Colombia, Universidad Central, Bogotá, Colombia; Huertas, M.G., Corporación CorpoGen Research Center, Bogotá, Colombia, Universidad Pedagógica y Tecnológica de Colombia, Tunja, Boyacá, Colombia</t>
  </si>
  <si>
    <t>Background: Studies of the respiratory tract microbiome primarily focus on airway and lung microbial diversity, but it is still unclear how these microbial communities may be affected by intubation and long periods in intensive care units (ICU), an aspect that today could aid in the understanding of COVID19 progression and disease severity. This study aimed to explore and characterize the endotracheal tube (ETT) microbiome by analyzing ETT-associated microbial communities. Methods: This descriptive study was carried out on adult patients subjected to invasive mechanical ventilation from 2 to 21 days. ETT samples were obtained from 115 patients from ICU units in two hospitals. Bacteria isolated from endotracheal tubes belonging to the ESKAPE group were analyzed for biofilm formation using crystal violet quantification. Microbial profiles were obtained using Illumina sequencing of 16S rRNA gene. Results: The ETT microbiome was mainly composed by the phyla Proteobacteria, Firmicutes and Bacteroidetes. Microbiome composition correlated with the ICU in which patients were hospitalized, while intubation time and diagnosis of ventilator-associated pneumonia (VAP) did not show any significant association. Conclusion: These results suggest that the ICU environment, or medical practices, could be a key to microbial colonization and have a direct influence on the ETT microbiomes of patients that require mechanical ventilation. © 2022, The Author(s).</t>
  </si>
  <si>
    <t>Endotracheal tubes; Intensive care units (ICUs); Microbial diversity; Respiratory tract microbiome; Ventilator-associated pneumonia</t>
  </si>
  <si>
    <t>RNA 16S; RNA 16S; adult; aged; Article; bacterium isolation; Bacteroidetes; biofilm; correlational study; descriptive research; female; Firmicutes; hospital; hospitalization; human; illumina sequencing; intensive care unit; intubation; invasive ventilation; lung microbiota; major clinical study; male; microbial community; middle aged; Proteobacteria; RNA gene; ventilator associated pneumonia; adverse event; artificial ventilation; endotracheal intubation; genetics; microflora; Adult; Biofilms; COVID-19; Hospitals; Humans; Intubation, Intratracheal; Microbiota; Respiration, Artificial; RNA, Ribosomal, 16S</t>
  </si>
  <si>
    <t>RNA, Ribosomal, 16S</t>
  </si>
  <si>
    <t>6396100270500, 63967255342</t>
  </si>
  <si>
    <t>We thank Dr. Fabio Varon from Fundación Neumológica Colombiana, for his advice and help with writing the project for the funding agency. The authors wish to thank Maria Gabriela Portilla and Miguel Mariño for their help in processing DNA and to BIOS (Centro de bioinformática y biología computacional) for their collaboration and suggestions for the bioinformatic analysis. We also thank Maritsa Cruz with help in preparing and uploading the sequence data.</t>
  </si>
  <si>
    <t>Pirrone, M., Pinciroli, R., Berra, L., Microbiome, biofilms, and pneumonia in the ICU (2016) Curr Opin Infect Dis, 29, pp. 160-166. , COI: 1:CAS:528:DC%2BC28XjsVGis70%3D, PID: 26855081; Yatera, K., Noguchi, S., Mukae, H., The microbiome in the lower respiratory tract (2018) Respir Investig, 56, pp. 432-439. , PID: 30392534; Dickson, R.P., Erb-Downward, J.R., Huffnagle, G.B., Towards an ecology of the lung: new conceptual models of pulmonary microbiology and pneumonia pathogenesis (2014) Lancet Respir Med, 2, pp. 238-246. , PID: 24621685; Dickson, R.P., Erb-Downward, J.R., Martinez, F.J., Huffnagle, G.B., The microbiome and the respiratory tract (2016) Annu Rev Physiol, 78, pp. 481-504. , COI: 1:CAS:528:DC%2BC2MXhslGlsr7J, PID: 26527186; Segal, L.N., Clemente, J.C., Tsay, J.-C.J., Koralov, S.B., Keller, B.C., Wu, B.G., Enrichment of the lung microbiome with oral taxa is associated with lung inflammation of a Th17 phenotype (2016) Nat Microbiol, 1, p. 16031. , COI: 1:CAS:528:DC%2BC2sXkvF2jtrY%3D, PID: 27572644; Perkins, S.D., Woeltje, K.F., Angenent, L.T., Endotracheal tube biofilm inoculation of oral flora and subsequent colonization of opportunistic pathogens (2010) Int J Med Microbiol, 300, pp. 503-511. , COI: 1:CAS:528:DC%2BC3cXht1Srur7N, PID: 20510651; Fernández-Barat, L., Torres, A., Biofilms in ventilator-associated pneumonia (2016) Future Microbiol, 11, pp. 1599-1610. , PID: 27831764; Jamal, M., Ahmad, W., Andleeb, S., Jalil, F., Imran, M., Nawaz, M.A., Bacterial biofilm and associated infections (2018) J Chinese Med Assoc, 81, pp. 7-11; Percival, S.L., Suleman, L., Vuotto, C., Donelli, G., Healthcare-associated infections, medical devices and biofilms: risk, tolerance and control (2015) J Med Microbiol, 64, pp. 323-334. , PID: 25670813; Founou, R.C., Founou, L.L., Essack, S.Y., Clinical and economic impact of antibiotic resistance in developing countries: a systematic review and meta-analysis (2017) PLoS ONE, 12. , PID: 29267306; Edwardson, S., Cairns, C., Nosocomial infections in the ICU (2019) Anaesth Intensive Care Med, 20, pp. 14-18; Vandecandelaere, I., Matthijs, N., Van Nieuwerburgh, F., Deforce, D., Vosters, P., De Bus, L., Assessment of microbial diversity in biofilms recovered from endotracheal tubes using culture dependent and independent approaches (2012) PLoS ONE, 7. , COI: 1:CAS:528:DC%2BC38Xos1ert7s%3D, PID: 22693635; Botero, L.E., Delgado-Serrano, L., Cepeda, M.L., Bustos, J.R., Anzola, J.M., Del Portillo, P., Respiratory tract clinical sample selection for microbiota analysis in patients with pulmonary tuberculosis (2014) Microbiome, 2, p. 29. , PID: 25225609; Munive, A., Bases del conocimiento microbiológico (2013) Microbiología Aplicada Al Paciente crítico., p. 477. , Bogotá: Distribuna Editorial; Thijs, S., Op De Beeck, M., Beckers, B., Truyens, S., Stevens, V., Van Hamme, J.D., Comparative evaluation of four bacteria-specific primer pairs for 16S rRNA gene surveys (2017) Front Microbiol, 8, pp. 1-15; Andrews, S., Krueger, F., Seconds-Pichon, A., Biggins, F., Wingett, S., FastQC a quality control tool for high throughput sequence data (2015) Babraham Bioinform., 1, p. 1. , COI: 1:CAS:528:DC%2BC1cXhs1yktLnP; Bolger, A.M., Lohse, M., Usadel, B., Trimmomatic: a flexible trimmer for Illumina sequence data (2014) Bioinformatics, 30, pp. 2114-2120. , COI: 1:CAS:528:DC%2BC2cXht1Sqt7nP, PID: 24695404; Schloss, P.D., Westcott, S.L., Ryabin, T., Hall, J.R., Hartmann, M., Hollister, E.B., Introducing mothur: open-source, platform-independent, community-supported software for describing and comparing microbial communities (2009) Appl Environ Microbiol, 75, pp. 7537-7541. , COI: 1:CAS:528:DC%2BC3cXis1yltw%3D%3D, PID: 19801464; McDonald, D., Price, M.N., Goodrich, J., Nawrocki, E.P., DeSantis, T.Z., Probst, A., An improved Greengenes taxonomy with explicit ranks for ecological and evolutionary analyses of bacteria and archaea (2012) ISME J, 6, pp. 610-618. , COI: 1:CAS:528:DC%2BC38XisVGgsbs%3D, PID: 22134646; Shannon, C., Weaver, W., (1964) The mathematical theory of communication, , University of Illinois Press, Champaign; Simpson, E.H., Measurement of diversity (1949) Nature, 163, p. 688; McMurdie, P.J., Holmes, S., phyloseq: an R Package for reproducible interactive analysis and graphics of microbiome census data (2013) PLoS ONE, 8. , COI: 1:CAS:528:DC%2BC3sXntVWht7w%3D, PID: 23630581; Gloor, G., (2017) ALDEx2â€¯: ANOVA-Like Differential Expression tool for compositional data, 111, pp. 1-11; Huertas, M.G., Zárate, L., Acosta, I.C., Posada, L., Cruz, D.P., Lozano, M., Klebsiella pneumoniae yfiRNB operon affects biofilm formation, polysaccharide production and drug susceptibility (2014) Microbiol, 160, pp. 2595-2606. , COI: 1:CAS:528:DC%2BC2MXjs1Snsrg%3D; Balestrino, D., Haagensen, J.A.J., Rich, C., Forestier, C., Characterization of type 2 quorum sensing in Klebsiella pneumoniae and relationship with biofilm formation (2005) J Bacteriol, 187, pp. 2870-2880. , COI: 1:CAS:528:DC%2BD2MXjtlSjt7Y%3D, PID: 15805533; Stepanović, S., Vuković, D., Hola, V., Di Bonaventura, G., Djukić, S., Ćirković, I., Quantification of biofilm in microtiter plates: overview of testing conditions and practical recommendations for assessment of biofilm production by staphylococci (2007) APMIS, 115, pp. 891-899. , PID: 17696944; Galal, Y.S., Ventilator-associated pneumonia: incidence, risk factors and outcome in paediatric intensive care units at Cairo University Hospital (2014) J Clin Diagnostic Res, 2016 (10), pp. 6-11; Guidelines for the management of adults with hospital-acquired, ventilator-associated, and healthcare-associated pneumonia (2005) Am J Respir Crit Care Med, 171, pp. 388-416; Fabbrizzi, A., Amedei, A., Lavorini, F., Renda, T., Fontana, G., The lung microbiome: clinical and therapeutic implications (2019) Intern Emerg Med, 14, pp. 1241-1250. , PID: 31667699; Dickson, R.P., Erb-Downward, J.R., Huffnagle, G.B., The role of the bacterial microbiome in lung disease (2013) Expert Rev Respir Med, 7, pp. 245-257. , COI: 1:CAS:528:DC%2BC3sXos12gtLs%3D, PID: 23734647; de Steenhuijsen Piters, W.A.A., Huijskens, E.G.W., Wyllie, A.L., Biesbroek, G., van den Bergh, M.R., Veenhoven, R.H., Dysbiosis of upper respiratory tract microbiota in elderly pneumonia patients (2016) ISME J, 10, pp. 97-108. , PID: 26151645; Shokri, D., Khorasgani, M.R., Mohkam, M., Fatemi, S.M., Ghasemi, Y., Taheri-Kafrani, A., The inhibition effect of lactobacilli against growth and biofilm formation of Pseudomonas aeruginosa (2018) Probiotics Antimicrob Proteins, 10, pp. 34-42. , COI: 1:CAS:528:DC%2BC2sXkt1WlsLk%3D, PID: 28293865; Dewhirst, F.E., Chen, T., Izard, J., Paster, B.J., Tanner, A.C.R., Yu, W.-H., The human oral microbiome (2010) J Bacteriol, 192, pp. 5002-5017. , COI: 1:CAS:528:DC%2BC3cXhsFCitbrP, PID: 20656903; Marino, P.J., Wise, M.P., Smith, A., Marchesi, J.R., Riggio, M.P., Lewis, M.A.O., Community analysis of dental plaque and endotracheal tube biofilms from mechanically ventilated patients (2017) J Crit Care, 39, pp. 149-155. , PID: 28259058; Sands, K.M., Wilson, M.J., Lewis, M.A.O., Wise, M.P., Palmer, N., Hayes, A.J., Respiratory pathogen colonization of dental plaque, the lower airways, and endotracheal tube biofilms during mechanical ventilation (2017) J Crit Care, 37, pp. 30-37. , PID: 27621110; Hotterbeekx, A., Xavier, B.B., Bielen, K., Lammens, C., Moons, P., Schepens, T., The endotracheal tube microbiome associated with Pseudomonas aeruginosa or Staphylococcus epidermidis (2016) Sci Rep, 6, p. 36507. , COI: 1:CAS:528:DC%2BC28XhvVSitb3M, PID: 27812037; Callahan, B.J., McMurdie, P.J., Holmes, S.P., Exact sequence variants should replace operational taxonomic units in marker-gene data analysis (2017) ISME J, 11, pp. 2639-2643. , PID: 28731476; Chiarello, M., McCauley, M., Villéger, S., Jackson, C.R., Ranking the biases: the choice of OTUs vs. ASVs in 16S rRNA amplicon data analysis has stronger effects on diversity measures than rarefaction and OTU identity threshold (2022) PLoS ONE, 17. , COI: 1:CAS:528:DC%2BB38XlslCnsLg%3D, PID: 35202411; Schloss, P.D., Amplicon sequence variants artificially split bacterial genomes into separate clusters (2021) mSphere., 6. , COI: 1:CAS:528:DC%2BB3MXitVSmsLvK; Zhou, S.-F., Yang, X.-J., Wang, Y.-B., Zhou, Z.-W., Wang, G.-W., Wang, X.-H., High-throughput sequencing of 16S rDNA amplicons characterizes bacterial composition in bronchoalveolar lavage fluid in patients with ventilator-associated pneumonia (2015) Drug Des Devel Ther., 9, p. 4883. , PID: 26345636; Kitsios, G.D., Fitch, A., Manatakis, D.V., Rapport, S.F., Li, K., Qin, S., Respiratory microbiome profiling for etiologic diagnosis of pneumonia in mechanically ventilated patients (2018) Front Microbiol, 9, pp. 1-15; Lamarche, D., Johnstone, J., Zytaruk, N., Clarke, F., Hand, L., Loukov, D., Microbial dysbiosis and mortality during mechanical ventilation: a prospective observational study (2018) Respir Res, 19, p. 245. , COI: 1:CAS:528:DC%2BC1MXhtFait7vN, PID: 30526610; Ospina, M.L., Prieto, F.E., Walteros, D., Quijada, H., (2021) Boletin epidemiologico Semanal (BES)- Semana epidemiológica 08 -2021, , Bogota - Colombia; Fernández-Barat, L., López-Aladid, R., Torres, A., Reconsidering ventilator-associated pneumonia from a new dimension of the lung microbiome (2020) EBioMedicine, 60. , PID: 32950001; Rosenthal, V.D., Al-Abdely, H.M., El-Kholy, A.A., AlKhawaja, S.A.A., Leblebicioglu, H., Mehta, Y., International Nosocomial Infection Control Consortium report, data summary of 50 countries for 2010–2015: device-associated module (2016) Am J Infect Control, 44, pp. 1495-1504. , PID: 27742143; de Boer, M.G.J., Brunsveld-Reinders, A.H., Salomons, E.M.A., Dijkshoorn, L., Bernards, A.T., van den Berg, P.C.M., Multifactorial origin of high incidence of Serratia marcescens in a cardio-thoracic ICU: analysis of risk factors and epidemiological characteristics (2008) J Infect, 56, pp. 446-453. , PID: 18511122; Souza, L.C.D., da Mota, V.B., de Carvalho, A.V., da Corrêa, R.S., Libério, S.A., Lopes, F.F., Association between pathogens from tracheal aspirate and oral biofilm of patients on mechanical ventilation (2017) Braz Oral Res, 31, pp. 1-9; Ribeiro, L.F., Lopes, E.M., Kishi, L.T., Ribeiro, L.F.C., Menegueti, M.G., Gaspar, G.G., Microbial community profiling in intensive care units expose limitations in current sanitary standards (2019) Front Public Heal, 7, pp. 1-14; Lord, A.S., Nicholson, J., Lewis, A., Infection prevention in the neurointensive care unit: a systematic review (2019) Neurocrit Care, 31, pp. 196-210. , PID: 29998427; Busl, K.M., Healthcare-associated infections in the neurocritical care unit (2019) Curr Neurol Neurosci Rep, 19, p. 76. , PID: 31456054; Bahrani-Mougeot, F.K., Paster, B.J., Coleman, S., Barbuto, S., Brennan, M.T., Noll, J., Molecular analysis of oral and respiratory bacterial species associated with ventilator-associated pneumonia (2007) J Clin Microbiol, 45, pp. 1588-1593. , COI: 1:CAS:528:DC%2BD2sXmsFOmtbc%3D, PID: 17301280; de Carvalho Baptista, I.M., Martinho, F.C., Nascimento, G.G., da Rocha Santos, C.E., do Prado, R.F., Valera, M.C., Colonization of oropharynx and lower respiratory tract in critical patients: risk of ventilator-associated pneumonia (2018) Arch Oral Biol, 85, pp. 64-69. , PID: 29031240; Finlay, B.B., Amato, K.R., Azad, M., Blaser, M.J., Bosch, T.C.G., Chu, H., The hygiene hypothesis, the COVID pandemic, and consequences for the human microbiome (2021) Proc Natl Acad Sci, 118. , COI: 1:CAS:528:DC%2BB3MXjvVert7w%3D, PID: 33472859; Soffritti, I., D’Accolti, M., Fabbri, C., Passaro, A., Manfredini, R., Zuliani, G., Oral microbiome dysbiosis is associated with symptoms severity and local immune/inflammatory response in covid-19 patients: a cross-sectional study (2021) Front Microbiol, 12, p. 687513. , PID: 34248910; Khatiwada, S., Subedi, A., Lung microbiome and coronavirus disease 2019 (COVID-19): possible link and implications (2020) Hum Microbiome J, 17; Shen, Z., Xiao, Y., Kang, L., Ma, W., Shi, L., Zhang, L., Genomic diversity of severe acute respiratory syndrome-coronavirus 2 in patients with coronavirus disease 2019 (2020) Clin Infect Dis, 71, pp. 713-720. , COI: 1:CAS:528:DC%2BB3cXhsF2mtL7F, PID: 32129843; Fan, J., Li, X., Gao, Y., Zhou, J., Wang, S., Huang, B., The lung tissue microbiota features of 20 deceased patients with COVID-19 (2020) J Infect, 81, pp. e64-e67. , COI: 1:CAS:528:DC%2BB3cXht1OntLvO, PID: 32579991; Bradley, K.C., Finsterbusch, K., Schnepf, D., Crotta, S., Llorian, M., Davidson, S., Microbiota-driven tonic interferon signals in lung stromal cells protect from influenza virus infection (2019) Cell Rep, 28, pp. 245-256.e4. , COI: 1:CAS:528:DC%2BC1MXhtlWns7zN, PID: 31269444; Spacova, I., Ceuppens, J.L., Seys, S.F., Petrova, M.I., Lebeer, S., Probiotics against airway allergy: host factors to consider (2018) Dis Model Mech, 11, p. dmm034314. , PID: 30037806; Coperchini, F., Chiovato, L., Croce, L., Magri, F., Rotondi, M., The cytokine storm in COVID-19: an overview of the involvement of the chemokine/chemokine-receptor system (2020) Cytokine Growth Factor Rev, 53, pp. 25-32. , COI: 1:CAS:528:DC%2BB3cXhtVaqtr7M, PID: 32446778</t>
  </si>
  <si>
    <t>Huertas, M.G.; Universidad Pedagógica y Tecnológica de ColombiaColombia; email: monica.huertas01@uptc.edu.co</t>
  </si>
  <si>
    <t>RREEB</t>
  </si>
  <si>
    <t>2-s2.0-85132992676</t>
  </si>
  <si>
    <t>Escobar J.W., Duque J.L.R., García-Cáceres R.</t>
  </si>
  <si>
    <t>55250091100;57191203292;24780351500;</t>
  </si>
  <si>
    <t>International Journal of Industrial Engineering Computations</t>
  </si>
  <si>
    <t>https://www.scopus.com/inward/record.uri?eid=2-s2.0-85119670810&amp;doi=10.5267%2fj.ijiec.2021.6.001&amp;partnerID=40&amp;md5=614fa579153bcc6a6bb7f7cb5cd302b3</t>
  </si>
  <si>
    <t>Department of Accounting and Finance, Universidad del Valle, Cali, Valle del Cauca, Cali, 760001, Colombia; Department of Industrial and Civil Engineering, Pontificia Universidad Javeriana Cali, Valle del Cauca, Cali, 760001, Colombia; School of Industrial Engineering, Universidad Pedagógica y Tecnológica de Colombia-UPTC, Sogamoso, Colombia</t>
  </si>
  <si>
    <t>Escobar, J.W., Department of Accounting and Finance, Universidad del Valle, Cali, Valle del Cauca, Cali, 760001, Colombia; Duque, J.L.R., Department of Industrial and Civil Engineering, Pontificia Universidad Javeriana Cali, Valle del Cauca, Cali, 760001, Colombia; García-Cáceres, R., School of Industrial Engineering, Universidad Pedagógica y Tecnológica de Colombia-UPTC, Sogamoso, Colombia</t>
  </si>
  <si>
    <t>The Refrigerated Capacitated Vehicle Routing Problem (RCVRP) considers a homogeneous fleet with a refrigerated system to decide the selection of routes to be performed according to customers' requirements. The aim is to keep the energy consumption of the routes as low as possible. We use a thermodynamic model to understand the unloading of products from trucks and the variables' efficiency, such as the temperature during the day influencing energy consumption. By considering various neighborhoods and a shaking procedure, this paper proposes a Granular Tabu Search scheme to solve the RCVRP. Computational tests using adapted benchmark instances from the literature demonstrate that the suggested method delivers high-quality solutions within short computing times, illustrating the refrigeration system's effect on routing decisions. © 2022 by the authors; licensee Growing Science, Canada.</t>
  </si>
  <si>
    <t>COVID-19; Granular tabu search (GTS); Metaheuristic algorithms; Refrigerated capacitated vehicle; Refrigerated systems; Routing problem (RCVRP); Vehicle routing problems</t>
  </si>
  <si>
    <t>(2017) ASHRAE handbook of fundamentals, p. 241. , Ashrae American Society of Heating. New York, 24.6; Aydemir, E., Karagul, K., Solving a Periodic Capacitated Vehicle Routing Problem Using Simulated Annealing Algorithm for a Manufacturing Company (2020) Brazilian Journal of Operations &amp; Production Management, 17 (1), pp. 1-13; Baker, B. M., Ayechew, M. A., A genetic algorithm for the vehicle routing problem (2003) Computers &amp; Operations Research, 30 (5), pp. 787-800; Bell, J. E., McMullen, P. R., Ant colony optimization techniques for the vehicle routing problem (2004) Advanced Engineering Informatics, 18 (1), pp. 41-48; Bernal, J., Escobar, J. W., Linfati, R., A granular tabu search algorithm for a real case study of a vehicle routing problem with a heterogeneous fleet and time windows (2017) Journal of Industrial Engineering and Management, 10 (4), pp. 646-662; Bernal, J., Escobar, J. W., Paz, J. C., Linfati, R., Gatica, G., A probabilistic granular tabu search for the distance constrained capacitated vehicle routing problem (2018) International Journal of Industrial and Systems Engineering, 29 (4), pp. 453-477; Bolaños, R., Echeverry, M., Escobar, J., A multiobjective non-dominated sorting genetic algorithm (NSGA-II) for the Multiple Traveling Salesman Problem (2015) Decision Science Letters, 4 (4), pp. 559-568; Ceschia, S., Di Gaspero, L., Meneghetti, A., Extending and Solving the Refrigerated Routing Problem (2020) Energies, 13 (23), p. 6214; Chávez, J., Escobar, J., Echeverri, M., A multi-objective Pareto ant colony algorithm for the Multi-Depot Vehicle Routing problem with Backhauls (2016) International Journal of Industrial Engineering Computations, 7 (1), pp. 35-48; Chen, L., Liu, Y., Langevin, A., A multi-compartment vehicle routing problem in cold-chain distribution (2019) Computers &amp; Operations Research, 111, pp. 58-66; Cordeau, J. F., Gendreau, M., Laporte, G., A tabu search heuristic for periodic and multi‐depot vehicle routing problems (1997) Networks: An International Journal, 30 (2), pp. 105-119; Eksioglu, B., Vural, A. V., Reisman, A., The vehicle routing problem: A taxonomic review (2009) Computers &amp; Industrial Engineering, 57 (4), pp. 1472-1483; Escobar, J. W., Linfati, R., Un algoritmo metaheurístico basado en recocido simulado con espacio de búsqueda granular para el problema de localización y ruteo con restricciones de capacidad (2012) Revista Ingenierías Universidad de Medellín, 11 (21), pp. 139-150; Escobar, J. W., Linfati, R., Toth, P., A two-phase hybrid heuristic algorithm for the capacitated location-routing problem (2013) Computers &amp; Operations Research, 40 (1), pp. 70-79; Escobar, J. W., Linfati, R., Baldoquin, M. G., Toth, P., A Granular Variable Tabu Neighborhood Search for the capacitated location-routing problem (2014) Transportation Research Part B: Methodological, 67, pp. 344-356; Escobar, J. W., Linfati, R., Toth, P., Baldoquin, M. G., A hybrid granular tabu search algorithm for the multi-depot vehicle routing problem (2014) Journal of Heuristics, 20 (5), pp. 483-509; Escobar-Falcón, L. M., Álvarez-Martínez, D., Granada-Echeverri, M., Escobar, J. W., Romero-Lázaro, R. A., A matheuristic algorithm for the three-dimensional loading capacitated vehicle routing problem (3L-CVRP) (2016) Revista Facultad de Ingeniería Universidad de Antioquia, 78, pp. 09-20; Escobar-Falcón, L., Álvarez-Martínez, D., Wilmer-Escobar, J., Granada-Echeverri, M., A specialized genetic algorithm for the fuel consumption heterogeneous fleet vehicle routing problem with bidimensional packing constraints (2021) International Journal of Industrial Engineering Computations, 12 (2), pp. 191-204; Gatica, G., Villagrán, G., Bolton, C. C., Linfati, R., Escobar, J. W., A New Genotype-Phenotype Genetic Algorithm for the Two-Dimensional Strip Packing Problem with Rotation of 90° 1 (2016) Ingeniería y universidad, 20 (1), pp. 119-138; Gendreau, M., An introduction to tabu search (2003) Handbook of metaheuristics, pp. 37-54. , Springer, Boston, MA; Hsu, C. I., Hung, S. F., Vehicle routing problem for distributing refrigerated food (2003) Journal of the Eastern Asia Society for Transportation Studies, 5, pp. 2261-2272; Hsu, C. I., Hung, S. F., Li, H. C., Vehicle routing problem with time-windows for perishable food delivery (2007) Journal of Food Engineering, 80 (2), pp. 465-475; James, S. J., Swain, M. J., Brown, T., Evans, J. A., Tassou, S. A., Ge, Y. T., Baglee, D., Improving the energy efficiency of food refrigeration operations (2009) Proceedings of the Institute of Refrigeration, 5; Kara, I., Kara, B. Y., Yetis, M. K., Energy minimizing vehicle routing problem (2007) International Conference on Combinatorial Optimization and Applications, pp. 62-71. , Springer, Berlin, Heidelberg; Karagul, K., Sahin, Y., Aydemir, E., Oral, A., A simulated annealing algorithm based solution method for a green vehicle routing problem with fuel consumption (2019) Lean and green supply chain management, pp. 161-187. , Springer, Cham; Lepri, S., Livi, R., Politi, A., Thermal conduction in classical low-dimensional lattices (2003) Physics Reports, 377 (1), pp. 1-80; Li, G., Comprehensive investigation of transport refrigeration life cycle climate performance (2017) Sustainable Energy Technologies and Assessments, 21, pp. 33-49; Li, Y., Soleimani, H., Zohal, M., An improved ant colony optimization algorithm for the multi-depot green vehicle routing problem with multiple objectives (2019) Journal of Cleaner Production, 227, pp. 1161-1172; Linfati, R., Escobar, J. W., Gatica, G., Un algoritmo metaheurístico para el problema de localización y ruteo con flota heterogénea (2014) Ingeniería y Ciencia, 10 (19), pp. 55-76; Liu, G., Hu, J., Yang, Y., Xia, S., Lim, M. K., Vehicle routing problem in cold Chain logistics: A joint distribution model with carbon trading mechanisms (2020) Resources, Conservation and Recycling, 156, p. 104715; Meneghetti, A., Da Rold, G., Cortella, G., Sustainable refrigerated food transport: searching energy efficient routes (2018) IFAC-PapersOnLine, 51 (11), pp. 618-623; Meneghetti, A., Ceschia, S., Energy-efficient frozen food transports: The refrigerated routing problem (2020) International Journal of Production Research, 58 (14), pp. 4164-4181; Novaes, A. G., Lima, O. F., Carvalho, C. C. D., Bez, E. T., Thermal performance of refrigerated vehicles in the distribution of perishable food (2015) Pesquisa Operacional, 35 (2), pp. 251-284; Osman, I. H., Metastrategy simulated annealing and tabu search algorithms for the vehicle routing problem (1993) Annals of Operations Research, 41 (4), pp. 421-451; Osvald, A., Stirn, L. Z., A vehicle routing algorithm for the distribution of fresh vegetables and similar perishable food (2008) Journal of Food Engineering, 85 (2), pp. 285-295; Prajapati, V. K., Jain, M., Chouhan, L., Tabu search algorithm (TSA): A comprehensive survey (2020) 2020 3rd International Conference on Emerging Technologies in Computer Engineering: Machine Learning and Internet of Things (ICETCE), pp. 1-8. , IEEE; Prosen, T., Robnik, M., Energy transport and detailed verification of Fourier heat law in a chain of colliding harmonic oscillators (1992) Journal of Physics A: Mathematical and General, 25 (12), p. 3449; Puenayán, D. E., Londoño, J. C., Escobar, J. W., Linfati, R., Un algoritmo basado en búsqueda tabú granular para la solución de un problema de ruteo de vehículos considerando flota heterogénea (2014) Revista Ingenierías Universidad de Medellín, 13 (25), pp. 81-98; Rai, A., Tassou, S. A., Energy demand and environmental impacts of alternative food transport refrigeration systems (2017) Energy Procedia, 123, pp. 113-120; Santa Chávez, J. J., Echeverri, M. G., Escobar, J. W., Meneses, C. A. P., A metaheuristic ACO to solve the multi-depot vehicle routing problem with backhauls (2015) International Journal of Industrial Engineering and Management (IJIEM), 6 (2), pp. 49-58; Song, B. D., Ko, Y. D., A vehicle routing problem of both refrigerated-and general-type vehicles for perishable food products delivery (2016) Journal of Food Engineering, 169, pp. 61-71; Tang, Y., Huang, G., Vehicle Routing Problem for perishable food in Cold Chain with Fuzzy Time Windows (2018) In 2018 International Conference on Mathematics, Modelling, Simulation and Algorithms (MMSA 2018), pp. 361-367. , Atlantis Press; Tarantilis, C. D., Kiranoudis, C. T., A meta-heuristic algorithm for the efficient distribution of perishable foods (2001) Journal of Food Engineering, 50 (1), pp. 1-9; Tassou, S. A., De-Lille, G., Ge, Y. T., Food transport refrigeration–Approaches to reduce energy consumption and environmental impacts of road transport (2009) Applied Thermal Engineering, 29 (8-9), pp. 1467-1477; Tassou, S. A., Lewis, J. S., Ge, Y. T., Hadawey, A., Chaer, I., A review of emerging technologies for food refrigeration applications (2010) Applied Thermal Engineering, 30 (4), pp. 263-276; Toth, P., Vigo, D., The granular tabu search and its application to the vehicle-routing problem (2003) Informs Journal on Computing, 15 (4), pp. 333-346; Villagra, S., Villagra, A., Lasso, M. G., Pandolfi, D., San Pedro, M. E. D., Rasjido, J., Miño, R., Metaheurísticas aplicadas al Problema de Ruteo de Vehículos (2011) XIII Workshop de Investigadores en Ciencias de la Computación; Wang, S., Tao, F., Shi, Y., Wen, H., Optimization of vehicle routing problem with time windows for cold chain logistics based on carbon tax (2017) Sustainability, 9 (5), p. 694; Wu, X., Hu, S., Mo, S., Carbon footprint model for evaluating the global warming impact of food transport refrigeration systems (2013) Journal of Cleaner Production, 54, pp. 115-124; Xia, Y., Fu, Z., A tabu search algorithm for distribution network optimization with discrete split deliveries and soft time windows (2019) Cluster Computing, 22 (6), pp. 15447-15457; Xu, S. H., Liu, J. P., Zhang, F. H., Wang, L., Sun, L. J., A combination of genetic algorithm and particle swarm optimization for vehicle routing problem with time windows (2015) Sensors, 15 (9), pp. 21033-21053; Yumrutaş, R., Kunduz, M., Kanoğlu, M., Exergy analysis of vapor compression refrigeration systems (2002) Exergy, An International Journal, 2 (4), pp. 266-272; Zanoni, S., Zavanella, L., Chilled or frozen? Decision strategies for sustainable food supply chains (2012) International Journal of Production Economics, 140 (2), pp. 731-736; Zhang, G., Habenicht, W., Spieß, W. E. L., Improving the structure of deep frozen and chilled food chain with tabu search procedure (2003) Journal of Food Engineering, 60 (1), pp. 67-79; Zhang, Y., Chen, X. D., An optimization model for the vehicle routing problem in multi-product frozen food delivery (2014) Journal of Applied Research and Technology, 12 (2), pp. 239-250; Zhao, Z., Li, X., Zhou, X., Optimization of transportation routing problem for fresh food in time-varying road network: Considering both food safety reliability and temperature control (2020) PloS one, 15 (7), p. e0235950</t>
  </si>
  <si>
    <t>Escobar, J.W.; Department of Accounting and Finance, Valle del Cauca, Colombia; email: john.wilmer.escobar@correounivalle.edu.co</t>
  </si>
  <si>
    <t>Growing Science</t>
  </si>
  <si>
    <t>2-s2.0-85119670810</t>
  </si>
  <si>
    <t>Pérez Paredes A., Rojas Sánchez I., Martínez Ángeles D.M.</t>
  </si>
  <si>
    <t>57223399088;57223822215;57980288600;</t>
  </si>
  <si>
    <t>Entrepreneurship among young university students in Mexico Summary [Emprendimiento empresarial en jóvenes universitarios de México*]</t>
  </si>
  <si>
    <t>10.52080/rvgluz.27.8.18</t>
  </si>
  <si>
    <t>https://www.scopus.com/inward/record.uri?eid=2-s2.0-85142496669&amp;doi=10.52080%2frvgluz.27.8.18&amp;partnerID=40&amp;md5=f20ae169b3393067ff43e922230c3bb2</t>
  </si>
  <si>
    <t>Benemérita Universidad Autónoma de Puebla, Mexico; Universidad Pedagógica y Tecnológica de Colombia, Colombia</t>
  </si>
  <si>
    <t>Pérez Paredes, A., Benemérita Universidad Autónoma de Puebla, Mexico; Rojas Sánchez, I., Universidad Pedagógica y Tecnológica de Colombia, Colombia; Martínez Ángeles, D.M., Benemérita Universidad Autónoma de Puebla, Mexico</t>
  </si>
  <si>
    <t>Undoubtedly, one of the major concerns of higher education graduates is precisely to determine what they will do when they finish their studies; among the main options they consider working for someone else or creating their own company. Entrepreneurship arises from the identification of an investment idea to the creation of the company and achieving sustainability over time. Therefore, the present research sought to determine the characteristics of entrepreneurial intentions in young university students in Mexico. The research is quantitative, the instrument was a survey applied to 275 students, six dimensions were considered, and a descriptive and correlational analysis was performed. The representative result is the entrepreneurial activity dimension, which had positive correlations with entrepreneurial development and success. Finally, it is concluded that at this time the students would not decide to become entrepreneurs due to their age and the semester they are in, despite the fact that in the entry profile and in the induction at the beginning of the career, emphasis is placed on creating entrepreneurship. © 2022, Universidad del Zulia. All rights reserved.</t>
  </si>
  <si>
    <t>Entrepreneurial success; Entrepreneurship; Entrepreneurship; Mexico; Young university students</t>
  </si>
  <si>
    <t>Agami, C., (2016) 12 características de un emprendedor, , https://mundoejecutivo.com.mx/sectores/pymes/2016/04/08/12-caracteristicas-emprendedor/; Angel, P., Jenkins, A., Stephens, A., Understanding entrepreneurial success: A phenomenographic approach (2018) International Small Business Journal: Researching Entrepreneurship, 36 (6), pp. 1-26. , https://doi.org/10.1177/0266242618768662; Boldureanu, G., Măriuca, A., Bercu, A.-M., Bedrule-Grigoruţă, M., Boldureanu, D., Entrepreneurship education through successful entrepreneurial models in higher education institutions (2020) Sustainability, 12 (3), pp. 1-33. , https://doi.org/10.3390/su12031267; Borrayo, C., Valdez, A., Delgado, B., Cultura emprendedora en jóvenes universitarios de Guadalajara, México (2019) Revista de Ciencias Sociales, 25 (3), pp. 72-87. , https://doi.org/10.31876/rcs.v25i3.27358; Bravo, C., Identifying Cross-Country Key Drivers of Social Entrepreneurial Activity (2018) Journal of Social Entrepreneurship, pp. 1-20. , https://doi.org/10.1080/19420676.2018.1467333; Delfín, F., Acosta, M., Importancia y análisis del desarrollo empresarial (2016) Pensamiento &amp; Gestión, 40, pp. 184-202. , https://doi.org/10.14482/pege.40.8810; Delft, S., Kortmann, S., Gelhard, C., Pisani, N., Leveraging global sources of knowledge for business model innovation (2018) Long Range Planning, 52 (5), pp. 1-52. , https://doi.org/10.1016/j.lrp.2018.08.003; Dzenopoljac, V., Alasadi, R., Zaim, H., Bontis, N., Impact of knowledge management processes on business performance: Evidence from Kuwait (2018) Knowledge and Process Management, 25 (2), pp. 1-11. , https://doi.org/10.1002/kpm.1562; Encinas, L., Principales factores asociados al éxito o fracaso en el emprendedurismo (2018) Revista de Investigación Académica Sin Frontera, 1 (27), pp. 1-19. , https://doi.org/10.46589/rdiasf.v0i27.175; (2019) GEM Colombia, estudio de actividad empresarial en 2017, , https://manglar.uninorte.edu.co/bitstream/handle/10584/8370/9789587890563eGEMColombia2017.pdf?sequence=1, (Z. Sotomayo, M. Mendoza, L. Vásquez, M. Kharfan, K. Ávila, &amp; H. Sierra (eds); Universida); González, J., Aproximaciones conceptuales al desarrollo empresarial (2014) Aglala, 5 (1), pp. 86-106. , https://doi.org/10.22519/22157360.756; Guachimbosa, V., Lavín, J., Santiago, N., Universidad para el emprendimiento. Perfil formativo profesional y vocación de crear empresas. Universidad Técnica de Ambato, Ecuador (2019) Revista Venezolana de Gerencia, 24 (85), pp. 31-47; Hayter, C. S., Constraining entrepreneurial development: A knowledge-based view of social networks among academic entrepreneurs (2016) Research Policy, 45 (2), pp. 475-490. , https://doi.org/10.1016/j.respol.2015.11.003; Hémbuz, G., Sánchez, A., Bermeo, V., Influencia de la educacion superior en el emprendimiento juvenil en estudiantes universitarios (2022) Revista Boletín Redipe, 9, pp. 166-180. , https://doi.org/https://doi.org/10.36260/rbr.v9i8.1049; Hernández, R., Mendoza, C., Las rutas Cuantitativa Cualitativa y Mixta (2018) Metodología de la investigación. Las rutas cuantitativa, cualitativa y mixta, , http://repositorio.uasb.edu.bo:8080/bitstream/54000/1292/1/Hernández-Metodologíadelainvestigación.pdf, McGrawHill; Herrera-Valverde, D., Mora-Esquivel, R., Leiva, J., Ecosistema emprenderdor universitario Costarricense y su vínculo la intención emprendedora: un estudio exploratorio (2020) TEC Empresarial, 14, pp. 64-83. , https://www.scielo.sa.cr/pdf/tec/v14n2/1659-3359-tec-14-02-64.pdf; Hockerts, K., Determinants of Social Entrepreneurial Intentions (2017) Entrepreneurship: Theory and Practice, 41 (1), pp. 105-130. , https://doi.org/10.1111/etap.12171; Lindh, I., Entrepreneurial development and the different aspects of reflection (2017) International Journal of Management Education, 15 (1), pp. 26-38. , https://doi.org/10.1016/j.ijme.2016.12.001; Malecki, E., Entrepreneurship and entrepreneurial ecosystems (2018) Geography Compass, 12 (3), pp. 1-21. , https://doi.org/10.1111/gec3.12359; Marlow, S., Gender and entrepreneurship: past achievements and future possibilities (2020) International Journal of Gender and Entrepreneurship, 12 (1), pp. 39-52. , https://doi.org/10.1108/IJGE-05-2019-0090; Martínez-García, I., Padilla-Carmona, T., Suárez-Ortega, M., Aplicación de la metodología Delphi a la identificación de factores de éxito en el emprendimiento (2019) Revista de Investigacion Educativa, 37 (1), pp. 129-146. , https://doi.org/http://dx.doi.org/10.6018/rie.37.1.320911Aplicación; Moreira, C., Quintanilla, J., Verdesoto, O., Influencia del género en el desarrollo del emprendimiento (2016) Revista Publicando, 3 (8), pp. 295-316. , https://dialnet.unirioja.es/servlet/articulo?codigo=5833412; Nair, C., Carlos, P., Horacio, S., Formación del emprendimiento social: Compromiso de la Universidad de la Guajira en Colombia (2021) Revista de Ciencias Sociales, XXVII (1), pp. 216-227. , https://doi.org/10.31876/rcs.v27i1.35308; Nobre, F., Morais, R., Capabilities of Bottom of the Pyramid Organizations (2021) Business and Society, pp. 1-41. , https://doi.org/10.1177/00076503211001826; Noerhartati, E., Evaluation of Entrepreneurship Education on Development Program of Product Sorghum (2018) International Journal of Engineering &amp; Technology, 7, pp. 400-406. , https://doi.org/10.14419/ijet.v7i3.30.18342; Ortiz, P., Olaz, Á., Entrepreneurship for People With Disabilities: From Skills to Social Value (2021) Frontiers in Psychology, 12, pp. 1-12. , https://doi.org/10.3389/fpsyg.2021.699833; Ovalles-Toledo, L., Moreno, Z., Olivares, M., Silva, H., Habilidades y capacidades del emprendimiento: un estudios bibliométrico (2018) Universidad Del Zulia, 23, pp. 217-234. , https://www.redalyc.org/jatsRepo/290/29055767013/html/index.html; Palacios, J. P., La Gestión del Conocimiento como Disciplina Empresarial (2008) Gestión En El Tercer Milenio, 11, pp. 29-34; Pavico, L. P., Mercado, E. B., Entrepreneurial Orientation Among Tarlac State University BS-Entrepreneurial Students and Graduates (2018) Review of Integrative Business and Economic Research, 7 (2), pp. 176-181; Piñeiro, C., De Llano, P., Rodríguez, M., Las TIC como inductores de competitividad y facilitadores del éxito empresarial (2016) International Journal of Information Systems and Software Engineering for Big Companies (IJISEBC), 3 (1), pp. 8-26. , http://uajournals.com/ojs/index.php/ijisebc/article/view/120/109; Ratten, V., Coronavirus (covid-19) and social value co-creation (2020) International Journal of Sociology and Social Policy, pp. 1-10. , https://doi.org/10.1108/IJSSP-06-2020-0237; Rodríguez, A., Nuevas perpectivas para entender el emprendimiento empresarial (2009) Pensamiento &amp; Gestion, pp. 94-119. , http://www.cdi.gob.mx/jovenes/data/gestion_de_proyectos.pdf%5Cnhttp://www.unagaliciamoderna.com/eawp/coldata/upload/Vol1_2013_teoria_Markowitz.pdf%5Cnhttp://www.planetadelibros.com/generacion-de-modelos-de-negocio-libro-49022.html%5Cnhttp://www.sciencedir; Saavedra-Leyva, R., Texis, M., El factor institucional en el emprendimiento por oportunidad de América Latina y el Caribe (2019) Innovar, 29 (73), pp. 99-112. , https://doi.org/10.15446/innovar.v29n73.78025; Santoyo, S., (2016) Diario de Emprendedores, , https://diariodeemprendedores.com/herramientas/emprender-de-manera-exitosa.html; Shah, I., Amjed, S., Jaboob, S., The moderating role of entrepreneurship education in shaping entrepreneurial intentions (2020) Journal of Economic Structures, 9 (1). , https://doi.org/10.1186/s40008-020-00195-4; Terán-Yepes, E., Guerrero-Mora, A., Teorías de emprendimiento: revisión crítica de la literatura y sugerencias para futuras investigaciones (2020) Revista Espacios, 41, p. 7. , https://www.revistaespacios.com/a20v41n07/a20v41n07p07.pdf, (07); Valdivia-Velasco, M., Coronado-Guzmán, G., Aguilera-Dávila, A., Emprendimiento en las universidades publicas de Mexicos (2019) Revista Venezolana de Gerencia, 2, pp. 431-455. , https://www.redalyc.org/journal/290/29063446024/html/; Vásconez-Barrera, F., Oleas, M., Bastidas, F., Vásquez, U., Condo, L., La gestión de la información y del conocimiento en empresas industriales (2020) Revista Espacios, 41 (19), pp. 309-319; Villasmil, M., Fontalvo, F., El conocimiento en la gestión empresarial: Una mirada estratégica (2016) Researchgate, pp. 848-887. , October 2016</t>
  </si>
  <si>
    <t>2-s2.0-85142496669</t>
  </si>
  <si>
    <t>Manjarres Hernández E.H., Morillo Coronado A.C., Cárdenas Chaparro A., Merchán López C.</t>
  </si>
  <si>
    <t>57217164726;57209509524;57193222854;57993272100;</t>
  </si>
  <si>
    <t>Yield, phenology and triterpene saponins in Colombian quinoa</t>
  </si>
  <si>
    <t>Frontiers in Sustainable Food Systems</t>
  </si>
  <si>
    <t>10.3389/fsufs.2022.919885</t>
  </si>
  <si>
    <t>https://www.scopus.com/inward/record.uri?eid=2-s2.0-85143301946&amp;doi=10.3389%2ffsufs.2022.919885&amp;partnerID=40&amp;md5=2893d4be53c9df522f2dfead25ea14c9</t>
  </si>
  <si>
    <t>Grupo CIDE Competitividad Innovación y Desarrollo Empresarial, Facultad de Ciencias Agropecuarias, Universidad Pedagógica y Tecnológica de Colombia, Tunja, Colombia; Grupo de Química - Física Molecular y Modelamiento Computacional QUIMOL, Facultad de Ciencias, Universidad Pedagógica y Tecnológica de Colombia, Tunja, Colombia</t>
  </si>
  <si>
    <t>Manjarres Hernández, E.H., Grupo CIDE Competitividad Innovación y Desarrollo Empresarial, Facultad de Ciencias Agropecuarias, Universidad Pedagógica y Tecnológica de Colombia, Tunja, Colombia; Morillo Coronado, A.C., Grupo CIDE Competitividad Innovación y Desarrollo Empresarial, Facultad de Ciencias Agropecuarias, Universidad Pedagógica y Tecnológica de Colombia, Tunja, Colombia; Cárdenas Chaparro, A., Grupo de Química - Física Molecular y Modelamiento Computacional QUIMOL, Facultad de Ciencias, Universidad Pedagógica y Tecnológica de Colombia, Tunja, Colombia; Merchán López, C., Grupo de Química - Física Molecular y Modelamiento Computacional QUIMOL, Facultad de Ciencias, Universidad Pedagógica y Tecnológica de Colombia, Tunja, Colombia</t>
  </si>
  <si>
    <t>Exploring yield, phenology and their relationship with secondary metabolites in seeds provides a fundamental analysis that expands knowledge on the nutritional quality of seeds and the effect on productive potential. This knowledge is fundamental when improving or selecting nutritionally important crops, including Chenopodium quinoa Willd, which has excellent nutritional properties and contributes to global food security. This species contains saponins, a metabolite that imparts a bitter taste and can be highly toxic to consumers in large quantities. Therefore, the identification and selection of genotypes according to their saponin contents and outstanding agronomic characteristics are fundamental objectives for the genetic improvement programs of these species. Therefore, the objective of this research was to evaluate the characteristics of the grain, the phenology and the saponin content of 30 C. quinoa accessions with an aim to select or relate genotypes according to their yield and grain quality. The accessions were sown using randomized complete blocks (RCB) with nine repetitions for each material. Seven FAO-defined descriptors were evaluated to characterize the grain and physiological maturity. Saponin was extracted using microwave, and the quantification was done with high-performance liquid chromatography (HPLC) which a UV-VIS detector at 277 nm wavelength. The accessions were classified according to their phenology: semi-late (56.7%), late (36.7%), and semi-early (3.3%). The total triterpene saponin content varied from 0.018 to 0.537%. The multivariate and cluster analyses formed groups of accessions with good yields (&gt;62.02 g of seeds per plant) and desirable grain morphological characteristics. The more suitable accessions for the production of saponins are Quinoa semiamarga (0.537%), Quinoa peruana (0.412%) and Amarilla de maranganí (0.305%). Quinoa real and Quinoa primavera are more suitable for food products, which can be used as parents in future quinoa genetic improvement programs in Colombia. Copyright © 2022 Manjarres Hernández, Morillo Coronado, Cárdenas Chaparro and Merchán López.</t>
  </si>
  <si>
    <t>ancestral cultivation; Chenopodium quinoa; grain quality; oleanolic acid; phenology; saponins</t>
  </si>
  <si>
    <t>To the CIDE group, Competitividad Innovación y Desarrollo Empresarial of the Faculty of Agricultural Sciences of the UPTC and to the Quimol group of the Faculty of Sciences of the UPTC.</t>
  </si>
  <si>
    <t>Alandia, G., Rodríguez, J.P., Jacobsen, S.E., Bazile, D., Condori, B., Global expansion of quinoa and challenges for the Andean region (2020) Glob. Food Sec, 26, p. 100429; Alizadeh, G., Lakzadeh, L., Forootanfar, H., Hamid, A., Optimization of gluten-free bread production with low aflatoxin level base on quinoa flour containing xanthan gum and laccase enzyme (2022) Int. J. Biol. Macromol, 200, pp. 61-76. , 34973985; Asher, A., Galili, S., Whitney, T., Rubinovich, L., The potential of quinoa (C. quinoa) cultivation in Israel as a dual-purpose crop for grain production and livestock feed (2020) Sci. Hortic, 272, p. 109534; Bazihizina, N., Vita, F., Balestrini, R., Kiferle, C., Caparrotta, S., Ghignone, S., Early signalling processes in roots play a crucial role in the differential salt tolerance in contrasting C. quinoa accessions (2022) J. Exp. Bot, 73, pp. 292-306. , 34436573; Bertero, H.D., Ruiz, R.A., Determination of grain number in sea level quinoa (C. quinoa Willd.) cultivars (2008) Eur. J. Agron, 28, pp. 186-194; (2013) Organización de las Naciones Unidas Para la Agricultura y la Alimentación (FAO), Fundación PROINPA, Instituto Nacional de Innovación Agropecuaria y Forestal (INIAF) and F. I. de D. A. (FIDA). Descriptores Para Quinua y sus Parientes Silvestres, , Rome, Bioversity International, :, 52; Bonifacio, A., Improvement of quinoa (C. quinoa willd.) and qañawa (Chenopodium pallidicaule aellen) in the context of climate change in the high Andes (2019) Cienc Investig Agrar, 46, pp. 113-124; Castro, V., Lazarte, C.E., Pérez, D., Sandberg, A.S., Carlsson, N.G., Almgren, A., Effect of fermentation and dry roasting on the nutritional quality and sensory attributes of quinoa (2019) Food Sci. Nutr, 7, pp. 3902-3911. , 31890168; Colque, C., Abondano, M.C., Lund, O.S., Amby, D.B., Piepho, H.P., Andreasen, C., (2021), 21, p. 41. , 33446098, Genetic variation for tolerance to the downy mildew pathogen, genetic resources of quinoa; Colson, E., Savarino, P., Claereboudt, E., Cabrera, G., Deleu, M., Lins, L., Enhancing the membranolytic activity of C. quinoa saponins by fast microwave hydrolysis (2020) Molecules, 25, p. 1731. , 32283763; D'Andrea, K.E., Otegui, M.E., Cirilo, A.G., Eyerhabide, G., Genotypic variability in morphological and physiological traits among maize inbred lines-nitrogen responses (2006) Crop Sci, 46, pp. 1266-1276; De Bock, P., Van Bockstaele, F., Muylle, H., Quataert, P., Vermeir, P., Eeckhout, M., Yield and nutritional characterization of thirteen quinoa (C. quinoa Willd.) varieties grown in North-West Europe—Part I (2021) Plants, 10, p. 2689. , 34961159; De Santis, G., Maddaluno, C., D'Ambrosio, T., Rascio, A., Rinaldi, M., Troisi, J., Characterisation of quinoa (C. quinoa Willd.) accessions for the saponin content in Mediterranean environment (2016) Ital. J. Agron, 11, pp. 277-281; De Santis, G., Ronga, D., Caradonia, F., Ambrosio, T.D., Troisi, J., Rascio, A., Evaluation of two groups of quinoa (C. quinoa Willd.) accessions with different seed colours for adaptation to the Mediterranean environment (2018) Crop Past. Sci, 69, pp. 1264-1275; Delatorre, J., Gonzalez, J., Martinez, E., (2015) Efecto del Fotoperiodo y la Temperatura Sobre la Concentración de Saponinas en tres Variedades de Quinua Provenientes de tres Latitudes, pp. 1-10. , Argentina, V Congreso Mundial de Quinua; Di Rienzo, J.A., Casanoves, F., Balzarini, M.G., Gonzalez, L., Tablada, M., Robledo, C.W., (2020) InfoStat versión 2020. Centro de Transferencia InfoStat, FCA, , Argentina, Universidad Nacional de Córdoba; El Hazzam, K., Hafsa, J., Sobeh, M., Mhada, M., Taourirte, M., El Kacimi, K., An insight into saponins from Quinoa (C. quinoa Willd): A review (2020) Molecules, 25, p. 1059. , 32120971; Fagandini, F., Bazile, D., Drucker, A.G., Tapia, M., Chura, E., Geographical distribution of quinoa crop wild relatives in the Peruvian Andes: a participatory mapping initiative (2021) Environ. Dev. Sustain, 23, pp. 6337-6358; Fan, X., Li, Y., Zhu, Y., Wang, J., Zhao, J., Sun, X., Characterization of physicochemical qualities and starch structures of two indica rice varieties tolerant to high temperature during grain filling (2020) J. Cereal Sci, 93, p. 102966; García, A., Villanueva, M., Vela, A., Ronda, F., Protein and lipid enrichment of quinoa (cv. Titicaca) by dry fractionation. Techno-functional, thermal and rheological properties of milling fractions (2020) Food Hydrocoll, 105, p. 195770; García, M., García, J., Deaquiz, Y., Physiological performance of quinoa (C. quinoa Willd.) under agricultural climatic conditions in Boyacá, Colombia (2019) Agron. Colomb, 37, pp. 160-168; García, M.A., Leguizamón, N.Z., Rodríguez, D.C., Torrado, S.K., Parra, J., Descripción de las saponinas en quinua (“C. quinoa” willd) en relación con el suelo y el clima: una revisión (2018) Informador Técnico, 82, pp. 241-249; Granado, S., Aparicio, N., Matías, J., Pérez, L.F., Maestro, I., Garcés, I., Studying the impact of different field environmental conditions on seed quality of quinoa: the case of three different years changing seed nutritional traits in southern Europe (2021) Front. Plant Sci, 12, p. 649132. , a, 34054895; Granado, S., Vilariño, S., Maestro, I., Matías, J., Rodríguez, M., Calvo, P., Genotype-dependent variation of nutritional quality-related traits in quinoa seeds (2021) Plants, 10, p. 2128. , b, 34685936; Han, Y., Chi, J., Zhang, M., Zhang, R., Fan, S., Dong, L., Changes in saponins, phenolics and antioxidant activity of quinoa (C. quinoa willd) during milling process (2019) LWT, 114, p. 108381; Hussain, M.I., Muscolo, A., Ahmed, M., Asghar, M.A., Al-Dakheel, A.J., Agro-morphological, yield and quality traits and interrelationship with yield stability in quinoa (C. quinoa Willd.) genotypes under saline marginal environment (2020) Plants, 9, p. 1763. , 33322139; Isam, M., Fahad, A.L., Mehmet, M.Ö., Insights into the nutritional value and bioactive properties of quinoa (C. quinoa): past, present and future prospective (2021) Int. J. Food Sci, 56, pp. 3726-3741; Josse, J., Husson, F., missMDA: a package for handling missing values in multivariate data analysis (2016) J. Stat. Softw, 70, pp. 1-31; Kassambara, A., Mundt, F., (2020) Factoextra: Extract and Visualize the Results of Multivariate Data Analyses. (R Package Version 1.0.7); Khalifa, W., Thabet, M., Variation in downy mildew (Peronospora variabilis Gäum) resistance of some quinoa (C. quinoa Willd) cultivars under Egyptian conditions (2018) Middle East J. Agric. Res, 7, pp. 671-682; Koziol, M.J., (1992), 5, pp. 35-68. , Chemical composition and nutritional evaluation of quinoa (, Willd; Le, S., Josse, J., Husson, F., FactoMineR: an R package for multivariate analysis (2008) J. Stat. Softw, 25, pp. 1-18; León, N., Aguilar, S., Quispe, J., Mamani, W., Alfaro, S., Condezo, L., A green analytical assay for the quantitation of the total saponins in quinoa (C. quinoa Willd.) based on macro lens-coupled smartphone (2019) Talanta, 204, pp. 576-585. , 31357337; Lesjak, J., Calderini, D., Increase night temperature negatively affects grain yield, biomass and grain number in Chilean quinoa (2017) Front. Plant Sci, 8, p. 352. , 28386266; Lim, J., Park, H., Yoon, K., (2020), 8, pp. 694-702. , 31993193, Analysis of saponin composition and comparison of the antioxidant activity of various parts of the quinoa plant (, Willd; Lin, M., Han, P., Li, Y., Wang, W., Lai, D., Zhou, L., Quinoa secondary metabolites and their biological activities or functions (2019) Molecules, 24, p. 2512. , 31324047; Lu, D.L., Huan, Y., Xin, S., Lu, W., Effects of high temperature during grain filling on physicochemical properties of waxy maize starch (2016) J. Integr. Agric, 15, pp. 309-316. , 28718948; Manjarres, E.H., Arias, D.M., Morillo, A.C., Ojeda, Z.Z., Cárdenas, A., Phenotypic characterization of quinoa (C. quinoa Willd.) for the selection of promising materials for breeding programs (2021) Plants, 10, p. 1339. , 34209112; Mastebroek, H., Van Loo, E., Dolstra, O., Combining ability for seed yield traits of C. quinoa breeding lines (2002) Euphytica, 125, pp. 427-432; Matías, J., Rodríguez, M.J., Cruz, V., Calvo, P., Reguera, M., Heat stress lowers yields, alters nutrient uptake and changes seed quality in quinoa grown under Mediterranean field conditions (2021) J. Agron. Crop Sci, 207, pp. 481-491; Mhada, M., Metougui, M.L., El Hazzam, K., El Kacimi, K., Yasri, A., Variations of saponins, minerals and total phenolic compounds due to processing and cooking of quinoa (C. quinoa Willd.) seeds (2020) Foods, 9, p. 660. , 32443894; Mignone, C.M., Bertero, H.D., “Identificación del período crítico de determinación del rendimiento en quínoas de nivel del mar,” (2007) Proceedings of the Congreso Internacional de la Quinua, pp. 23-26. , in October 2007, Iquique; Morales, A., Silva, A., Maldonado, J., Silva, H., Transcriptional responses of Chilean Quinoa (C. quinoa Willd.) under water deficit conditions uncovers ABA-independent expression patterns (2017) Front. Plant Sci, 8, p. 216. , 28337209; Morillo, A.C., Manjarres, E.H., Morillo, Y., Evaluación morfoagronómica de 19 materiales de C. quinoa en el Departamento de Boyacá (2020) Biotecnol. Sect. Agropecuario Agroind, 18, pp. 84-96; Morton, M.J.L., Awlia, M., Al Tamimi, N., Saade, S., Pailles, Y., Negrão, S., Salt stress under the scalpel–dissecting the genetics of salt tolerance (2019) Plant J, 97, pp. 148-163. , 30548719; Naheed, N., Abbas, G., Naeem, M.A., Hussain, M.M., Shabbir, R., Alamri, S., Niquel tolerance and phytoremediation potential of quinoa are modulated under salinity: multivariate comparison of physiological and biochemical attributes (2022) Environ. Geochem. Health, 44, pp. 1409-1424. , 34988723; Ng, C.Y., Wang, M., The functional ingredients of quinoa (C. quinoa) and physiological effects of consuming quinoa: a review (2021) Food Front, 2, pp. 329-356; Pathan, S., Siddiqui, R., Nutritional composition and bioactive components in quinoa (C. quinoa Willd.) greens: a review (2022) Nutrients, 14, p. 558. , 35276913; Rafik, S., Rahmani, M., Rodríguez, J.P., Andam, S., Ezzariai, A., El Gharous, M., How does mechanical pearling affect quinoa nutrients and saponin contents? (2021) Plants, 10, p. 1133. , 34204858; Rehman, H., Alharby, H., Al-Zahrani, H., Bamagoos, A., Alsulami, N., Alabsallah, N., Enriching urea with nitrogen inhibitors improves growth, N uptake and seed yield in quinoa (C. quinoa Willd.) affecting photochemical efficiency and nitrate reductase activity (2022) Plants, 11, p. 371. , 35161352; Reynolds, M., Chapman, S., Herrera, L.A.C., Molero, G., Mondal, S., Pequeño, D.N., Breeder friendly phenotyping (2020) Plant Sci, 295, p. 110396. , 32534615; Sharma, S., Katarina, A., Singh, B., (2022), 160, p. 113256. , Effect of thermal processing the bioactive compounds, antioxidative, antinutritional and functional characteristics of quinoa; Stoleru, V., Jacobsen, S.E., Vitanescu, M., Jitareanu, G., Butnariu, M., Munteanu, N., Nutritional and antinutritional compounds in leaves of quinoa (2022) Food Biosci, 45, p. 101494. , 35050101; Taiyun, W., Simko, V., (2017) R Package “Corrplot”: Visualization of a Correlation Matrix (Version 0.84); Tapia, M.E., Canahua, A., Ignacio, S., (2014) Razas de quinuas del Perú. Lima: ANPE-Perú, CONCYTEC, , 173; (2020) R: A Language and Environment for Statistical Computing, , Vienna, R Foundation for Statistical Computing; Tovar, J., Berry, J., Quillatupa, C., Castillo, E., Acosta, L., Fahlgren, N., Heat stress changes mineral nutrient concentrations in C. quinoa seed (2022) Plant Direct, , 35146239, 6, e384; Urdanegui, P., Pérez, Á., Estrada, R., Neyra, E., Mujica, Á., Corredor, F.A., Rendimiento y evaluación agromorfológica de genotipos de quinua (C. quinoa Willd.) en Huancayo, Perú (2021) Agroind. Sci, 11, pp. 63-71; Veloza, C., Romero, G., Gómez, J., Respuesta morfoagronómica y calidad en proteína de tres accesiones de quinua (C. quinoa Willd.) en la sabana norte de Bogotá (2016) Rev. UDCA Act. Div. Cient, 19, pp. 325-332; Villacis, C., (2018) Estudio pzara la extracción y purificación de saponinas a partir del mojuelo de quinua como una posible alternativa a la disponibilidad de tensoactivos de origen natural, , Sangolqui, Universidad de las Fuerzas Armadas ESPE, 129; Villacrés, E., Quelal, M., Galarza, S., Iza, D., Silva, E., (2022), 11, p. 213. , 35050101, Nutritional value and bioactive compounds of leaves and grains from Quinoa (, Willd; Yao, D., Wu, J., Luo, Q., Li, J., Zhuang, W., Xiao, G., Influence of high natural field temperature during grain filling stage on the morphological structure and physicochemical properties of rice (Oryza sativa L.) starch (2020) Food Chem, 310, p. 125817. , 31734010</t>
  </si>
  <si>
    <t>Manjarres Hernández, E.H.; Grupo CIDE Competitividad Innovación y Desarrollo Empresarial, Colombia; email: elsa.manjarres@uptc.edu.co</t>
  </si>
  <si>
    <t>Frontiers Media S.A.</t>
  </si>
  <si>
    <t>2571581X</t>
  </si>
  <si>
    <t>Front. Sustain. food Syst.</t>
  </si>
  <si>
    <t>2-s2.0-85143301946</t>
  </si>
  <si>
    <t>López-Montero R., García-Navarro C., Delgado-Baena A., Vela-Jiménez R., Sianes A.</t>
  </si>
  <si>
    <t>57440856300;57900556200;57441159700;57219801311;55600093100;</t>
  </si>
  <si>
    <t>Life stories: Unraveling the academic configuration of a multifaceted and multidisciplinary field of knowledge</t>
  </si>
  <si>
    <t>Frontiers in Psychology</t>
  </si>
  <si>
    <t>10.3389/fpsyg.2022.960666</t>
  </si>
  <si>
    <t>https://www.scopus.com/inward/record.uri?eid=2-s2.0-85143312576&amp;doi=10.3389%2ffpsyg.2022.960666&amp;partnerID=40&amp;md5=320889f2b1168ef5374efe40a1e28222</t>
  </si>
  <si>
    <t>Research Institute on Policies for Social Transformation, Universidad Loyola Andalucía, Córdoba, Spain</t>
  </si>
  <si>
    <t>López-Montero, R., Research Institute on Policies for Social Transformation, Universidad Loyola Andalucía, Córdoba, Spain; García-Navarro, C., Research Institute on Policies for Social Transformation, Universidad Loyola Andalucía, Córdoba, Spain; Delgado-Baena, A., Research Institute on Policies for Social Transformation, Universidad Loyola Andalucía, Córdoba, Spain; Vela-Jiménez, R., Research Institute on Policies for Social Transformation, Universidad Loyola Andalucía, Córdoba, Spain; Sianes, A., Research Institute on Policies for Social Transformation, Universidad Loyola Andalucía, Córdoba, Spain</t>
  </si>
  <si>
    <t>In the field of qualitative research, life stories are consolidated as one of the most important techniques within the biographical method. However, due to the multiplicity of techniques covered by this method and the disciplines in which it is applied, the contributions and scope of life histories do not present a clear delimitation. By contrast, a considerable conceptual confusion persists and the transfer of its production remains very narrow. In this sense, this article aims to clarify the field of knowledge generated through life stories. To this end, it innovatively applies the bibliometric method. Making use of performance analysis and scientific mapping through the VosViewer application, it studies a body of 2670 articles indexed in the Web of Science. The results show how knowledge transferred from psychology through its major schools of thought occupies a central place. This leaves in a secondary position the knowledge produced by other disciplines such as sociology or anthropology, which is not transferred in the main forums of scientific impact. In this way, the conclusion points to the need to open up new lines of research to find out the differences between the different techniques and disciplines when applying this methodology. Copyright © 2022 López-Montero, García-Navarro, Delgado-Baena, Vela-Jiménez and Sianes.</t>
  </si>
  <si>
    <t>bibliometric analysis; biographical method; life stories; scientific production; VOSviewer</t>
  </si>
  <si>
    <t>Adam, D., Citation analysis: The counting house (2002) Nature, 415, pp. 726-730. , 11845174; Adler, J.M., Lodi-Smith, J., Philippe, F.L., Houle, I., The incremental validity of narrative identity in predicting well-being: A review of the field and recommendations for the future (2016) Pers. Soc. Psychol. Rev, 20, pp. 142-175. , 25968138; Albort-Morant, G., Ribeiro-Soriano, D., A bibliometric analysis of international impact of business incubator (2016) J. Bus. Res, 69, pp. 1775-1779; Ardanuy, J., (2012) Breve introducción a la bibliometría, , Barcelona, Universitat de Barcelona; Barlow, F.K., Nature vs. nurture is nonsense: On the necessity of an integrated genetic, social, developmental, and personality psychology (2019) Aust. J. Psychol, 71, pp. 68-79; Bartolomé, M.V., Sastre, M., del, M., Fernández, V., Importancia en la edad y el nivel educacional en la exploración neuropsicológica de la memoria (1996) Rev. Fed. Esp. Asoc. Psicol, 49, pp. 221-232; Benckendorff, P., Zehrer, A., A network analysis of tourism research (2013) Ann. Tour. Res, 43, pp. 121-149; Berntsen, D., Rubin, D.C., Cultural life scripts structure recall from autobiographical memory (2004) Mem. Cogn, 32, pp. 427-442. , 15285126; Bertaux, D., L’approche biographique: Sa Validité méthodologique, ses potentialités (1980) Cah. Int. Sociol, 69, pp. 197-225; Bertaux-Wiame, I., Une application de l’approche autobiographique (1980) Les Migr. Prov. Ann. Vingt, 10, pp. 201-205; Bluck, S., Habermas, T., The life story schema (2000) Motiv. Emot, 24, pp. 121-147; Borgohain, D.J., Verma, M.K., Nazim, M., Sarkar, M., Application of Bradford’s law of scattering and Leimkuhler model to information science literature (2021) Collnet J. Scientometrics Inf. Manage, 15, pp. 197-212; Bradford, S.C., Sources of information on specific subjects (1934) Engineering, 137, pp. 85-86; Bruner, J., (1990) Acts of meaning, , Cambridge, MA, Harvard University Press; Camia, C., Habermas, T., Explaining change in content of life narratives over time (2020) Memory, 28, pp. 655-668. , 32394787; Cobo, M.J., López-Herrera, A.G., Herrera-Viedma, E., Herrera, F., An approach for detecting, quantifying, and visualizing the evolution of a research field: A practical application to the fuzzy sets theory field (2011) J. Informetr, 5, pp. 146-166; Conway, M., Pleydell-Pearce, C., La construcción de memorias autobiográficas en el sistema de automemoria (2000) Rev. Psicol, 107, pp. 261-288. , 10789197; Conway, M.A., Singer, J.A., Tagini, A., The self and autobiographical memory: Correspondence and coherence (2004) Soc. Cogn, 22, pp. 491-529; Cordero, M.C., Historias de vida Historias de vida: Una metodología de investigación cualitativa (2012) Rev. Griot, 5, pp. 50-67; Cornejo, M., Mendoza, F., Rojas, R.C., La investigación con relatos de vida: Pistas y opciones del diseño metodológico (2008) Psykhe, 17, pp. 29-39. , 27315006; De Solla Price, D.J., The exponential curve of science (1956) Discovery, 17, pp. 240-243; Delgado-Baena, A., Serrano, L., Vela-Jiménez, R., Jiménez, J., López-Montero, R., Sianes, A., Epistemic injustice and dissidence: A bibliometric analysis of the literature on participatory action research hosted on the web of science (2022) Action Res, 2022. , 147675032211265; Donthu, N., Kumar, S., Mukherjee, D., Pandey, N., Lim, W.M., How to conduct a bibliometric analysis: An overview and guidelines (2021) J. Bus. Res, 133, pp. 285-296; Elsbach, K.D., van Knippenberg, D., Creating high-impact literature reviews: An argument for “integrative reviews” (2020) J. Manage. Stud, 57, pp. 1277-1289; Figueroa-Domecq, C., Pritchard, A., Segovia-Pérez, M., Morgan, N., Villacé-Molinero, T., Tourism gender research: A critical accounting (2015) Ann. Tour. Res, 52, pp. 87-103. , 34444583; Fivush, R., Habermas, T., Waters, T., Zaman, W., The making of autobiographical memory: Intersections of culture, narratives and identity (2011) Int. J. Psychol, 46, pp. 321-345. , 22044305; Galvez, C., El campo de investigación del Análisis de Redes Sociales en el área de las Ciencias de la Documentación: Un análisis de co-citación y co-palabras (2018) Rev. Gen. Inf. Doc, 28, pp. 455-475; Godin, B., On the origins of bibliometrics (2006) Scientometrics, 68, pp. 109-133; González, J., Moya, M., Mateos Hernández, M.A., Indicadores bibliométricos: Características y limitaciones en el análisis de la actividad científica (1997) An. Esp. Pediatr, 49, pp. 235-244; Habermas, T., Bluck, S., Getting a life: The emergence of the life story in adolescence (2000) Psychol. Bull, 126, pp. 748-769. , 10989622; Hernández-Hernández, F., Apraiz, E.A., Gorospe, J.M.C., Sancho-Gil, J.M., (2020) ¿Cómo aprenden los docentes? Tránsitos entre cartografías, experiencias, corporeidades y afectos, , Barcelona, Octaedro Editorial; Hjørland, B., Facet analysis: The logical approach to knowledge organization (2013) Inf. Process. Manage, 49, pp. 545-557; Jamal, T., Smith, B., Watson, E., Ranking, rating and scoring of tourism journals: Interdisciplinary challenges and innovations (2008) Tour. Manage, 29, pp. 66-78; Kastrin, A., Hristovski, D., Scientometric analysis and knowledge mapping of literature-based discovery (1986–2020) (2021) Scientometrics, 126, pp. 1415-1451; Kemph, J.P., Erik H. Erikson. Identity, youth and crisis. New York: W. W. Norton Company (1969) Behav. Sci, 14, pp. 154-159; Köber, C., Habermas, T., How stable is the personal past? Stability of most important autobiographical memories and life narratives across eight years in a life span sample (2017) J. Pers. Soc. Psychol, 113, pp. 608-626. , 28333472; Koseoglu, M.A., Rahimi, R., Okumus, F., Liu, J., Bibliometric studies in tourism (2016) Ann. Tour. Res, 61, pp. 180-198; Köseoglu, M.A., Sehitoglu, Y., Craft, J., Academic foundations of hospitality management research with an emerging country focus: A citation and co-citation analysis (2015) Int. J. Hosp. Manage, 45, pp. 130-144; Kushairi, N., Ahmi, A., Flipped classroom in the second decade of the millenia: A bibliometrics analysis with lotka’s law (2021) Educ. Inf. Technol, 26, pp. 4401-4431. , 33686330; Lim, W.M., Kumar, S., Ali, F., Advancing knowledge through literature reviews: “What”, “why”, and “how to contribute” (2022) Serv. Indust. J, 42, pp. 481-513; Lotka, A.J., The frequency distribution of scientific productivity (1926) J. Washington Acad. Sci, 16, pp. 317-323; Lüdtke, O., Roberts, B.W., Trautwein, U., Nagy, G., A random walk down university avenue: Life paths, life events, and personality trait change at the transition to university life (2011) J. Pers. Soc. Psychol, 101, pp. 620-637. , 21744977; Madrid Martí,n, M.J., Jiménez-Fanjul, N., León-Mantero, C., Maz-Machado, A., Revistas brasileñas de Educación en SCOPUS: Un análisis bibliométrico (2017) Biblios, pp. 30-41; McAdams, D.P., Personality, modernity, and the storied self: A contemporary framework for studying persons (1996) Psychol. Inq, 7, pp. 295-321; McAdams, D.P., The psychological self as actor, agent and author (2013) Perspect. Psychol. Sci, 8, pp. 272-295. , 26172971; McAdams, D.P., Tracing three lines of personality development (2015) Res. Hum. Dev, 12, pp. 224-228; McAdams, D.P., de St. Aubin, E.D., Logan, R.L., Generativity among young, midlife, and older adults (1993) Psychol. Aging, 8, pp. 221-230. , 8323726; McAdams, D.P., Pals, J.L., A new Big Five: Fundamental principles for an integrative science of personality (2006) Am. Psychol, 61, pp. 204-217. , 16594837; McAdams, D.P., Reynolds, J., Lewis, M., Patten, A.H., Bowman, P.J., When bad things turn good and good things turn bad: Sequences of redemption and contamination in life narrative and then-relation to psychosocial adaptation in midlife adults and in students (2001) Pers. Soc. Psychol. Bull, 27, pp. 474-485; McLean, K., Pasupathi, M., Pals, J., Selves creating stories creating selves: A process model of self-development (2007) Pers. Soc. Psychol. Rev, 11, pp. 262-278. , 18453464; McLean, K., Pratt, M., Life’s little (and big) lessons: Identity statuses and meaning-making in the turning point narratives of emerging adults (2006) Dev. Psychol, 42, pp. 714-722. , 16802903; Miguel, S., Moya-Anegón, F., Herrero-Solana, V., El análisis de co-citas como método de investigación en Bibliotecología y Ciencia de la Información (2007) Invest. Bibliotecol, 21, pp. 139-155; Mora, L., Deakin, M., Reid, A., Combining co-citation clustering and text-based analysis to reveal the main development paths of smart cities (2019) Technol. Forecast. Soc. Change, 142, pp. 56-69; Moravcsik, J.M., Between reference and meaning* (1989) Midwest Stud. Philos, 14, pp. 68-83; Mukherjee, D., Lim, W.M., Kumar, S., Donthu, N., Guidelines for advancing theory and practice through bibliometric research (2022) J. Bus. Res, 148, pp. 101-115; Muñoz-Leiva, F., Viedma-del-Jesús, M.I., Sánchez-Fernández, J., López-Herrera, A.G., An application of co-word analysis and bibliometric maps for detecting the most highlighting themes in the consumer behaviour research from a longitudinal perspective (2012) Qual. Quant, 46, pp. 1077-1095; Nettle, D., Frankenhuis, W.E., The evolution of life-history theory: A bibliometric analysis of an interdisciplinary research area (2019) Proc. R. Soc, 286. , 20190040, 30914012; Panori, A., Mora, L., Reid, A., Five decades of research on urban poverty: Main research communities, core knowledge producers, and emerging thematic areas (2019) J. Clean. Prod, 237. , 117850; Pasupathi, M., Mansour, E., Brubaker, J.R., Developing a life story: Constructing relations between self and experience in autobiographical narratives (2007) Hum. Dev, 50, pp. 85-110; Paul, J., Lim, W.M., O’Cass, A., Scientific procedures and rationales for systematic literature reviews (SPAR-4-SLR) (2021) Int. J. Consum. Stud, 45, pp. O1-O16; Peacock, J.L., Holland, D.C., The narrated self: Life stories in process (1993) Ethos, 21, pp. 367-383; Pritchard, A., Statistical bibliography or bibliometrics (1969) J. Doc, 25, pp. 348-349; Pujadas, J.J., (2002) El método biográfico: El uso de las historias de vida en ciencias sociales, , Madrid, Sociological Research Center; Ramos-Rodríguez, A.-R., Ruíz-Navarro, J., Changes in the intellectual structure of strategic management research: A bibliometric study of the strategic management journal, 1980–2000 (2004) Strateg. Manage. J, 25, pp. 981-1004; Rey-Martí, A., Ribeiro-Soriano, D., Palacios-Marqués, D., A bibliometric analysis of social entrepreneurship (2016) J. Bus. Res, 69, pp. 1651-1655; Riessman, C., (2008) Narrative methods for the human sciencies, , Thousand Oaks, CA, Sage Publications, Inc; Rodríguez Gutiérrez, J.K., Gómez Velasco, N.Y., Herrera-Martínez, Y., Técnicas bibliométricas dinâmicas na produção em grupos de investigação científica (2017) Rev. Lasallista Invest, 14, pp. 73-82; Rubio, M.J., Varas, J., (2004) El anaìlisis de la realidad en la intervencioìn social: Meìtodos y teìcnicas de investigacioìn, , Madrid, CCS; Sainaghi, R., Phillips, P., Baggio, R., Mauri, A., Cross-citation and authorship analysis of hotel performance studies (2018) Int. J. Hosp. Manage, 73, pp. 75-84; Schmidgall, R., Woods, R.H., Hardigree, C., Hospitality’s most influential scholars: Fifteen years of citation analyses (1989–2004) (2013) J. Hosp. Tour. Educ, 19, pp. 32-43; Serrano, L., Sianes, A., Ariza-Montes, A., Using bibliometric methods to shed light on the concept of sustainable tourism (2019) Sustainability, 11 (6964); Sianes, A., Academic research on the 2030 agenda: Challenges of a transdisciplinary field of study (2021) Glob. Policy, 12, pp. 286-297; Small, H., Tracking and predicting growth areas in science (2013) Scientometrics, 68, pp. 595-610. , 32214554; Svensson, G., Svaeri, S., Einarsen, K., ‘Scientific identity’ of scholarly journals in hospitality and tourism research: Review and evaluation (2009) Int. J. Hosp. Manage, 28, pp. 631-634; Sweileh, W.M., Research trends on human trafficking: A bibliometric analysis using Scopus database (2018) Global. Health, 14, pp. 1-12. , 30409223; Van Eck, N.J., Waltman, L., (2020) Manual de VOSviewer, , http://vosviewer.com, Available online at, (accessed December 12, 2022; Waltman, L., Van Eck, N., Noyons, E., A unified approach to mapping and clustering of bibliometric networks (2010) J. Informetr, 4, pp. 629-635</t>
  </si>
  <si>
    <t>López-Montero, R.; Research Institute on Policies for Social Transformation, Spain</t>
  </si>
  <si>
    <t>García-Navarro</t>
  </si>
  <si>
    <t>Delgado-Baena</t>
  </si>
  <si>
    <t>Vela-Jiménez</t>
  </si>
  <si>
    <t>Sianes</t>
  </si>
  <si>
    <t>2-s2.0-85143312576</t>
  </si>
  <si>
    <t>Castillo J.-C., Martínez J.J., Becerra D., Rojas H., Macías M.A.</t>
  </si>
  <si>
    <t>27967485800;7404312604;36912568700;23025604300;25121882000;</t>
  </si>
  <si>
    <t>Obtaining (5-formylfuran-2-yl)methyl 4-chlorobenzoate through an esterification of 5-hydroxymethylfurfural: Interesting achiral molecule crystallizing in a Sohncke P212121 space group</t>
  </si>
  <si>
    <t>https://www.scopus.com/inward/record.uri?eid=2-s2.0-85134363675&amp;doi=10.1016%2fj.molstruc.2022.133713&amp;partnerID=40&amp;md5=b684c621e3cfc0e31462c4f1068cade8</t>
  </si>
  <si>
    <t>Escuela de Ciencias Química, Universidad Pedagógica y Tecnológica de Colombia, Avenida Central del Norte 39-115, Tunja, 150003, Colombia; Crystallography and Chemistry of Materials, CrisQuimMat, Department of Chemistry, Universidad de los Andes, Carrera 1 No. 18A-10, Bogotá, 111711, Colombia</t>
  </si>
  <si>
    <t>Castillo, J.-C., Escuela de Ciencias Química, Universidad Pedagógica y Tecnológica de Colombia, Avenida Central del Norte 39-115, Tunja, 150003, Colombia; Martínez, J.J., Escuela de Ciencias Química, Universidad Pedagógica y Tecnológica de Colombia, Avenida Central del Norte 39-115, Tunja, 150003, Colombia; Becerra, D., Escuela de Ciencias Química, Universidad Pedagógica y Tecnológica de Colombia, Avenida Central del Norte 39-115, Tunja, 150003, Colombia; Rojas, H., Escuela de Ciencias Química, Universidad Pedagógica y Tecnológica de Colombia, Avenida Central del Norte 39-115, Tunja, 150003, Colombia; Macías, M.A., Crystallography and Chemistry of Materials, CrisQuimMat, Department of Chemistry, Universidad de los Andes, Carrera 1 No. 18A-10, Bogotá, 111711, Colombia</t>
  </si>
  <si>
    <t>We report the catalyst-free synthesis of (5-formylfuran-2-yl)methyl 4-chlorobenzoate in 71% yield by an O-acylation reaction of 5-hydroxymethylfurfural with 4-chlorobenzoyl chloride using a slight excess of triethylamine in dichloromethane at 20 °C for 24 h. The structure of the 5-HMF aryl ester was characterized by FT–IR, UV–Vis, 1D and 2D NMR spectroscopy, mass spectrometry, and differential scanning calorimetry (DSC). This compound was recrystallized from methanol at ambient temperature under normal pressure conditions. X-Ray diffraction analyses show that achiral 5-HMF aryl ester crystallizes in a Sohncke P212121 space group, which could be related to a potential nonlinear optic property from inexpensive and readily abundant biomass sources. In the supramolecular structure, short hydrogen bonds were detected. However, computed CE-B3LYP (kJ/mol) intermolecular interaction energies indicate that the growth of the crystal is preferentially driven by dispersion forces. © 2022 Elsevier B.V.</t>
  </si>
  <si>
    <t>5-hydroxymethylfurfural (5-HMF); Biomass conversion; Energy frameworks; Esterification; Hirshfeld surface maps; Sohncke space group</t>
  </si>
  <si>
    <t>Acylation; Bioconversion; Differential scanning calorimetry; Esterification; Esters; Hydrogen bonds; Mass spectrometry; Nuclear magnetic resonance spectroscopy; X ray diffraction analysis; 5 hydroxymethyl furfurals; 5-hydroxymethylfurfural; Biomass conversion; Energy; Energy framework; Hirshfeld surface map; Hirshfeld surfaces; Sohncke space group; Space Groups; Surface map; Dichloromethane</t>
  </si>
  <si>
    <t>Universidad Pedagógica y Tecnológica de Colombia, UPTC: SGI-3312; Facultad de Ciencias, Universidad de los Andes: FAPA-P18.160422.043; Universidad del Valle, Univalle</t>
  </si>
  <si>
    <t>The authors thank Universidad de los Andes and Universidad Pedagógica y Tecnológica de Colombia. M.A.M. acknowledges support from the Facultad de Ciencias at the Universidad de los Andes (project number FAPA-P18.160422.043). D.B. J.J.M. H.R. and J.-C.C. acknowledge to the Dirección de Investigaciones at the Universidad Pedagógica y Tecnológica de Colombia (project number SGI-3312). We also acknowledge Luis Hurtado and Carlos Rodríguez at the Universidad del Valle for acquiring 1D and 2D NMR spectra, electron ionization mass spectrum, and elemental analysis.</t>
  </si>
  <si>
    <t>The authors thank Universidad de los Andes and Universidad Pedagógica y Tecnológica de Colombia. M.A.M. acknowledges support from the Facultad de Ciencias at the Universidad de los Andes (project number FAPA-P18.160422.043). D.B., J.J.M., H.R. and J.-C.C. acknowledge to the Dirección de Investigaciones at the Universidad Pedagógica y Tecnológica de Colombia (project number SGI-3312). We also acknowledge Luis Hurtado and Carlos Rodríguez at the Universidad del Valle for acquiring 1D and 2D NMR spectra, electron ionization mass spectrum, and elemental analysis.</t>
  </si>
  <si>
    <t>Ning, P., Yang, G., Hu, L., Sun, J., Shi, L., Zhou, Y., Wang, Z., Yang, J., Recent advances in the valorization of plant biomass (2021) Biotechnol. Biofuels, 14, p. 102; Zhang, X., Wilson, K., Lee, A.F., Heterogeneously catalyzed hydrothermal processing of C5-C6 sugars (2016) Chem. Rev., 116, pp. 12328-12368; Yu, I.K.M., Tsang, D.C.W., Conversion of biomass to hydroxymethylfurfural: a review of catalytic systems and underlying mechanisms (2017) Bioresour. Technol., 238, pp. 716-732; Avcı, D., Altürk, S., Sönmez, F., Tamer, Ö., Başoğlu, A., Atalay, Y., Kurt, B.Z., Dege, N., A new dinuclear copper(II) complex of 2,5-furandicarboxyclic acid with 4(5)-methylimidazole as a high potential α-glucosidase inhibitor: synthesis, crystal structure, cytotoxicity study, and TD/DFT calculations (2019) Appl. Organ. Chem., 33, p. e4725; Wang, H., Zhu, C., Li, D., Liu, Q., Tan, J., Wang, C., Cai, C., Ma, L., Recent advances in catalytic conversion of biomass to 5-hydroxymethylfurfural and 2,5-dimethylfuran (2019) Renew. Sustain. Energy Rev., 103, pp. 227-247; Zhou, P., Zhang, Z., One-pot catalytic conversion of carbohydrates into furfural and 5-hydroxymethylfurfural (2016) Catal. Sci. Technol., 6, pp. 3694-3712; Li, G., Sun, Z., Yan, Y., Zhang, Y., Tang, Y., Direct transformation of HMF into 2,5-diformylfuran and 2,5-dihydroxymethylfuran without an external oxidant or reductant (2017) ChemSusChem, 10, pp. 494-498; Zhang, X.Y., Ou, X.Y., Fu, Y.J., Zong, M.H., Li, N., Efficient synthesis of 5-hydroxymethyl-2-furancarboxylic acid by Escherichia coli overexpressing aldehyde dehydrogenases (2020) J. Biotechnol., 307, pp. 125-130; Ventura, M., Aresta, M., Dibenedetto, A., Selective aerobic oxidation of 5-(hydroxymethyl)furfural to 5-formyl-2-furancarboxylic acid in water (2016) ChemSusChem, 9, pp. 1096-1100; Chen, C., Wang, L., Zhu, B., Zhou, Z., El-Hout, S.I., Yang, J., Zhang, J., 2,5-Furandicarboxylic acid production via catalytic oxidation of 5-hydroxymethylfurfural: catalysts, processes and reaction mechanism (2021) J. Energy Chem., 54, pp. 528-554; Esteves, L.M., Brijaldo, M.H., Oliveira, E.G., Martínez, J.J., Rojas, H., Caytuero, A., Passos, F.B., Effect of support on selective 5-hydroxymethylfurfural hydrogenation towards 2,5-dimethylfuran over copper catalysts (2020) Fuel, 270; Hu, X., Jiang, S., Wu, L., Wang, S., Li, C.Z., One-pot conversion of biomass-derived xylose and furfural into levulinate esters via acid catalysis (2017) Chem. Commun., 53, pp. 2938-2941; Zaccheria, F., Bossola, F., Scotti, N., Evangelisti, C., Dal Santo, V., Ravasio, N., On demand production of ethers or alcohols from furfural and HMF by selecting the composition of a Zr/Si catalyst (2020) Catal. Sci. Technol., 10, pp. 7502-7511; Rodriguez, A., Rache, L.Y., Brijaldo, M.H., Silva, L.P.C., Esteves, L.M., Common reactions of furfural to scalable process of residual biomass (2020) Cienc. Desarro., 11, pp. 63-80; Chen, S.S., Maneerung, T., Tsang, D.C.W., Ok, Y.S., Wang, C.H., Valorization of biomass to hydroxymethylfurfural, levulinic acid, and fatty acid methyl ester by heterogeneous catalysts (2017) Chem. Eng. J., 328, pp. 246-273; Pardo Cuervo, O.H., Simeonov, S.P., Peixoto, A.F., Popova, M.D., Lazarova, H.I., Romanelli, G.P., Martínez, J.J., Afonso, C.A.M., Efficient continuous production of the biofuel additive 5-(t-butoxymethyl) furfural from 5-hydroxymethylfurfural (2019) Energy Technol., 7; Portilla-Zuñiga, O.M., Martínez, J.J., Casella, M., Lick, D.I., Sathicq, Á.G., Luque, R., Romanelli, G.P., Etherification of 5-hydroxymethylfurfural using a heteropolyacid supported on a silica matrix (2020) Mol. Catal., 494; Martínez, J.J., Páez, L.A., Gutiérrez, L.F., Pardo Cuervo, O.H., Rojas, H.A., Romanelli, G.P., Portilla, J., Becerra, D., Obtaining protoanemonin through selective oxidation of D-fructose and 5-(hydroxymethyl)furfural in a self-catalysed reaction (2020) Asian J. Org. Chem., 9, pp. 2184-2190; Gruter, G.J.M.G., 5-(Substituted methyl) 2-methylfuran, US2010/0212218 (2010); Krystof, M., Pérez-Sánchez, M., Domínguez de María, P., Lipase-catalyzed (trans)esterification of 5-hydroxymethylfurfural and separation from HMF esters using deep-eutectic solvents (2013) ChemSusChem, 6, pp. 630-634; Lewkowski, J., Synthesis, chemistry and applications of 5-hydroxymethyl-furfural and its derivatives (2001) Arkivoc, 1, pp. 17-54; Sugimura, H., Kikuchi, M., Kato, S., Sekita, W., Sasaki, I., Practical synthesis of mumefural, a component of Japanese apricot juice concentrate (2016) Tetrahedron, 72, pp. 7638-7641; Quiroz-Florentino, H., García, A., Burgueño-Tapia, E., Tamariz, J., Total synthesis of the natural succinate derivative of 5-(hydroxymethyl)furfural isolated from the Noni fruit (Morinda citrifolia) (2009) Nat. Prod. Res., 23, pp. 1355-1362; Xu, G.G., Pagare, P.P., Ghatge, M.S., Safo, R.P., Gazi, A., Chen, Q., David, T., Abdulmalik, O., Design, synthesis, and biological evaluation of ester and ether derivatives of antisickling agent 5-HMF for the treatment of sickle cell disease (2017) Mol. Pharma., 14, pp. 3499-3511; Sun, C., Peng, C., Wang, J., Wang, Q., Liu, W., Zhou, H., Yang, C., Synthesis of novel coumarin derivatives and in vitro biological evaluation as potential PTP 1B inhibitors (2013) Heterocycles, 87, pp. 1711-1726; Qi, X., Zhou, R., Ai, H.J., Wu, X.F., HMF and furfural: promising platform molecules in rhodium-catalyzed carbonylation reactions for the synthesis of furfuryl esters and tertiary amides (2020) J. Catal., 381, pp. 215-221; Chatterjee, M., Ishizaka, T., Kawanami, H., Accelerated decarbonylation of 5-hydroxymethylfurfural in compressed carbon dioxide: a facile approach (2018) Green Chem., 20, pp. 2345-2355; Geilen, F.M.A., Stein, T., Engendahl, B., Winterle, S., Liauw, M.A., Klankermayer, J., Leitner, W., Highly selective decarbonylation of 5-(hydroxymethyl)furfural in the presence of compressed carbon dioxide (2011) Angew. Chem. Int. Ed., 50, pp. 6831-6834; Chauhan, A.S., Kumar, A., Sharma, A.K., Das, P., Pd-Catalysed decarbonylation free approach to carbonylative esterification of 5-HMF to its aryl esters synthesis using aryl halides and oxalic acid as C1 source (2021) Chem. Eur. J., 27, pp. 12971-12975; Palatinus, L., Chapuis, G., SUPERFLIP–A computer program for the solution of crystal structures by charge flipping in arbitrary dimensions (2007) J. Appl. Crystallogr., 40, pp. 786-790; Sheldrick, G.M., Crystal structure refinement with SHELXL (2015) Acta Crystallogr. Sect. C Struct. Chem., 71, pp. 3-8; Macrae, C.F., Bruno, I.J., Chisholm, J.A., Edgington, P.R., McCabe, P., Pidcock, E., Rodriguez-Monge, L., Wood, P.A., Mercury CSD 2.0 - new features for the visualization and investigation of crystal structures (2008) J. Appl. Crystallogr., 41, pp. 466-470; Parsons, S., Flack, H.D., Wagner, T., Use of intensity quotients and differences in absolute structure refinement (2013) Acta Cryst., B69, pp. 249-259; Spackman, M.A., Jayatilaka, D., Hirshfeld surface analysis (2009) CrystEngComm, 11, pp. 19-32; Jayatilaka, D., Grimwood, D.J., Lee, A., Lemay, A., Russel, A.J., Taylor, C., Wolff, S.K., Whitton, A., TONTO–A System for Computational Chemistry (2005), http://hirshfeldsurface.net, Available at:; Spackman, M.A., McKinnon, J.J., Jayatilaka, D., Electrostatic potentials mapped on Hirshfeld surfaces provide direct insight into intermolecular interactions in crystals (2008) CrystEngComm, 10, pp. 377-388; Mackenzie, C.F., Spackman, P.R., Jayatilaka, D., Spackman, M.A., CrystalExplorer model energies and energy frameworks: extension to metal coordination compounds, organic salts, solvates and open-shell systems (2017) IUCrJ, 4, pp. 575-587; Turner, M.J., McKinnon, J.J., Wolff, S.K., Grimwood, D.J., Spackman, P.R., Jayatilaka, D., Spackman, M.A., CrystalExplorer17 (2017), http://hirshfeldsurface.net/, University of Western Australia Available at:; Belousov, A.S., Esipovich, A.L., Kanakov, E.A., Otopkova, K.V., Recent advances in sustainable production and catalytic transformations of fatty acid methyl esters (2021) Sustain. Energy Fuels, 5, pp. 4512-4545; Changmai, B., Sudarsanam, P., Rokhum, L., Biodiesel production using a renewable mesoporous solid catalyst (2020) Ind. Crops Prod., 145; Xia, X.F., Niu, Y.N., Recent developments in the synthesis of nitrogen-containing heterocycles from β-aminovinyl esters/ketones as C=C–N donors (2022) Org. Biomol. Chem., 20, pp. 282-295; Gomes Almeida, A., de Meneses, A.C., Hermes de Araújo, P.H., de Oliveira, D., A review on enzymatic synthesis of aromatic esters used as flavor ingredients for food, cosmetics and pharmaceuticals industries (2017) Trends Food Sci. Technol., 69, pp. 95-105; Insuasty, D., Castillo, J., Becerra, D., Rojas, H., Abonia, R., Synthesis of biologically active molecules through multicomponent reactions (2020) Molecules, 25, p. 505; Becerra, D., Portilla, J., Castillo, J.-C., 2-Oxo-2H-chromen-7-yl 4-chlorobenzoate (2021) Molbank, 2021, p. M1279; Silverstein, R.M., Webster, F.X., Kiemle, D.J., Bryce, D.L., Spectrometric Identification of Organic Compounds (2014), 8th ed. Wiley; Zhuang, J., Li, M., Pu, Y., Ragauskas, A.J., Yoo, C.G., Observation of potential contaminants in processed biomass using fourier transform infrared spectroscopy (2020) Appl. Sci., 10, p. 4345; Socrates, G., Infrared Characteristic Group Frequencies (2004), 3rd ed. John Wiley &amp; Sons, Ltd. New York; Parlak, C., Ramasami, P., Theoretical and experimental study of infrared spectral data of 2-bromo-4-chlorobenzaldehyde (2020) SN Appl. Sci., 2, p. 11148; Wang, Z., Song, R., Chen, W., Wang, J., Wang, P., Zhang, Z., Zhang, X., Wan, F., Vibrational spectra and molecular vibrational behaviors of dibenzyl disulfide, dibenzyl sulphide and bibenzyl (2022) Int. J. Mol. Sci., 23, p. 1958; Serrano-Sterling, C., Becerra, D., Portilla, J., Rojas, H., Macías, M., Castillo, J.-C., Synthesis, biological evaluation and X-ray crystallographic analysis of novel (E)-2-cyano-3-(het)arylacrylamides as potential anticancer agents (2021) J. Mol. Struct., 1244; Mackinney, G., Temmer, O., The deterioration of dried fruit. IV. Spectrophotometric and polarographic studies (1948) J. Am. Chem. Soc., 70, pp. 3586-3590; Khan, K.M., Maharvi, G.M., Hayat, S., Zia-Ullah, Choudhary, M.I., Atta-ur-Rahman, An expedient esterification of aromatic carboxylic acids using sodium bromate and sodium hydrogen sulfite (2003) Tetrahedron, 59, pp. 5549-5554; Vanderheyden, L., Zeegers-Huyskens, T., Absolute Raman intensities of the carbonyl stretching band in para substituted methyl benzoates (1989) Ber. Bunsenges. Physik. Chem., 93, pp. 1423-1428; Cilento, G., Ultraviolet absorption spectra of fully aromatic esters and thiolesters (1953) J. Am. Chem. Soc., 75, pp. 3748-3750; Congcong, C., Zhang, Z., Chang, H.-M., Jameel, H., Determination of furfural and hydroxymethylfurfural formed from biomass under acidic conditions (2009) J. Wood Chem. Technol., 29, pp. 265-276; Nogueira, C.E.S., de Oliveira, M.M., Teixeira, A.M.R., Bandeira, P.N., dos Santos, H.S., Ayala, A.P., Bezerra, B.P., Freire, P.T.C., Crystal structure, FT-Raman and FTIR spectra and DFT calculations of chalcone (2E)-1-(4-aminophenyl)-3-(furan-2-yl)prop-2-en-1-one monohydrate (2020) J. Mol. Struct., 1212; Sayer, I., Dege, N., Ghalla, H., Moliterni, A., Naïli, H., Crystal structure, DFT studies and thermal characterization of new luminescent stannate (IV) based inorganic-organic hybrid compound (2021) J. Mol. Struct., 1224; Ilmi, R., Zhang, D., Dutra, J.D.L., Dege, N., Zhou, L., Wong, W.-Y., Raithby, P.R., Khan, M.S., A tris β-diketonate europium(III) complex based OLED fabricated by thermal evaporation method displaying efficient bright red emission (2021) Org. Electron., 96; Daoui, S., Baydere, C., Akman, F., Kalai, F.E., Mahi, L., Dege, N., Topcu, Y., Benchat, N., Synthesis, X-ray crystallography, vibrational spectroscopy, thermal and DFT studies of (E)-6-(4-methylstyryl)-4,5-dihydropyridazin-3(2H)-one (2021) J. Mol. Struct., 1225; Pidcock, E., Achiral molecules in non-centrosymmetric space groups (2005) Chem. Commun., 3457, pp. 3457-3459</t>
  </si>
  <si>
    <t>2-s2.0-85134363675</t>
  </si>
  <si>
    <t>Herlina U., Nurjaman F., Handoko A.S., Bahfie F., Prasetyo E., Astuti W., Supriyatna Y.I.</t>
  </si>
  <si>
    <t>57200751615;57190281095;57204590652;57193390408;57209325915;57164760800;23101660700;</t>
  </si>
  <si>
    <t>Preliminary characterization of laterite weight ratio on the phase and microstructure</t>
  </si>
  <si>
    <t>AIP Conference Proceedings</t>
  </si>
  <si>
    <t>10.1063/5.0106285</t>
  </si>
  <si>
    <t>https://www.scopus.com/inward/record.uri?eid=2-s2.0-85142623060&amp;doi=10.1063%2f5.0106285&amp;partnerID=40&amp;md5=38787dd7adda86d3997fbb5cee55b65a</t>
  </si>
  <si>
    <t>Research Unit for Mineral Technology, Indonesian Institute of Sciences, South Lampung, Lampung, 35361, Indonesia</t>
  </si>
  <si>
    <t>Herlina, U., Research Unit for Mineral Technology, Indonesian Institute of Sciences, South Lampung, Lampung, 35361, Indonesia; Nurjaman, F., Research Unit for Mineral Technology, Indonesian Institute of Sciences, South Lampung, Lampung, 35361, Indonesia; Handoko, A.S., Research Unit for Mineral Technology, Indonesian Institute of Sciences, South Lampung, Lampung, 35361, Indonesia; Bahfie, F., Research Unit for Mineral Technology, Indonesian Institute of Sciences, South Lampung, Lampung, 35361, Indonesia; Prasetyo, E., Research Unit for Mineral Technology, Indonesian Institute of Sciences, South Lampung, Lampung, 35361, Indonesia; Astuti, W., Research Unit for Mineral Technology, Indonesian Institute of Sciences, South Lampung, Lampung, 35361, Indonesia; Supriyatna, Y.I., Research Unit for Mineral Technology, Indonesian Institute of Sciences, South Lampung, Lampung, 35361, Indonesia</t>
  </si>
  <si>
    <t>The mixing way of 2 type laterite makes them useful for extraction and no bounding between saprolite and limonite. The optimum ratio of saprolite and limonite is the concerned purpose for this research, and the optimization Fe2O3 phase after treatment is another target. The weight ratio of saprolite and limonite (solid: solid) are 1:4, 1:1, and 4:1 and gave heat treatment at 300 oC for getting to know the Fe2O3 phases. All samples are analyzed with XRD to get info on the phases for all ratios after heat treatment. The optimum ratio is 1:4, with the Fe2O3 phases forming in the optimum intensity. SEM images are also presented to obtain the chemical spreading on the optimal ratio. The forming of goethite (FeOOH) to hematite (Fe2O3) and decrease the form of oxygen caused by the releasing hydrogen and oxidation of iron. © 2022 Author(s).</t>
  </si>
  <si>
    <t>We would like to thank the Program Riset Nasional-LIPI for the financial and technical support of this research and LIPI’ science facilities. First author thanks Mr. Fathan Bahfie for guiding and directing the research and this writing paper.</t>
  </si>
  <si>
    <t>Zeng, X., Zheng, H., Gong, R., Eheliyagoda, D., (2018) Conserv. Recycl., 135, pp. 210-215. , Resour; (2018) Global Mine Production of Nickel from 2006 to 2017, , The Statista Portal; Ma, B., Yang, W., Pei, Y., Wang, C., Jin, B., (2017) Hydrometallurgy, 169, pp. 411-417; Basturkcu, H., Acarkan, N., (2016) Physicochem. Probl. Miner. Process., 52, pp. 564-574; Basturkcu, H., Acarkan, N., Gock, E., (2017) Int. J. Miner. Process., 163, pp. 1-8; Guo, X., Li, D., Park, K.H., Tian, Q., Wu, Z., (2009) Hydrometallurgy, 99, pp. 144-150; Guo, X.Y., Shi, W.T., Li, D., Tian, Q.H., (2011) Trans. Nonferr. Met. Soc. China (Engl. Ed., 21, pp. 191-195; Ribeiro, P.P.M., De Souza, L.C.M., Neumann, R., Dos Santos, I.D., Dutra, A.J.B., (2020) Journal Mater. Res. Technol., 9 (6), pp. 12404-12415; Oxley, A., Barcza, N., (2013) Miner. Eng., 54, pp. 2-13; Swamy, Y.V., Kar, B.B., Mohanty, J.K., (2000) Miner. Eng., 13 (14-15), pp. 1635-1640; Loveday, B.K., (2008) Miner. Eng., 21, pp. 533-538; Emons, H., Ziengenbalg, G., Naumann, R., Paulik, F., (1990) J. Therm. Anal., 36; Neumann, R., Avelar, A.N., Da, C.G.M., (2014) Miner. Eng., 55, pp. 80-86; Lisbeth, L.A., Cristina, P.Z., Julio, A.C.R., Pedro, D., (2017) Universidad Pedagógica y Tecnológica de Colombia - Facultad de Ingeniería, 26 (45), pp. 33-45</t>
  </si>
  <si>
    <t>Bahfie, F.; Research Unit for Mineral Technology, South Lampung, Indonesia; email: fathanbahfie@gmail.com</t>
  </si>
  <si>
    <t>Fauzi M.H.Sunnardiarto G.K.Hasib M.Wella S.A.Adam A.S.Kholili M.J.Saputri W.D.Ariwahjoedi S.SyuhadaTimuda G.E.Hanto D.Herbani Y.Putri W.B.K.Sugiarto I.T.Khaerundini D.S.Nugraha A.R.T.Suprayoga E.Shiddiq M.Hardiansyah A.Mustofa S.</t>
  </si>
  <si>
    <t>American Institute of Physics Inc.</t>
  </si>
  <si>
    <t>6th International Symposium on Frontier of Applied Physics, ISFAP 2021</t>
  </si>
  <si>
    <t>6 October 2021 through 7 October 2021</t>
  </si>
  <si>
    <t>0094243X</t>
  </si>
  <si>
    <t>AIP Conf. Proc.</t>
  </si>
  <si>
    <t>2-s2.0-85142623060</t>
  </si>
  <si>
    <t>Bahfie F., Herlina U., Handoko A.S., Astuti W., Nurjaman F., Sumardi S., Mufakhir F.R.</t>
  </si>
  <si>
    <t>57193390408;57200751615;57204590652;57164760800;57190281095;57190941355;57200759155;</t>
  </si>
  <si>
    <t>The effect of Fe2O3phase on the hydrometallurgical process of nickel laterite: A preliminary study</t>
  </si>
  <si>
    <t>10.1063/5.0106283</t>
  </si>
  <si>
    <t>https://www.scopus.com/inward/record.uri?eid=2-s2.0-85142601051&amp;doi=10.1063%2f5.0106283&amp;partnerID=40&amp;md5=7fcf0bfac2b9cb247f9ded3395e45099</t>
  </si>
  <si>
    <t>Research Unit for Mineral Technology, National Research and Innovation Agency, South Lampung, Lampung, 35361, Indonesia</t>
  </si>
  <si>
    <t>Bahfie, F., Research Unit for Mineral Technology, National Research and Innovation Agency, South Lampung, Lampung, 35361, Indonesia; Herlina, U., Research Unit for Mineral Technology, National Research and Innovation Agency, South Lampung, Lampung, 35361, Indonesia; Handoko, A.S., Research Unit for Mineral Technology, National Research and Innovation Agency, South Lampung, Lampung, 35361, Indonesia; Astuti, W., Research Unit for Mineral Technology, National Research and Innovation Agency, South Lampung, Lampung, 35361, Indonesia; Nurjaman, F., Research Unit for Mineral Technology, National Research and Innovation Agency, South Lampung, Lampung, 35361, Indonesia; Sumardi, S., Research Unit for Mineral Technology, National Research and Innovation Agency, South Lampung, Lampung, 35361, Indonesia; Mufakhir, F.R., Research Unit for Mineral Technology, National Research and Innovation Agency, South Lampung, Lampung, 35361, Indonesia</t>
  </si>
  <si>
    <t>Optimization of Fe2O3 compositions for nickel leaching from laterite ores is required to obtain the optimum nickel grade in the leaching product. The effect of Fe2O3 on the hydrometallurgical process of nickel laterite has been reported clearly in this work. The optimization of Fe2O3 composition was obtained by mixing two different types of nickel laterites, i.e., saprolite and limonite, in which the various weight ratios were 2:3; 1:4; 1:1; 4:1, and 3:2. The mixed nickel laterites were heated at 300 °C. Then, the samples were leached using sulfuric acid (1.5M) at the temperature of 110 °C for 1 hour. The XRD analysis was performed on the mixed, heated ores to investigate the phase transformation. The leaching products were analyzed by ICP-OES for analyzing the nickel grade. The optimum condition was the weight ratio (saprolite/limonite) of 1:4 and heating temperature of 300 °C, which resulted in a nickel percentage of 2.18 wt%. © 2022 Author(s).</t>
  </si>
  <si>
    <t>We would like to say thank to the Program Riset Nasional-LIPI for the financial and technical support of this research and LIPI’s science facilities. The first author says thanks to Mr. Fajar Nurjaman for guiding and directing the research and this writing paper.</t>
  </si>
  <si>
    <t>McDonald, R.G., Whittington, B.I., (2008) Hydrometallurgy, 91, pp. 35-55; Mudd, G., (2010) Ore Geol. Rev., 38, pp. 9-26; Eckelman, M., (2010) Resour. Conserv. Rec., 54, pp. 256-266; Norgate, T., Jahanshahi, S., (2010) Miner. Eng., 23, pp. 65-73; Norgate, T., Jahanshahi, S., (2011) Miner. Eng., 24, pp. 698-707; Buyukakinciand, E., Topkaya, Y.A., (2009) Hydrometallurgy, 97, pp. 33-38; Chakrabortyand, M., Srikanth, S., (2000) Thermo. Acta, 362, pp. 25-35; Dalvi, A., Bacon, W.G., Osborne, R.C., The Past and the Future of Nickel Laterites (2004) PDAC International Convention Trade Show &amp; Investors Exchange, p. 574. , March, p; Harris, C.T., Peacey, J.G., Pickles, C.A., (2011) Miner. Eng., 24, pp. 651-660; Kar, B.B., Swamy, Y.V., Murthy, B.V.R., (2000) Hydrometallurgy, 56, pp. 387-394; Guo, X., Li, D., Park, K., Tian, Q., Wu, Z., (2009) Hydrometallurgy, 99, pp. 144-150; Guo, Q., Qu, J., Qi, T., Wei, G., Han, B., (2012) Minerals Engineering, 24, pp. 825-832; Lu, J., Liu, S., Shangguan, J., Du, W., Pan, F., Yang, S., (2013), 49, pp. 154-164; Abasturkcuand, H., Acarkan, N., (2016) Physicochem. Probl. Miner. Process., 52 (1), pp. 112-123; Mudd, G., (2010) Ore Geol. Rev., 38, pp. 9-26; Neudorf, D., (2007) ALTA 2007 Nickel/Cobalt 12. ALTA Metallurgical Services, Atmospheric Leaching Forum, p. 5; Rhamdhani, M.A., Hayes, P.C., Jak, E., (2009) Miner. Process. Extr. Metall. Trans. Inst. Min.Metall. C, 118, pp. 146-155; Beukes, J.P., Giesekke, E.W., Elliott, W., (2000) Miner. Eng., 13 (14-15), pp. 1573-1579; Astuti, W., Hirajima, T., Sasaki, K., Okibe, N., (2016) Hydrometallurgy, 161, pp. 138-151; Astuti, W., Hirajima, T., Sasaki, K., Okibe, N., (2016) Minerals Engineering, 85, pp. 1-16; Astuti, W., Mufakhir, F.R., Nurjaman, F., Sumardi, S., Herlina, U., Bahfie, F., Petrus, H.T.B.M., (2021) Metal Indonesia, 43 (1); Lisbeth, L.A., Cristina, P.Z., Julio, A.C.R., Pedro, D., (2017) Universidad Pedagógica y Tecnológica de Colombia - Facultad de Ingeniería, 26 (45), pp. 33-45</t>
  </si>
  <si>
    <t>Bahfie, F.; Research Unit for Mineral Technology, South Lampung, Indonesia; email: fath007@brin.go.id</t>
  </si>
  <si>
    <t>2-s2.0-85142601051</t>
  </si>
  <si>
    <t>Ortega L., Miller J., Araguás-Araguás L., Zabala M.E., Vives L., Mira A., Rodríguez L., Heredia J., Armengol S., Manzano M.</t>
  </si>
  <si>
    <t>57212816427;7501599628;6602390261;56539549300;6701878542;55883425000;7402239566;6701881294;56294165000;7006064276;</t>
  </si>
  <si>
    <t>Unravelling groundwater and surface water sources in the Esteros del Iberá Wetland Area: An isotopic approach</t>
  </si>
  <si>
    <t>Science of the Total Environment</t>
  </si>
  <si>
    <t>https://www.scopus.com/inward/record.uri?eid=2-s2.0-85135691710&amp;doi=10.1016%2fj.scitotenv.2022.157475&amp;partnerID=40&amp;md5=06bd1e21afef1faa67dc64649556a373</t>
  </si>
  <si>
    <t>Escuela de Ingeniería de Caminos, Canales y Puertos y de Ingeniería de Minas, Universidad Politécnica de Cartagena (UPTC), Cartagena, Spain; International Atomic Energy Agency (IAEA), Vienna, Austria; Consejo Nacional de Investigaciones Científicas y Técnicas (CONICET), Ciudad Autónoma de Buenos Aires, Argentina; Instituto de Hidrología de Llanuras ‘Dr. Eduardo Jorge Usunoff’ (IHLLA), Buenos Aires, Azul, Argentina; Instituto Geológico y Minero de España (IGME), Spain; Facultad de Ingeniería y Ciencias Hídricas, Universidad Nacional del Litoral, Santa Fe, Argentina; Department of Environmental Sciences, University of California, Riverside, CA, United States</t>
  </si>
  <si>
    <t>Ortega, L., Escuela de Ingeniería de Caminos, Canales y Puertos y de Ingeniería de Minas, Universidad Politécnica de Cartagena (UPTC), Cartagena, Spain, International Atomic Energy Agency (IAEA), Vienna, Austria; Miller, J., International Atomic Energy Agency (IAEA), Vienna, Austria; Araguás-Araguás, L., International Atomic Energy Agency (IAEA), Vienna, Austria; Zabala, M.E., Consejo Nacional de Investigaciones Científicas y Técnicas (CONICET), Ciudad Autónoma de Buenos Aires, Argentina, Instituto de Hidrología de Llanuras ‘Dr. Eduardo Jorge Usunoff’ (IHLLA), Buenos Aires, Azul, Argentina; Vives, L., Instituto de Hidrología de Llanuras ‘Dr. Eduardo Jorge Usunoff’ (IHLLA), Buenos Aires, Azul, Argentina; Mira, A., Instituto de Hidrología de Llanuras ‘Dr. Eduardo Jorge Usunoff’ (IHLLA), Buenos Aires, Azul, Argentina, Instituto Geológico y Minero de España (IGME), Spain; Rodríguez, L., Facultad de Ingeniería y Ciencias Hídricas, Universidad Nacional del Litoral, Santa Fe, Argentina; Heredia, J., Instituto Geológico y Minero de España (IGME), Spain; Armengol, S., Department of Environmental Sciences, University of California, Riverside, CA, United States; Manzano, M., Escuela de Ingeniería de Caminos, Canales y Puertos y de Ingeniería de Minas, Universidad Politécnica de Cartagena (UPTC), Cartagena, Spain</t>
  </si>
  <si>
    <t>In the Esteros del Iberá Wetland Area (EIWA, NE Argentina), the southern sector of the transboundary Guarani Aquifer System (SAG) is overlain by the Ramsar listed Iberá Wetlands and several rivers, that combined extend across 37,930 km2 and represent one of the largest freshwater systems on the South American continent. Previous hydrogeological studies encompassing the entire SAG proposed preferential discharge of groundwater of various origins and ages to the EIWA. In this study, a multi-tracer study using major ionic species, δ18O, δ2H and 222Rn was conducted in lagoons, rivers, wells, and boreholes in the EIWA to confirm if discharge from the transboundary SAG is contributing to the surface water system. End-member Mixing Analysis (EMMA) determined the existence of four main end-members: groundwater from the SAG, more saline groundwater from the deeper Pre-SAG, and two poorly mineralised end-members from shallow, Post-SAG. EMMA calculations clearly illustrated complex binary and ternary mixing patterns involving the four end-members and highlighted the role of geological structures, specifically regional steep faults, in controlling the mixing patterns. 222Rn activities allowed in-situ identification of preferential deep groundwater discharge into both surface waters and shallow groundwaters. These findings provide strong evidence for the widespread existence of upward flows along major faults in this sector of the SAG, inducing complex mixing flow patterns and explaining the presence of old groundwater in shallow aquifers. Mapping the sources of water and the hydrological interactions are relevant for improving water balance estimates and develop management policies towards the preservation of these wetlands. © 2022 Elsevier B.V.</t>
  </si>
  <si>
    <t>222Rn; Argentina; EMMA; Guaraní Aquifer System; Iberá Wetlands; Water sources; δ18O and δ2H</t>
  </si>
  <si>
    <t>CGL2009-2910-CO3; Ministerio de Ciencia, Tecnología e Innovación Productiva, MINCyT: 2008/2071; Ministerio de Economía y Competitividad, MINECO; International Atomic Energy Agency, IAEA</t>
  </si>
  <si>
    <t>The data from various projects between 2009 and 2015: International Atomic Energy Agency, project “The role of wetlands and rivers in the discharge of groundwater from the Guaraní aquifer in NE Argentina”; Ministry of Economy and Competitiveness of Spain, MICINN-REDESAC project CGL2009-2910-CO3, “Aquifer recharge and discharge processes”; and Ministry of Science, Technology and Productive Innovation of Argentina (PICT project 2008/2071). The authors would like to thank the comments and corrections of two anonymous reviewers that contributed greatly to improve the manuscript.</t>
  </si>
  <si>
    <t>Araújo, L.M., França, A.B., Potter, P.E., Hydrogeology of the Mercosul aquifer system in the Paraná and Chaco-Paraná basins, South America, and comparison with the Navajo-nugget aquifer system, USA (1999) Hydrogeol. J., 7 (3), pp. 317-336; Bai, J., Cui, B., Cao, H., Li, A., Zhang, B., Wetland degradation and ecological restoration (2013) Sci. World J.; Bam, E.K., Understanding Hydrological Processes and Water Fluxes Linking Wetland Ponds and Groundwater in the Prairie Pothole Region (2018), (Doctoral dissertation University of Saskatchewan; Barbier, E.B., Wetlands as natural assets (2011) Hydrol. Sci. J., 56 (8), pp. 1360-1373; Beck, H.E., Zimmermann, N.E., McVicar, T.R., Vergopolan, N., Berg, A., Wood, E.F., Present and future Köppen-Geiger climate classification maps at 1-km resolution (2018) Sci Data, 5, p. 180214. , (2018); Bocanegra, E., , pp. 19-38. , ; Manzano, M.; Custodio, e.; Cardoso da Silva Jr., G.; Betancur, T. 2016. Comparing management actions in groundwater related wetlands with significant services to human welfare in Ibero-America. Episodes 39(1); Bonotto, D.M., The dissolved uranium concentration and 234U/238U activity ratio in groundwaters from spas of southeastern Brazil (2017) J. Environ. Radioact., 166, pp. 142-151; Bonotto, D.M., Caprioglio, L., Radon in groundwaters from Guarany aquifer, South America: environmental and exploration implications (2002) Appl. Radiat. Isot., 57 (6), pp. 931-940; Bregolin, A.J.G., Radônio em águas subterrâneas de estâncias termais selecionadas do noroeste do Rio Grande do Sul e sudoeste de Santa Catarina, Brasil (Bachelor's tesis, Universidade Federal do Rio Grande do Sul) (2015); Burnett, W.C., Peterson, R.N., Santos, I.R., Hicks, R.W., (2010), Use of automated radon measurements for rapid assessment of groundwater flow into Florida streams. J. Hydrol., 380(3–4), 298–304. doi:; Busscher, N., Parra, C., Vanclay, F., Land grabbing within a protected area: the experience of local communities with conservation and forestry activities in Los Esteros del Iberá, Argentina (2018) Land Use Policy, 78, pp. 572-582; Calcaterra, L.A., Cuezzo, F., Cabrera, S.M., Briano, J.A., Ground ant diversity (Hymenoptera: Formicidae) in the Iberá nature reserve, the largest wetland of Argentina (2010) Ann. Entomol. Soc. Am., 103 (1), pp. 71-83; Camacho, A., de la Hera, A., Manzano, M., Martí-Cardona, B., Stephane, R.M., Management and Protection of Mediterranean Groundwater-Related Coastal Wetlands and their Services (2019), p. 136. , https://unesdoc.unesco.org/ark:/48223/pf0000372317, UNESCO Paris; Campos, H.C.N.S., Modelación conceptual y matemática del acuífero Guarani, Cono Sur (2000) Estudos Tecnológicos (São Leopoldo), 4, pp. 3-50; Canziani, G., Rossi, C., Loiselle, S., Ferrati, R.M., Los Esteros del Iberá, Informe del Proyecto “El manejo sustentable de los Recursos de Humedales en el MERCOSUR”, Comision Europea, Programa INCO-DEV, Proyecto ERB IC 18-CT98-0262 (2003) Fundacion Vida Silvestre Argentina—International Rivers Network, , Aires Buenos; Canziani, G.A., Ferrati, R.M., Rossi, C., Ruiz-Moreno, D., The influence of climate and dam construction on the Ibera wetlands, Argentina (2006) Reg. Environ. Chang., 6 (4), pp. 181-191; Carol, E., Kruse, E., Mancuso, M., Melo, M., Local and regional water flow quantification in groundwater-dependent wetlands (2013) Water Resour. Manag., 27 (3), pp. 807-817; Carrera, J., Vázquez-Suñé, E., Castillo, O., Sánchez-Vila, X., A methodology to compute mixing ratios with uncertain end-members (2004) Water Resour. Res., 40 (12); Clay, A., Bradley, C., Gerrard, A.J., Leng, M.J., Using stable isotopes of water to infer wetland hydrological dynamics (2004) Nat. Hazards Earth Syst. Sci., 8 (6), pp. 1164-1173; Cook, P.G., Wood, C., White, T., Simmons, C.T., Fass, T., Brunner, P., Groundwater inflow to a shallow, poorly-mixed wetland estimated from a mass balance of radon (2008) J. Hydrol., 354 (1-4), pp. 213-226; Cózar, A., Ferrati, R., García, C.M., Gálvez, J.A., Rossi, C., Human-threatened ecosystem: new signs of groundwater connection between Yacyreta reservoir and Ibera wetland (South America) (2005) Sci. Total Environ., 337 (1-3), pp. 281-286; Custodio, E., Groundwater-dependent wetlands (2000) Acta Geol. Hung., 43 (2), pp. 173-202; Davidson, N.C., How much wetland has the world lost? Long-term and recent trends in global wetland area (2014) Mar. Freshw. Res., 65 (10), pp. 934-941; Ferrati, R., Canziani, G.A., An analysis of water level dynamics in Esteros del Ibera wetland (2005) Ecol. Model., 186 (1), pp. 17-27; Finch, W.I., Davis, J.F., Sandstone-type uranium deposits (1985) IAEA-TECDOC-328, pp. 11-19; Freitas, M.A.D., Hidrogeoquímica e isotopía de aguas de alta salinidad del Sistema Acuífero Serra Geral en la región del Alto Río Uruguai (2016), (Brasil (Doctoral thesis); Gastmans, D., Hutcheon, I., Menegário, A.A., Chang, H.K., Geochemical evolution of groundwater in a basaltic aquifer based on chemical and stable isotopic data: case study from the northeastern portion of Serra Geral aquifer, São Paulo state (Brazil) (2016) J. Hydrol., 535, pp. 598-611; Gomes, M.S., de Albuquerque Cavalcanti, I.F., Müller, G.V., 2019/2020 drought impacts on South America and atmospheric and oceanic influences (2021) Weather Clim. Extrem, 34; Hiba, J., Esteros del Iberá: la sequía y el fuego amenazan el hábitat de especies únicas en peligro de extinción (2022) La Nación, 19. , https://www.lanacion.com.ar/, February 2022 (online); Hirata, R., Foster, S., The Guarani aquifer system–from regional reserves to local use (2021) Q. J. Eng. Geol. Hydrogeol., 54 (1); IAEA/WMO, Global Network of Isotopes in Precipitation (2022), http://www.iaea.org/water, The GNIP Database Accessible at:; IPCC, (2021) Climate Change 2021: The Physical Science Basis. Contribution of Working Group I to the Sixth Assessment Report of the Intergovernmental Panel on Climate Change, , V. Masson-Delmotte P. Zhai A. Pirani S.L. Connors C. Péan S. Berger N. Caud Y. Chen L. Goldfarb M.I. Gomis M. Huang K. Leitzell E. Lonnoy J.B.R. Matthews T.K. Maycock T. Waterfield O. Yelekçi R. Yu B. Zhou Cambridge University Press (In Press); Kingsford, R.T., Ecological impacts of dams, water diversions and river management on floodplain wetlands in Australia (2000) Austral Ecol, 25 (2), pp. 109-127; Lamontagne, S., Kirby, J., Johnston, C., Groundwater–surface water connectivity in a chain-of-ponds semiarid river (2021) Hydrol. Process., 35 (4); Low, R., Radon as a natural groundwater tracer in the chalk aquifer (1996) UK. Environ. Int., 22, pp. 333-338; Manzano, M., Guimaraens, M., Hidroquímica regional del SAG. Estudio del origen de la composición química de las aguas subterráneas del Sistema Acuífero Guaraní (2009) Projeto Sistema Aquífero Guarani/Programa Estratégico de Ação-PSAG/PEA, 2; Manzano, M., Guimaraens, M., (2012), pp. 281-295. , Hidroquímica del Sistema Acuífero Guaraní e implicaciones para la gestión. Bol. Geol. Min., 123(3); Manzano, M., Custodio, E., Mediavilla, C., Montes, C., Effects of localised intensive aquifer exploitation on the Doñana wetlands (SW Spain). In: groundwater intensive use (2005) International Association of Hydrogeologists, Selected Papers on hydrogeology, editorial, 7, pp. 209-219. , A. Sahuquillo J. Capilla L. Martínez-Cortina X. Sánchez Vila CRC Press; Manzano, M., Custodio, E., Higueras, H., Groundwater and its functioning at the Doñana RAMSAR site wetlands (SW Spain): Role of environmental isotopes to define the flow system (2007) In International Symposium in Advances in Isotope Hydrology and its Role in Sustainable Water Resources Management, pp. 149-160; Manzano, M., Rodríguez, L., Heredia, J., Vives, L., Nittmann, J., Zabala, M., Aggarwal, P., Araguás, L., Hydrochemical and isotopic assessment of the Iberá hydrogeological system in NE Argentina. In (2011) Geophys. Res. Abstr., 13; Manzano, M., Bocanegra, E., Custodio, E., Betancur, T., Cardoso, G., Una aproximación a los servicios al bienestar humano de los humedales vinculados a las aguas subterráneas en Ibero América (outlook of the services to human-well being of groundwater-associated wetlands in Latin-America) (2013) In: Hidrogeología y Recursos Hidráulicos, XXX, 953–963, , Instituto Geológico y Minero de España; Manzano, M., Camacho, C., Custodio, E., de la Hera, A., Main hydro(geo)logical characteristics, ecosystem services, and drivers of change of 26 representative Mediterranean groundwater-related coastal wetlands (2015) Ed: UNEP/MAP y UNESCO-IHP., p. 48. , https://unesdoc.unesco.org/ark:/48223/pf0000235228; Mira, A., Veroslavsky, G., Rossello, E., Vives, L., Rodríguez, L., Subsurface geological modeling of Corrientes province (NE Argentina) and its relationships with the Guaraní aquifer system function (2015) J. S. Am. Earth Sci., 62, pp. 148-163; Mitsch, W.J., Gosselink, J.G., The value of wetlands: importance of scale and landscape setting (2000) Ecol. Econ., 35 (1), pp. 25-33; Mitsch, W.J., Bernal, B., Hernández, M.E., Ecosystem services of wetlands (2015) Biodivers. Int. J., Ecosyst. Serv., 11 1, pp. 1-4; NASA, NASA Earth Observatory (2020), https://earthobservatory.nasa.gov/images/147480/severe-drought-in-southamerica, Severe Drought in South America Available at:; OAS, Guarani Aquifer: strategic action program = Acuífero Guaraní: programa estatégico de acción. – Bilingual edition.– Brazil; Argentina; Paraguay; Uruguay (2009), p. 224. , Organization of American States (OAS), January 2009; Oiro, S., Comte, J.C., Soulsby, C., Walraevens, K., Using stable water isotopes to identify spatio-temporal controls on groundwater recharge in two contrasting east African aquifer systems (2018) Hydrol. Sci. J., 63 (6), pp. 862-877; Ortega, L., Manzano, M., Custodio, E., Hornero, J., Rodríguez-Arévalo, J., Using 222Rn to identify and quantify groundwater inflows to the Mundo River (SE Spain) (2015) Chem. Geol., 395, pp. 67-79; Ortega, L., Manzano, M., Rodríguez-Arévalo, J., Testing the usefulness of 222Rn to complement conventional hydrochemical data to trace groundwater provenance in complex multi-layered aquifers. Application to the Úbeda aquifer system (Jaén, SE Spain) (2017) Sci. Total Environ., 599, pp. 2105-2120; Parera, A., Sabsay, D., El proyecto de represa del arroyo Ayuí Grande en Corrientes. impactos ambientales, políticos y jurídicos de un atropello a la naturaleza (2011) Informe Ambiental Anual., pp. 295-315; Pelizardi, F., Bea, S.A., Carrera, J., Vives, L., Identifying geochemical processes using end member mixing analysis to decouple chemical components for mixing ratio calculations (2017) J. Hydrol., 550, pp. 144-156; Rodellas, V., Garcia-Orellana, J., Garcia-Solsona, E., Masqué, P., Domínguez, J.A., Ballesteros, B.J., Mejias, M., Zarroca, M., Quantifying groundwater discharge from different sources into a Mediterranean wetland by using 222Rn and Ra isotopes (2012) J. Hydrol., 466, pp. 11-22; Rodríguez, L., Vives, L., Gomez, A., Conceptual and numerical modeling approach of the Guarani aquifer system (2013) Hydrol. Earth Syst. Sci., 17 (1), pp. 295-314; SMN - Servicio Meteorológico Nacional, Reporte - Estado del clima en Argentina 2020 (2021), SMN y Ministerio de Defensa de Argentina Argentina; Tubau, I., Vàzquez-Suñé, E., Jurado, A., Carrera, J., Using EMMA and MIX analysis to assess mixing ratios and to identify hydrochemical reactions in groundwater (2014) Sci. Total Environ., 470, pp. 1120-1131; Úbeda, B., Di Giacomo, A.S., Neiff, J.J., Loiselle, S.A., Guadalupe Poi, A.S., Galvez, J.A., Casco, S., Cozar, A., Potential effects of climate change on the water level, flora and macro-fauna of a large neotropical wetland (2013) PLoS One, 8 (7); Valladares, A.I., Análisis de las variaciones de las reservas de agua en la región de los Esteros del Iberá, Corrientes, Argentina (2014), (Master's dissertation); Vázquez-Suñé, E., Carrera, J., Tubau, I., Sánchez-Vila, X., Soler, A., An approach to identify urban groundwater recharge (2010) Hydrol. Earth Syst. Sci., 14 (10), pp. 2085-2097; Veroslavsky, G., Rossello, E.A., López-Gamundí, O., de Santa Ana, H., Assine, M.L., Marmisolle, J., de J Perinotto, A., Late Paleozoic tectono-sedimentary evolution of eastern Chaco-Paraná Basin (Uruguay, Brazil, Argentina and Paraguay) (2021) J. S. Am. Earth Sci., 106; Vives, L., Rodríguez, L., Manzano, M., Mira, A., Araguás-Araguás, L., Ortega, L., Heredia, J., Matsumoto, T., Using isotope data to characterise and date groundwater in the southern sector of the Guaraní aquifer system (2020) Isot. Environ. Health Stud., 56 (5-6), pp. 533-550; Xi, Y., Peng, S., Ciais, P., Chen, Y., Future impacts of climate change on inland Ramsar wetlands (2021) Nat. Clim. Chang., 11 (1), pp. 45-51</t>
  </si>
  <si>
    <t>Ortega, L.; International Atomic Energy Agency (IAEA)Austria; email: l.ortega@iaea.org</t>
  </si>
  <si>
    <t>STEVA</t>
  </si>
  <si>
    <t>2-s2.0-85135691710</t>
  </si>
  <si>
    <t>Interciencia Association</t>
  </si>
  <si>
    <t>Note</t>
  </si>
  <si>
    <t>Maldonado Cando J.L., Bustamante Vera A.A., Cabrera Grand J.R.</t>
  </si>
  <si>
    <t>57221983860;57990876000;57991338700;</t>
  </si>
  <si>
    <t>CRIMINAL PROCEEDINGS OF ADOLESCENT OFFENDERS AND THEIR EFFECTIVENESS IN SOCIO-EDUCATIONAL MEASURES [LOS PROCESOS PENALES DE ADOLESCENTES INFRACTORES Y SU EFECTIVIDAD EN LAS MEDIDAS SOCIO EDUCATIVAS]</t>
  </si>
  <si>
    <t>Universidad y Sociedad</t>
  </si>
  <si>
    <t>https://www.scopus.com/inward/record.uri?eid=2-s2.0-85143215898&amp;partnerID=40&amp;md5=133d1c4cbdb14507c61694c458fec0b3</t>
  </si>
  <si>
    <t>Universidad Regional Autónoma de Los Andes Santo Domingo, Ecuador</t>
  </si>
  <si>
    <t>Maldonado Cando, J.L., Universidad Regional Autónoma de Los Andes Santo Domingo, Ecuador; Bustamante Vera, A.A., Universidad Regional Autónoma de Los Andes Santo Domingo, Ecuador; Cabrera Grand, J.R., Universidad Regional Autónoma de Los Andes Santo Domingo, Ecuador</t>
  </si>
  <si>
    <t>In order to reintegrate adolescent offenders into society, socio-educational measures are applied. The objective of this study is, through the application of a special system, to be able to reintegrate adolescents into society, after committing an infraction. It seeks to determine the effectiveness of the application of socio-educational norms in adolescent offenders, which are established in the Code for Children and Adolescents. A mixed methodology was used in which qualitative and quantitative methods are combined, as well as the use of interviews and statistics that help us learn more about the subject. It is conclu-ded that it is necessary to apply social, family and psychological programs, with the purpose of monitoring young people and their families in the long term to verify the positive change. © 2022, University of Cienfuegos, Carlos Rafael Rodriguez. All rights reserved.</t>
  </si>
  <si>
    <t>adolescent offenders; reintegration; social programs</t>
  </si>
  <si>
    <t>Ávila, R., (2011) El neoconstitucionalismo transformador: el Estado y el derecho en la Constitución de 2008, , https://books.google.es/books?hl=es&amp;lr=&amp;id=YeRZEAAAQBAJ&amp;oi=fnd&amp;pg=PA5&amp;dq=A%CC%81vila+Santamari%CC%81a,+R.+(2011).+El+neoconstitucionalismo+transformador.+El+estado+y+el+derecho+en+la+Constitucio%CC%81n+de+2008+(1era+edici%C3%B3n+ed.).+Quito,+Ecuador:+Ediciones+Abya-Yala.+&amp;ots=KPliKjIvt2&amp;sig=J0KNpG424aD5GlvjqIE4uIMqkDU#v=onepage&amp;q&amp;f=false, Editorial Abya-Yala; Bernal, Á., Bogotá: rostros de marginación y delincuencia juvenil en tres cuentos de Luis Fayad (2021) Estudios de literatura colombiana, (48), pp. 245-262. , https://dialnet.unirioja.es/descarga/articulo/7825857.pdf; (2004) Caso “Instituto de Reeducación del Menor” vs. Paraguay. Corte Interamericana de Derechos Humanos, , https://www.corteidh.or.cr/docs/casos/articulos/seriec_112_esp.pdf; (2008) Constitución de la República, , https://www.defensa.gob.ec/wp-content/uploads/downloads/2021/02/Constitucion-de-la-Republica-del-Ecuador_act_ene-2021.pdf, Registro Oficial N. 449; (2005) Código de la Niñez y Adolescencia, , https://www.igualdad.gob.ec/wp-content/uploads/downloads/2017/11/codigo_ninezyadolescencia.pdf, Registro Oficial N. 737; (2019), http://portal.corteconstitucional.gob.ec:8494/FichaRelatoria.aspx?numdocumento=9-17-CN/19, Sentenci 9-17-CN/19. Corte Constitucional; (2020), https://www.dpe.gob.ec/wp-content/dpecomunicacion/public/sentencia-207-11-JH20-internamiento-adolescentes.pdf, Sentenci 207-11-JH/20. Corte Constitucional; Farrington, D. P., Welsh, B. C., Randomized experiments in criminology: What have we learned in the last two decades? (2005) Journal of Experimental Criminology, 1 (1), pp. 9-38. , https://link.springer.com/article/10.1007/s11292-004-6460-0; Gavazzi, S. M., Yarcheck, C. M., Sullivan, J. M., Jones, S. C., Khurana, A., Global risk factors and the prediction of recidivism rates in a sample of first-time misdemeanant offenders (2008) International Journal of Offender Therapy and Comparative Criminology, 52 (3), pp. 330-345; López, R., Sobre la eficacia (otra lectura de los delitos y de las penas) (2008) Derecho y Realidad, 6 (11), pp. 121-131. , https://revistas.uptc.edu.co/index.php/derecho_realidad/article/download/5092/4127; (2007) Reglas mínimas de las Naciones Unidas para la administración de la justicia de Menores (“Reglas de Beijing”), , http://www.cidh.org/ninez/pdf%20files/Reglas%20de%20Beijing.pdf, Naciones Unidas; Ortega, J., (2018) Sistema penal juvenil en Ecuador, , https://repositorio.uasb.edu.ec/bitstream/10644/6700/1/T2907-MDPE-Ortega-Sistema.pdf, (Master’s thesis, Universidad Andina Simón Bolívar, Sede Ecuador); Ortiz, Ú., La necesidad de criterios objetivos para la determinación de las medidas socioeducativas del adolescente infractor (2016) Revista IUS, 1 (9), pp. 1-22. , http://www.usat.edu.pe/files/revista/ius/2015-I/paper05.pdf; Petrosino, A., Turpin‐Petrosino, C., Guckenburg, S., Formal system processing of juveniles: Effects on delinquency (2010) Campbell Systematic Reviews, 6 (1), pp. 1-88. , https://onlinelibrary.wiley.com/doi/epdf/10.4073/csr.2010.1</t>
  </si>
  <si>
    <t>University of Cienfuegos, Carlos Rafael Rodriguez</t>
  </si>
  <si>
    <t>Univ. Soc.</t>
  </si>
  <si>
    <t>2-s2.0-85143215898</t>
  </si>
  <si>
    <t>Ortega-Ramírez A.T., Angulo-De Castro I., Becerra N.L., Gómez Caipa J.C., Huerta-Quiñones V.A.</t>
  </si>
  <si>
    <t>57354055500;57983547900;57983773900;57983774000;57983310600;</t>
  </si>
  <si>
    <t>Use of Water from Petroleum Production in Colombia for Soil Irrigation as a Sustainable Strategy Adapted from the Oman Desert</t>
  </si>
  <si>
    <t>Sustainability (Switzerland)</t>
  </si>
  <si>
    <t>10.3390/su142214892</t>
  </si>
  <si>
    <t>https://www.scopus.com/inward/record.uri?eid=2-s2.0-85142733939&amp;doi=10.3390%2fsu142214892&amp;partnerID=40&amp;md5=cc01e740a56d48f350073382893acbc8</t>
  </si>
  <si>
    <t>Management, Environment and Sustainability Research Group, Chemical and Environmental Engineering Department, Universidad de América, Bogota, 110311, Colombia; Petroleum, Natural Gas and Petrochemical Engineering Faculty, Universidad Nacional de Ingeniería, Lima, 15333, Peru</t>
  </si>
  <si>
    <t>Ortega-Ramírez, A.T., Management, Environment and Sustainability Research Group, Chemical and Environmental Engineering Department, Universidad de América, Bogota, 110311, Colombia; Angulo-De Castro, I., Management, Environment and Sustainability Research Group, Chemical and Environmental Engineering Department, Universidad de América, Bogota, 110311, Colombia; Becerra, N.L., Management, Environment and Sustainability Research Group, Chemical and Environmental Engineering Department, Universidad de América, Bogota, 110311, Colombia; Gómez Caipa, J.C., Management, Environment and Sustainability Research Group, Chemical and Environmental Engineering Department, Universidad de América, Bogota, 110311, Colombia; Huerta-Quiñones, V.A., Petroleum, Natural Gas and Petrochemical Engineering Faculty, Universidad Nacional de Ingeniería, Lima, 15333, Peru</t>
  </si>
  <si>
    <t>Production water represents a major sustainability challenge for oil and gas industries, which is why various strategies have emerged globally to encourage its reuse in proactive projects. One of the most recognized strategies has been developed in the Omani desert where artificial wetlands were designed to physically and biologically treat production water. The present study proposes to adapt this strategy to a Colombian context to further study the sustainability of production water reuse. The methodology of this study consists of three phases: evaluate in-field production water through the characterization of irrigation water, identify and prioritize the variables of said strategy, and propose an adequate soil irrigation strategy for a Colombian field. An expert matrix and multicriteria analysis are used to identify the level of interaction among the variables presented, according to the criteria of experts in the field of sustainable production water management. Water quality was ranked by the experts as the most important single variable. On a scale of 1–5, the variables with the highest level of interaction (2.8) are water quality and the type of treatment seedlings, and the variables with the lowest level of interaction (1.3) are additional water treatment systems and final water use. These results have led to the formation of a hierarchy of variables according to impact, which has been used to create a triple bottom line diagram and demonstrate the feasibility of implementing the Omani strategy in Colombia. © 2022 by the authors.</t>
  </si>
  <si>
    <t>expert matrix; multicriteria analysis; oil; production water; sustainability; water treatment</t>
  </si>
  <si>
    <t>adaptive management; desert; expert system; irrigation; multicriteria analysis; oil; petroleum; project management; strategic approach; sustainability; water treatment; water use; Colombia; Oman</t>
  </si>
  <si>
    <t>Seright, R., Brattekas, B., Water shutoff and conformance improvement: An introduction (2021) Petrol. Sci, 18, pp. 450-478; Mesa, S., Orjuela, J., Ortega, A., Sandoval, J., Revisión del panorama actual del manejo de agua de producción en la industria petrolera en Colombia (2018) Gestión. Y Ambiente, 21, pp. 87-98; Suárez, A., Jaramillo, M., Gonzaléz, A., Londoño, J., Pacavita, J., Reporte integrado de gestión sostenible 2016: Gestión integral de recursos hídricos (2017) Ecopetrol, 1, pp. 294-314. , https://www.ecopetrol.com.co/wps/wcm/connect/6abce830-d990-433b-a744-2e790ad19044/reporte-integrado-gestion-sostenible-2016.pdf?MOD=AJPERES&amp;attachment=true&amp;id=1583688051100, Available online; Resultados segundo trimestre 2020—Resiliencia y sostenibilidad ante una situación sin precedentes (2020) Ecopetrol SAS, 1, pp. 1-32. , https://www.ecopetrol.com.co/wps/wcm/connect/6f451f52-55cb-45ea-ac03-762f03e66f14/PPT%202Q20%20%20y%20Plan%202020%2020%2022%20Espa%C3%B1ol%20vf.pdf?MOD=AJPERES&amp;attachment=false&amp;id=1596632832682, Available online; Takechita, R., Sullivan, L., Smith, C., Collier, T., The Deepwater Horizon oil spill marine mammal injury assessment (2017) Endang. Species Res, 33, pp. 95-106; Yánez, A., Antón, C., Descriptive analysis of the impact on the life system of the inhabitants of the Parish of Dayuma caused by the oil industry in the Ecuadorian Amazon (2017) Int. J. Innov. Appl. Stud, 20, pp. 1180-1197. , http://www.ijias.issr-journals.org/abstract.php?article=IJIAS-16-349-08, Available online; Ortega, A.T., Marin, D.F., Ochoa, E.D., Revisión general de la producción elevada de agua en la industria del petróleo (2019) Revista Fuentes El Reventón Energético, 17, pp. 39-50; Rial, A., González, A., Reúso del agua de producción de hidrocarburos: Reto y oportunidad (2020) Gestión. Y Ambiente, 23, pp. 111-114; Gupta, A., Shamar, N.K., Bhardwaj, S., Srivastava, P.K., Chapter 4—Treated waste water as an alternative to fresh water irrigation with improved crop production (2021) Agricultural Water Management, pp. 49-65. , Academic Press, Cambridge, MA, USA; Memon, S., Kim, Y., Soomro, S., Soomro, M., Kim, W., A new approach for freshwater production and energy recovery from an oil field (2020) J. Water Process Eng, 34, p. 101145; Mukhametov, A., Kondrashev, S., Zvyagin, G., Spitsov, D., Treated livestock wastewater influence on soil quality and possibilities of crop irrigation (2022) Saudi J. Biol. Sci, 29, pp. 2766-2771; Winckelmann, D., Bleeke, F., Thomas, B., Elle, C., Klock, G., Open pond cultures of indigenous algae grown on non-arable land in an arid desert using watewater (2015) Int. Aquat. Res, 7, pp. 221-233; Piedrahíta, J., (2016) Caracterización Petrofísica de un Área en el Bloque CPO 16 en la Cuenca de Los Llanos Orientales—Colombia. [Trabajo de Grado, EAFIT Universidad], , https://repository.eafit.edu.co/bitstream/handle/10784/9738/JesusAlberto_PiedrahitaLor-duy_2016.pdf?sequence=2&amp;isAllowed=y, Available online; Cortés, L., Delgado, M., (2018) Evaluación Técnico-Financiera Para el Cambio Del Sistema de Levantamiento Artificial Actual Por Bombeo Por Cavidades Progresivas Con Motor en Fondo de Imanes Permanentes en Tres Pozos de un Campo Petrolero. [Trabajo de Grado, Universidad de América]. Repositorio Institucional, , https://bit.ly/3jpwMdP, Available online; (2015) Resolución 631 of 2015—Parámetros y Valores Máximos Permisibles en los Vertimientos Puntuales a Cuerpos de Agua Superficiales y a Sistemas de Alcantarillado Público. Ministerio de Medio Ambiente y Desarrollo Sostenible, , https://www.minambiente.gov.co/images/normativa/app/resoluciones/d1-res_631_marz_2015.pdf, Available online; Ortega, A.T., Arcila, Y.F., Vargas, L.M., Revisión Del Diagnóstico de Tratamiento de Aguas de Producción en Campos Petroleros Colombianos (2019) Rev. Ing. Investig. Y Desarro, 19, pp. 61-75. , https://revistas.uptc.edu.co/index.php/ingenieria_sogamoso/article/view/13085/10724, Available online; Franco, C., Villegas, J., Arcila, N., Ortega, D., Cortés, F., Remoción de hidrocarburos de aguas de producción de la industria petrolera utilizando nanointermedios compuestos por SiO2 funcionalizados con nanopartículas magnéticas (2017) DYNA, 84, pp. 65-74; (2018) Columna Vertebral Del Suministro de Energía—Se Requieren Tecnologías Inteligentes y Soluciones Avanzadas. Siemens, , https://new.siemens.com/mx/es/compania/temas-clave/energia-sostenible/futuro-petroleo-gas.html, Available online; Breuer, R., (2019) Nimr Water Treatment Project, Oman, , https://www.bauer.de/export/shared/documents/pdf/bre/project_sheets/bre_nimrpaper_en.pdf, BAUER Resources GmbH, Schroben-hausen, Germany, Available online; (2017) Nimr Reeed Beds. Petroleum Development Oman, , https://www.pdo.co.om/en/technical-expertise/nimr-reed-beds/Pages/default.aspx, Available online; Wu, H., Zhang, J., Ngo, H.H., Guo, W., Hu, Z., Liang, S., Fan, J., Liu, H., A review on the sustainability of constructed wetlands for wastewater treatment: Design and operation (2015) Bioresour. Technol, 175, pp. 594-601; Sullivan, E., Dean, C., Yoshida, T., Twary, S., Teshima, M., Alvarez, M., Zidenga, T., Rahn, T., Oil and gas produced water as a growth medium for microalgae cultivation: A review and feasibility analysis (2017) Alga Res, 24, pp. 492-504; García, E., Lena, F., Aplicación del método Delphi en el diseño de una investigación cuantitativa sobre el fenómeno (2018) Fablab. Empiria Rev. Metodol. Cienc. Soc, 40, pp. 129-166; Espejel, A., Romero, J., Barrera, A., Torres, B., Félix, J., Determinación del uso potencial agrícola mediante modelación geoespacial y análisis multicriterio para la cuenca Balsas Mezcala (2015) Ra Ximhai, 11, pp. 77-98. , https://www.redalyc.org/pdf/461/46142593005.pdf, Available online; Muñoz, B., Romana, M., Aplicación de métodos de decisión multicriterio discretos al análisis de alternativas en estudios informativos de infraestructuras de transporte (2016) Pensam. Matemáticos, 6, pp. 27-46. , https://dialnet.unirioja.es/servlet/articulo?codigo=5998856, Available online; Cevallos, L.J., Valencia, N.A., Barros, R.L., (2017) Análisis Estadístico Univariado. Guayaquil: Grupo Compas—Universidad de Guayaquil, , http://142.93.18.15:8080/jspui/bitstream/123456789/86/1/LIBRO%20CORRECCIONES.pdf, Available online; Stratigea, A., Grammatikogiannis, E., A Multicriteria Decision Support Framework for Assessing Alternative Wind Park Locations: The Case of Tanagra—Boiotia (2012) Reg. Sci. Inq. J, 4, pp. 105-120. , http://www.rsijournal.eu/ARTICLES/June_2012/105-120.pdf, Available online; García, M.J., La Cuenta del Triple Resultado o Triple Bottom Line (2015) Rev. De Contab. Y Dir. Univ. Rey Juan Carlos, 20, pp. 65-77. , https://accid.org/wp-content/uploads/2018/11/LA_CUENTA_DEL_TRIPLE_RESULTADO.pdf, Available online; Rodríguez, L., Ríos, L., Evaluación de la sostenibilidad mediante metodología GRI (2016) Dimens. Empres, 14, pp. 73-89; (2018) Oman: Sultanato de Oman. Gobierno de España—Oficina de Información Diplomática, , http://www.exteriores.gob.es/documents/fichaspais/oman_ficha%20pais.pdf, Available online; Al-Rawahi, M., Prigent, S., Headley, T., Breuer, R., Constructing Wetlands in the Desert: An Example of Sustainable Produced Water Management in Oman (2014) OnePetro, pp. 1-8; Stefanakis, A., (2018) Constructed Wetlands for Industrial Wastewater Treatment, , Wiley Blackwell, New York, NY, USA; Cárdenas, L.K., López, D., (2020) Análisis del uso de inhibidores para mitigar la corrosión interna en tuberías de aguas de formación petrolera. [Trabajo de grado, Universidad de América]. Repositorio Institucional, , https://bit.ly/3sWldOw, Available online; Decreto Único Reglamentario Del Sector Ambiente y Desarrollo Sostenible; Decreto 1076 de 2015, , https://www.funcionpublica.gov.co/eva/gestornormativo/norma.php?i=78153, Available online; Rodríguez, G., Huertas, B., Polo, S., González, C., Tauta, J., Rodríguez, J., Velásquez, F., López, R., (2020) Modelo Productivo de la Caña de Azúcar (Saccharum officinarum) Para la Producción de Panela en Cundinamarca, pp. 1-179. , Corporación Colombiana de Investigación Agropecuaria (AGROSAVIA), Mosquera, Colombia; Wilcox, J., Nasiri, F., Bell, S., Rahaman, M.S., Urban water reuse: A triple bottom line assessment framework and review (2016) Sustain. Cities Soc, 27, pp. 448-456; (2009) Technical/Regulatory Guidance Evaluating LNAPL Remedial Technologies for Achieving Project Goals, , https://itrcweb.org/guidancedocuments/LNAPL-2.pdf, Interstate Technology and Regulatory Council, Washington, DC, USA, Available online; Smith, G., Block, L.B., Ajami, N., Pombo, A., Velasco-Aulcy, L., Trade-offs across the water-energy-food nexus: A triple bottom line sustainability assessment of desalination for agriculture in the San quintín Valley, Mexico (2020) Environ. Sci. Policy, 114, pp. 445-452</t>
  </si>
  <si>
    <t>Ortega-Ramírez, A.T.; Management, Colombia; email: angie.ortega@profesores.uamerica.edu.co</t>
  </si>
  <si>
    <t>Huerta-Quiñones</t>
  </si>
  <si>
    <t>2-s2.0-85142733939</t>
  </si>
  <si>
    <t>Rubiano-Navarrete A.F., Lesmes Fabian C., Torres-Pérez Y., Gómez-Pachón E.Y.</t>
  </si>
  <si>
    <t>57984019500;55228710900;57983552300;55770188400;</t>
  </si>
  <si>
    <t>https://www.scopus.com/inward/record.uri?eid=2-s2.0-85142702583&amp;doi=10.3390%2fsu142214683&amp;partnerID=40&amp;md5=f6f8faece863247e2f1bbc2ecd20632a</t>
  </si>
  <si>
    <t>Grupo de Investigación en Diseño, Innovación y Asistencia Técnica de Materiales Avanzados-DITMAV, Facultad de Ingenieria, Universidad Pedagógica y Tecnológica de Colombia-UPTC, Tunja, 150003, Colombia; Centro de Investigaciones en Ingenierías Francisco Albán Estupiñán, Escuela de Ingeniería Ambiental, Corporación Universitaria del Meta—UniMeta, Villavicencio, 500001, Colombia; Grupo de Investigación en Energía y Nuevas Tecnologías—GENTE, Escuela Ingeniería Electromecánica, Facultad Duitama, Universidad Pedagógica y Tecnológica de Colombia—UPTC, Duitama, 150461, Colombia; Grupo de Investigación en Diseño, Innovación y Asistencia Técnica de Materiales Avanzados-DITMAV, Escuela de Diseño Industrial, Universidad Pedagógica y Tecnológica de Colombia-UPTC, Duitama, 150461, Colombia</t>
  </si>
  <si>
    <t>Rubiano-Navarrete, A.F., Grupo de Investigación en Diseño, Innovación y Asistencia Técnica de Materiales Avanzados-DITMAV, Facultad de Ingenieria, Universidad Pedagógica y Tecnológica de Colombia-UPTC, Tunja, 150003, Colombia; Lesmes Fabian, C., Centro de Investigaciones en Ingenierías Francisco Albán Estupiñán, Escuela de Ingeniería Ambiental, Corporación Universitaria del Meta—UniMeta, Villavicencio, 500001, Colombia; Torres-Pérez, Y., Grupo de Investigación en Energía y Nuevas Tecnologías—GENTE, Escuela Ingeniería Electromecánica, Facultad Duitama, Universidad Pedagógica y Tecnológica de Colombia—UPTC, Duitama, 150461, Colombia; Gómez-Pachón, E.Y., Grupo de Investigación en Diseño, Innovación y Asistencia Técnica de Materiales Avanzados-DITMAV, Escuela de Diseño Industrial, Universidad Pedagógica y Tecnológica de Colombia-UPTC, Duitama, 150461, Colombia</t>
  </si>
  <si>
    <t>Given the current situation we face regarding climate change, one of the greatest and most critical concerns is related to the reduction in the bee population. This population largely depends on beekeeping production units around the world. However, these production units also face great challenges in the construction of beehives, as pine word generally deteriorates within a period of five years or less. This relatively rapid deterioration has both economic and environmental repercussions, which may affect the economic sustainability of the beekeeping system. The objective of this research was the production and subsequent evaluation of the durability of alternative composite materials that can be used in beehive construction. The materials are based on high-density polyethylene and agro-industrial residues (fique fiber, banana fiber, and goose feathers) from the Boyacá region of Colombia. The composite materials studied in the present study were exposed to xylophagous fungi for 90 days, at constant humidity and under controlled temperature conditions that are conducive to fungi proliferation. The results showed that composite materials that include fique fibers are the most promising substitute for wood in the construction of beehives. Indeed, these materials were shown to be 80% more resistant to pathogen attack and durable weight loss than pine wood. These durability results may be of great importance for future implementation in beekeeping production units. They have the potential to impact not only the sustainable development of rural communities, but also to make a great ecological contribution by reducing the need to cut down trees while maintaining the health of beehives. © 2022 by the authors.</t>
  </si>
  <si>
    <t>apiculture; new materials; sustainable beehives; sustainable development; xylophagous fungi</t>
  </si>
  <si>
    <t>apiculture; composite; durability; fungus; relative humidity; sustainability; sustainable development; Colombia</t>
  </si>
  <si>
    <t>Universidad Pedagógica y Tecnológica de Colombia, UPTC; Gobernación de Boyacá: 110986575000-Conv, 865-2019, SGI 3006</t>
  </si>
  <si>
    <t>This research was funded by Minciencias, and the Gobernación de Boyacá through the Patrimonio Autónomo Fondo Nacional de Financiamiento Para la Ciencia, la Tecnología y la Innovación Francisco José de Caldas (project 110986575000-Conv. 865-2019) Códice SGI 3006 in the UPTC. Furthermore, the authors would like to thank the Universidad Pedagógica y Tecnológica de Colombia (UPTC).</t>
  </si>
  <si>
    <t>Bernate, D.Y.O., (2016) Repositorio Institucional UCC: La Apicultura, una Opción Para el Desarrollo de la Region. 25-ago, , https://repository.ucc.edu.co/handle/20.500.12494/12695, Available online; Millán, J.A., (2017) La Apicultura en la Ciudad de México y el Agroturismo como Opción para su Desarrollo, , https://repositorio.chapingo.edu.mx/items/675dc354-c768-4b1a-be6f-bd3a948e7bbc, Available online; https://books.google.com.co/books?id=NivDD6v25E0C&amp;printsec=frontcover&amp;dq=inauthor:%22Nicola+Bradbear%22&amp;hl=es&amp;sa=X&amp;redir_esc=y#v=onepage&amp;q&amp;f=false, Available online; https://www.fao.org/publications/sofa/2015/es/, Available online; https://biblioteca.ecosur.mx/bib/37697, Available online; Moritz, R.F.A., Tola, J., (1991) Manual del Apicultor Aficionado, , https://dialnet.unirioja.es/servlet/libro?codigo=82861, Available online; Hill, D.B., Webster, T.C., Apiculture and forestry (bees and trees) (1995) Agrofor. Syst, 29, pp. 313-320; Ioniță-Mîndrican, C.-B., Mititelu, M., Musuc, A.M., Oprea, E., Ziani, K., Neacșu, S.M., Grigore, N.D., Mireșan, H., Honey and Other Beekeeping Products Intake among the Romanian Population and Their Therapeutic Use (2022) Appl. Sci, 12; Al-Ghamdi, A.A., Tadesse, Y., Adgaba, N., Evaluation of major Acacia species in the nursery towards apicultural landscape restoration around Southwestern Saudi Arabia (2020) Saudi J. Biol. Sci, 27, pp. 3385-3389. , 33304146; https://repositoriosiidca.csuca.org/Record/RepoUNANM6636/Details, Available online; Bao, M., Tang, R., Bao, Y., He, S., Chen, Y., Li, N., Changes in Chemical Composition, and Microstructure of Decayed Wood-Fiber-Mat-Reinforced Composite Treated with Copper Triazole Preservative (2022) Forests, 13; https://books.google.com.co/books/about/Apicultura_Para_Peque%C3%B1os_Emprendedores.html?id=ZudMlECcDQMC, Available online; Paes, J.B., Morais, V.D.M., De Lima, C.R., Resistência natural de nove madeiras do semi-árido brasileiro a fungos xilófagos em condições de laboratório (2004) Rev. Árvore, 28, pp. 275-282; Aiduang, W., Chanthaluck, A., Kumla, J., Jatuwong, K., Srinuanpan, S., Waroonkun, T., Oranratmanee, R., Suwannarach, N., Amazing Fungi for Eco-Friendly Composite Materials: A Comprehensive Review (2022) J. Fungi, 8. , 36012830; Sydor, M., Cofta, G., Doczekalska, B., Bonenberg, A., Fungi in Mycelium-Based Composites: Usage and Recommendations (2022) Materials, 15. , 36143594; Vasiliauskienė, D., Boris, R., Balčiūnas, G., Kairytė, A., Urbonavičius, J., Impact of Cellulolytic Fungi on Biodegradation of Hemp Shives and Corn Starch-Based Composites with Different Flame-Retardants (2022) Microorganisms, 10. , 36144432; Da Silva, C.A., Monteiro, M.B.B., Brazolin, S., Lopez, G.A.C., Richter, A., Braga, M.R., Biodeterioration of brazilwood Caesalpinia echinata Lam. (Leguminosae—Caesalpinioideae) by rot fungi and termites (2007) Int. Biodeterior. Biodegradation, 60, pp. 285-292; Aguiar, A., Gavioli, D., Ferraz, A., Extracellular activities and wood component losses during Pinus taeda biodegradation by the brown-rot fungus Gloeophyllum trabeum (2013) Int. Biodeterior. Biodegradation, 82, pp. 187-191; Delucis, R., de Cademartori, P.H.G., Missio, A.L., Gatto, D.A., Decay resistance of four fast-growing Eucalypts wood exposed to three types of fields (2016) Maderas. Cienc. Tecnol, 18, pp. 33-42; Martin-Sanchez, P.M., Nunez, M., Estensmo, E.L.F., Skrede, I., Kauserud, H., Comparison of Methods to Identify and Monitor Mold Damages in Buildings (2022) Appl. Sci, 12; https://maderame.com/hongos-madera/, Available online; Zuin, V.G., Ramin, L.Z., Green and Sustainable Separation of Natural Products from Agro-Industrial Waste: Challenges, Potentialities, and Perspectives on Emerging Approaches (2018) Top. Curr. Chem, 376, pp. 1-54. , 29344754; Yadav, S., Yadav, P.K., Yadav, D., Yadav, K.D.S., Purification and Characterization of Pectin Lyase Produced by Aspergillus terricola and its Application in Retting of Natural Fibers (2008) Appl. Biochem. Biotechnol, 159, pp. 270-283. , 19089648; https://gupea.ub.gu.se/handle/2077/69105, Available online; Negrão, D.R., Mischan, M.M., de Pinho, S.Z., de Carvalho, L.R., Gomes, R.L., Passos, J.R.D.S., How temperature variation affects white-rot fungi mycelial growth dynamics: A nonlinear mixed models approach (2021) Fungal Biol, 125, pp. 860-868. , 34649672; Rahimi, M.K., Abbasi, E., Bijani, M., Tahmasbi, G., Dezfouli, A.A.A., Sustainability criteria of apicultural industry: Evidence from Iran (2020) Ecosyst. Health Sustain, 6; Hassan, B., Mankowski, M.E., Kirker, G., Ahmed, S., Bishell, A., Ex-situ performance of extracts from naturally durable heartwood species and their potential as wood preservatives (2019) Holz Roh-Werkst, 77, pp. 869-878; Consejer, L., Ambiente, M., Decreto, R., Documentaci, I., Actuaci, I.F., (2009) Seguridad Laboral en la Actividad Apicola, , https://documentop.com/manual-de-seguridad-laboral-en-la-actividad-apicola_59f90dc61723dd22c8fdf2ab.html, p. 16, Available online; https://www.astm.org/standards/d2017, Available online</t>
  </si>
  <si>
    <t>Rubiano-Navarrete, A.F.; Grupo de Investigación en Diseño, Colombia; email: andres.rubiano01@uptc.edu.co</t>
  </si>
  <si>
    <t>2-s2.0-85142702583</t>
  </si>
  <si>
    <t>Rodríguez Moreno J.H., Velandia J., Igua D.</t>
  </si>
  <si>
    <t>57981087900;57982073400;57981420100;</t>
  </si>
  <si>
    <t>Lessons for the Implementability and Sustainability of the SURG-Africa Model of Malawi in Colombia Comment on “Improving Access to Surgery Through Surgical Team Mentoring – Policy Lessons From Group Model Building With Local Stakeholders in Malawi”</t>
  </si>
  <si>
    <t>International Journal of Health Policy and Management</t>
  </si>
  <si>
    <t>https://www.scopus.com/inward/record.uri?eid=2-s2.0-85142618470&amp;doi=10.34172%2fijhpm.2022.6974&amp;partnerID=40&amp;md5=2087410d73e53ff39c8f93ebeb5b0025</t>
  </si>
  <si>
    <t>Family Medicine Department, Universidad Pedagógica y Tecnológica de Colombia (UPTC), Tunja, Colombia</t>
  </si>
  <si>
    <t>Rodríguez Moreno, J.H., Family Medicine Department, Universidad Pedagógica y Tecnológica de Colombia (UPTC), Tunja, Colombia; Velandia, J., Family Medicine Department, Universidad Pedagógica y Tecnológica de Colombia (UPTC), Tunja, Colombia; Igua, D., Family Medicine Department, Universidad Pedagógica y Tecnológica de Colombia (UPTC), Tunja, Colombia</t>
  </si>
  <si>
    <t>The development of models that allow improving the quality to achieve person-centered care is a challenge for any health system, especially in low-and middle-income countries, due to the economic difficulties inherent to the countries and to the cost involved in its implementation, which should be assumed by the states, avoiding that the economic burden is assumed by the population, and approaching the goal of universal health coverage. The availability of human talent and efficiency in the use of basic and specialized human talent is a necessity to improve safe access to health services, in this sense, the model proposed by SURG-Africa and whose sustainability in Malawi was evaluated, is an important reference for the establishment and sustainability of these models with other specialties and in other countries. Through this article, the elements of education, care model and financing for the implementation of the strategy in family medicine in the Colombian health system are explored. © 2022 The Author(s); Published by Kerman University of Medical Sciences.</t>
  </si>
  <si>
    <t>Health Management; Healthcare Policies; Implementation; Latin America; Quality in Healthcare</t>
  </si>
  <si>
    <t>Broekhuizen, H, Ifeanyichi, M, Mwapasa, G, Improving access to surgery through surgical team mentoring-policy lessons from group model building with local stakeholders in Malawi (2022) Int J Health Policy Manag, 11 (9), pp. 1744-1755; (2020) Quality Health Services: A Planning Guide, p. 56. , https://www.who.int/publications/i/item/9789240011632, Geneva: WHO; Zurro, AM, Solá, GJ., (2018) Atención familiar y salud comunitaria: conceptos y materiales para docentes y estudiantes, , 2nd ed. Madrid: Elsevier Health Sciences; (2015) Programa Nacional de Salud: Medicina Familiar y Comunitaria, , Bogotá: Ministerio de Salud y Protección Social, Dirección de Desarrollo del Talento Humano en Salud, Grupo de Formación; (2015) Modelo Integral de Atención en Salud – MIAS. Piloto de Implementación en los Departamentos con Poblaciones Dispersas Departamento de Guainía, , https://www.minsalud.gov.co/sites/rid/Lists/BibliotecaDigital/RIDE/VS/PSA/anexo-4-documento-mias.pdf, Bogotá: Ministerio de Salud y Protección Social; Verma, A, Bhatia, S., A policy framework for health systems to promote triple aim innovation (2016) Healthc Pap, 15 (3), pp. 9-23; What Is Pay for Performance in Healthcare? NEJM Catalyst. Innovations in Care Delivery, , https://catalyst.nejm.org/doi/full/10.1056/CAT.18.0245, Massachusetts Medical Society. Published March 1, 2018; Kyeremanteng, K, Robidoux, R, D’Egidio, G, Fernando, SM, Neilipovitz, D., An analysis of pay-for-performance schemes and their potential impacts on health systems and outcomes for patients (2019) Crit Care Res Pract, 2019, p. 8943972</t>
  </si>
  <si>
    <t>Rodríguez Moreno, J.H.; Family Medicine Department, Colombia; email: jaherom@gmail.com</t>
  </si>
  <si>
    <t>Kerman University of Medical Sciences</t>
  </si>
  <si>
    <t>Int J Health Policy Manag</t>
  </si>
  <si>
    <t>2-s2.0-85142618470</t>
  </si>
  <si>
    <t>Rojas Bernal C.L., Durosaiye I.O., Hadjri K., Zabala Corredor S.K., Segura Duran E., Cortés Prieto A.</t>
  </si>
  <si>
    <t>57117315300;57188670909;24324895300;57943364900;57209260429;57943848500;</t>
  </si>
  <si>
    <t>Neglected landscapes and green infrastructure: The case of the Limas Creek in Bogotá, Colombia</t>
  </si>
  <si>
    <t>Geoforum</t>
  </si>
  <si>
    <t>10.1016/j.geoforum.2022.09.010</t>
  </si>
  <si>
    <t>https://www.scopus.com/inward/record.uri?eid=2-s2.0-85140755956&amp;doi=10.1016%2fj.geoforum.2022.09.010&amp;partnerID=40&amp;md5=bd9cf5a3e38aed4c547539ca7ebfdd91</t>
  </si>
  <si>
    <t>Escuela de Arquitectura, Urbanismo y Diseño, Universidad del Norte, Barranquilla, Colombia; Departmento de Arquitectura y Diseño, Universidad de la Costa, Barranquilla, Colombia; School of Architecture, University of Sheffield, Sheffield, United Kingdom; Urbania Consultores SAS, Consulting Services, Bogotá, Colombia; Cider, Universidad de Los Andes, Bogotá, Colombia</t>
  </si>
  <si>
    <t>Rojas Bernal, C.L., Escuela de Arquitectura, Urbanismo y Diseño, Universidad del Norte, Barranquilla, Colombia, Departmento de Arquitectura y Diseño, Universidad de la Costa, Barranquilla, Colombia; Durosaiye, I.O., School of Architecture, University of Sheffield, Sheffield, United Kingdom; Hadjri, K., School of Architecture, University of Sheffield, Sheffield, United Kingdom; Zabala Corredor, S.K., Urbania Consultores SAS, Consulting Services, Bogotá, Colombia; Segura Duran, E., Cider, Universidad de Los Andes, Bogotá, Colombia; Cortés Prieto, A., Urbania Consultores SAS, Consulting Services, Bogotá, Colombia</t>
  </si>
  <si>
    <t>The landscape of Bogotá’s low-income informal settlements reveals intense and ongoing conflicts between political agendas, socio-environmental needs and everyday practices. This paper presents the results of an interdisciplinary research project that used semi-structured interviews with practitioners, academics and community leaders to critically investigate the interactions between people and landscape in Bogotá. The paper aims to deepen the understanding of the social and ecological processes that are constantly intertwined in the occupation and appropriation of the landscape. Using the Limas Creek as a case study, the paper explores the technological constraints, governance structures, cultural values and community agency around the restoration of rivers and the implementation of green infrastructure in low-income settlements in Bogotá. The research highlights the need to explore the demands of co-production and its relation to the challenges of sustainable development. The paper demonstrates that, in addition to sustainable solutions to water management, there is also a need to develop strategies around education, landscape attachment and environmental awareness. This is seen as a first step towards the re-articulation of the relationship between people and water in the urban realm to ultimately guarantee environmental justice. © 2022 Elsevier Ltd</t>
  </si>
  <si>
    <t>Bogotá; Green infrastructure; Informal settlements; Landscape; Sustainable development</t>
  </si>
  <si>
    <t>environmental justice; greenspace; informal settlement; landscape planning; landscape structure; low income housing; low income population; policy implementation; sustainable development; urban planning; Bogota; Colombia</t>
  </si>
  <si>
    <t>University of Sheffield</t>
  </si>
  <si>
    <t>We are immensely grateful to the academics, community leaders and practitioners from multiple institutions who generously shared their knowledge and their time with us. This research was supported by QR GCRF X/159885 Sustainable Partnerships Awards of The University of Sheffield.</t>
  </si>
  <si>
    <t>Adegun, O.B., When green is grievous: downsides in human-nature interactions in informal urban settlements (2018) J. Urbanism: Int. Res. Placemaking Urban Sustainability, 11 (3), pp. 347-361; Ahern, J., (2014), pp. 267-283. , https://doi.org/10.2166/9781780405308, Green infrastructure for cities: The spatial dimension. In V. Novotny &amp; P. Brown (Eds.), Cities of the Future Towards Integrated Sustainable Water and Landscape Management. IWA Publishing; Andrade, G., Remolina, F., Wiesner, D., Assembling the pieces: A framework for the integration of multi-functional ecological main structure in the emerging urban region of Bogotá, Colombia (2013) Urban Ecosystems, 16 (4), pp. 723-739; Bailey, N., Kearns, A., Livingston, M., Place Attachment in Deprived Neighbourhoods: The Impacts of Population Turnover and Social Mix (2012) Housing Studies, 27 (2), pp. 208-231; Barkemeyer, R., Holt, D., Preuss, L., Tsang, S., What happened to the “development” in sustainable development? Business guidelines two decades after Brundtland (2014) Sustainable Development, 22 (1), pp. 15-32; Benedict, M., McMahon, E., (2006), The Conservation Fund. Green infrastructure: linking landscapes and communities. Island Press; Benedict, M., McMahon, E., Green Infrastructure: Smart Conservation for the 21st Century (2002), The Conservation Fund; Brundtland, G.H., (1987), World Commission on Environment Development Our common future (G. H. Brundtland &amp; World Commission on Environment and Development, Eds.). Oxford University Press; Campbell, S., Greenwood, M., Prior, S., Shearer, T., Walkem, K., Young, S., Bywaters, D., Walker, K., Purposive sampling: complex or simple? Research case examples (2020) J. Res. Nursing, 25 (8), pp. 652-661; Carmona, M., The Place-shaping Continuum: A Theory of Urban Design Process (2014) Journal of Urban Design, 19 (1), pp. 2-36; Cherunya, P.C., Truffer, B., Samuel, E.M., Lüthi, C., The challenges of livelihoods reconstruction in the context of informal settlement upgrading (2021) Environment and Planning A, 53 (1), pp. 168-190; De Certeau, M., Jameson, F., Lovitt, C., On the Oppositional Practices of Everyday Life (1980) Social Text, 3, pp. 3-43; De Risi, R., Jalayer, F., de Paola, F., Iervolino, I., Giugni, M., Topa, M.E., Mbuya, E., Gasparini, P., Flood risk assessment for informal settlements (2013) Natural Hazards (Dordrecht), 69 (1), pp. 1003-1032; (2004), http://recursos.ccb.org.co/ccb/pot/PC/files/decreto190.html, Decreto 190 de 2004; (2010), https://repositorio.unal.edu.co/handle/unal/70461, Delgado Tobón, A. Escenarios vivos de aprendizaje – EVA. Una metodología de enseñanza para abordar la realidad. (Maestría en Medio ambiento y Desarrollo, Universidad Nacional de Colombia). Retrieved from: https://repositorio.unal.edu.co/bitstream/handle/unal/70461/alexandersegundodelgadotobon.2010.pdf?sequence=1&amp;isAllowed=y; Demuzere, M., Orru, K., Heidrich, O., Olazabal, E., Geneletti, D., Orru, H., Bhave, A.G., Faehnle, M., Mitigating and adapting to climate change: Multi-functional and multi-scale assessment of green urban infrastructure (2014) J. Environ. Manage., 146, pp. 107-115; (2004), https://oab.ambientebogota.gov.co/?post_type=dlm_download&amp;p=14993, Departamento Técnico Administrativo del Medio Ambiente Guía técnica para la restauración de áreas de ronda y nacederos del Distrito Capital; Dias, N., Keraminiyage, K., Amaratunga, D., Curwell, S., Critical success factors of a bottom up urban design process to deliver sustainable urban designs (2018) Int. J. Strategic Property Manage., 22 (4), pp. 265-277; Diep, L., Dodman, D., Parikh, P., Green Infrastructure in Informal Settlements through a Multiple- Level Perspective (2019) Water Altern., 12 (2), pp. 554-570; Durosaiye, I.O., Hadjri, K., (2022), https://doi.org/10.20935/al4935, Housing and Living off the grid in an era of urbanisation. Academia Letters. Article 4935; Elo, S., Kyngäs, H., The qualitative content analysis process (2008) J. Adv. Nurs., 62 (1), pp. 107-115; Escobar, A., La invención del Tercer Mundo. Construcción y deconstrucción del desarrollo (1996), Norma Bogotá; Escobar, A., Beyond the Third World: imperial globality, global coloniality and anti-globalisation social movements (2004) Third World Quarterly, 25 (1), pp. 207-230; Escobar, A., (2016), https://doi.org/10.11156/, Thinking-feeling with the earth: Territorial struggles and the ontological dimension of the epistemologies of the south. AIBR Revista de Antropologia Iberoamericana, 11(1),11–32. aibr.110102e; Espinosa, P., Agurto. L., 2021 Principios híbridos de diseño urbano (no solo) para adaptarse al cambio climático sino también para combatirlo. El caso del río Andalién en Concepción. In: RIL (Eds.), UC 27Fx11 - Aprendizajes e innovación para la resiliencia urbana y riesgo sociocultural Convergencia: ciencia, Estado y ciudadanía Estudios y enfoques para el desarrollo de ciudades resilientes (pp. 225–243). Consejo Nacional de Desarrollo Urbano e Instituto de Estudios Urbanos y Territoriales; Feyen, J., Shannon, K., Preface (2008) Water and Urban Development Paradigms: Towards and Integration of Engineering, Design and Management, , J. Feyen K. Shannon M. Neville CRC Press Taylor &amp; Francis Group; Fletcher, T.D., Shuster, W., Hunt, W.F., Ashley, R., Butler, D., Arthur, S., Trowsdale, S., Viklander, M., SUDS, LID, BMPs, WSUD and more – The evolution and application of terminology surrounding urban drainage (2015) Urban Water J., 12 (7), pp. 525-542; Furtado, L., Renski, H., Place attachment in self-built informal housing: improving spaces of crime (2021) J. Hous. Built Environ., 36 (1), pp. 283-301; Gilbert, A., The rise (and fall?) of a state land bank (2009) Habitat International, 33 (4), pp. 425-435; Gill, S.E., Handley, J.F., Ennos, A.R., Pauleit, S., Adapting Cities for Climate Change: The Role of the Green Infrastructure (2007) Built Environment, 33 (1), pp. 115-132. , https://www.jstor.org/stable/23289476; Gomm, R., Hammersley, M., Foster, P., Case Study Method: Key Issues, Key Texts (2000), Sage Publications; (2020), https://www.google.com/earth/index.html, Google Earth Pro Bogotá; Gordon, B.L., Quesnel, K.J., Abs, R., Ajami, N.K., A case-study based framework for assessing the multi-sector performance of green infrastructure (2018) J. Environ. Manage., 223, pp. 371-384; Gutiérrez Rey, F., Del discurso del desarrollo a la visión territorial sostenible (2012) Perspectiva Geográfica, 17, pp. 233-258; (2015), https://librosaccesoabierto.uptc.edu.co/index.php/editorial-uptc/catalog/book/39, Gutiérrez Rey, F. ¿Desarrollo desarrollo sostenible o vida territorial sostenible?: un aporte desde la geografía para un nuevo país. Universidad Pedagógica y Tecnológica de Colombia; Hanna, E., Comín, F.A., Urban green infrastructure and sustainable development: A review (2021) Sustainability (Switzerland), 13 (20), pp. 1-15; Hernández, A., La participación ciudadana en Bogotá, 1990–2010. Discursos, trayectorias, expectativas y limitaciones (2010) Colombia Internacional, 71, pp. 85-107; Hernández-García, J., Yunda, J.G., (2018), https://doi.org/10.2307/j.ctvhn0bx4.14, Untangling the Vitality of Public Spaces of Bogotá’s Informal Settlements. In J. Hernández-García, S. Cárdenas-O'Byrne, A. García-Jerez, &amp; B. B. Beza (Eds.), Urban Space: Experiences and Reflections from the Global South (pp. 263–296). Sello Editorial Javeriano; Hernández-García, J., Caquimbo-Salazar, S., Urban Agriculture in Bogotá’s informal settlements: Open space transformation towards productive urban landscapes (2018) Routledge Handbook of Landscape and Food, pp. 327-341. , J. Zeunert T. Waterman Routledge; (2017), https://repositorio.unal.edu.co/handle/unal/62097, Herrera Molina, C. El concepto de ambiente en las comunidades relacionadas con las quebradas de Ciudad Bolívar: Un análisis desde la educación ambiental [Magister en Medio Ambiente y Desarrollo, Universidad Nacional de Colombia]; Herzog, C., Wiesner, D., Maddox, D., (2021), Science is not enough. In I. Douglas, P. M. L. Anderson, D. Goode, M. C. Houck, D. Maddox, H. Nagendra, &amp; T. Puay Yok (Eds.), The Routledge handbook of urban ecology (2nd edition); Huchzermeyer, M., Karam, A., Informal settlements: a perpetual challenge? (2006), (UCT Press); (2018), https://www.ideca.gov.co, IDECA Mapa de Referencia para Bogotá D.C. Unidad Administrativa Especial de Catastro Distrital; Krasny, M.E., Tidball, K.G., Applying a resilience systems framework to urban environmental education (2009) Environ. Educ. Res., 15 (4), pp. 465-482; Margolis, L., Chaouni, A., Out of Water - Design Solutions for Arid Regions (2014) Birkhäuser; Mathur, A., (2014), (Editor), Cunha, D. da (Editor) Design in the terrain of water. Applied Research + Design Publishing; Matthews, T., Lo, A.Y., Byrne, J.A., Reconceptualizing green infrastructure for climate change adaptation: Barriers to adoption and drivers for uptake by spatial planners (2015) Landscape Urban Plann., 138, pp. 155-163; Mell, I.C., Green infrastructure: reflections on past, present and future praxis (2017) Landscape Res., 42 (2), pp. 135-145; (2009), http://www.slideshare.net/ProcesosUrbanos2010?utm_campaign=profiletracking&amp;utm_medium=sssite&amp;utm_source=ssslideview, Narvaez Tafur, G.E. Asentamientos humanos, agua y territorio. En el proceso de expansión del sur de Bogotá. (Magister en Hábitat. Universidad Nacional de Colombia). Retrieved from:; Nieuwenhuijsen, M.J., Green Infrastructure and Health (2021) Annu. Rev. Public Health, 42, pp. 317-328; Niva, V., Taka, M., Varis, O., Rural-urban migration and the growth of informal settlements: A socio-ecological system conceptualization with insights through a “Water Lens” (2019) Sustainability, 11 (3487), pp. 1-16; Novotny, V., Sustainable urban water management (2008) Water and Urban Development Paradigms, pp. 19-31. , J. Feyen K. Shannon M. Neville Taylor &amp; Francis Group; (2020), http://observatorio.dadep.gov.co/sites/default/files/Reporte-tecnico-2-2017.pdf, Observatorio del Espacio Público de Bogotá Reporte Técnico de Indicadores de Espacio Público 2020; Ordóñez, M., Shannon, K., d'Auria, V., The materialization of the Buen Vivir and the Rights of Nature: Rhetoric and Realities of Guayaquil Ecológico urban regeneration project (2022) City Territory and Architecture, 9 (1), pp. 1-17; Ostrom, E., Crossing the great divide: Coproduction, synergy, and development (1996) World Dev., 24 (6), pp. 1073-1087; Payne, G., Urban land tenure policy options: titles or rights? (2001) Habitat Int., 25, pp. 415-429; Rivera-Muñoz, M., De Meulder, B., Proaño, D., Water, topography and dispersion: Qualifying small-scale production and public (2018) Charrette, 5 (1), pp. 90-107; Roa, O.A., La calidad de la densidad urbana en Bogotá (2016) Revista de Economía Institucional, 18 (34), pp. 229-253; Rogelis, M.C., (2009), https://bibliotecadigital.sire.gov.co/handle/123456789/62727, Actualización de la zonificación de amenaza de inundación y avenidas torrenciales de la Quebrada Limas - Localidad de Ciudad Bolívar. In FOPAE; Rojas Bernal, C.L., Shannon, K., De Meulder, B., Designing water infrastructure and context-responsive housing: a case study in the Sabana de Bogotá (2020) Landscape Res., 45 (7), pp. 873-891; Sánchez-Zamora, P., Gallardo-Cobos, R., Romero-Huertas, C., Assessing the determinants of territorial cohesion: Evidence from Colombian departments (2017) Geoforum, 87, pp. 48-61; Satterthwaite, D., McGranahan, G., Tacoli, C., Urbanization and its implications for food and farming (2010) Philos. Trans. Royal Soc. B: Biological Sci., 365 (1554), pp. 2809-2820; (2009), https://orarbo.gov.co/es/el-observatorio-y-los-municipios/diagnostico-pomca-tunjuelito, Secretaría Distrital de Ambiente Diagnóstico POMCA Tunjuelito; (2013), Secretaría Distrital de Ambiente Documento técnico de soporte, importancia ambiental de la cuenca media y baja del río Tunjuelo y afectación por los polígonos de actividad minera; (2021), https://experience.arcgis.com/experience/4e53a81d144e477c95a4c088feecdd3b, Secretaría Distrital de Planeación Visor de mapas POT “Bogotá reverdece 2022 - 2035.”; (2022), https://www.sdp.gov.co/gestion-territorial/legalizacion-y-mejoramiento-integral-de-barrios/generalidades, Secretaría Distrital de Planeación Legalización y Mejoramiento Integral de Barrios; (2017), https://www.sdp.gov.co/gestion-estudios-estratégicos/estudios-macro/encuesta-multiproposito/encuesta-multiproposito-2017, Secretaría Distrital de Planeación Encuesta multipropósito 2017; Shannon, K., Water Urbanism: Hydrological Infrastructure as Urban Frame in Vietnam (2008) Water and Urban Development Paradigms: Towards and Integration of Engineering, Design and Management, pp. 55-65. , J. Feyen K. Shannon M. Neville CRC Press, Taylor &amp; Francis Group; Shannon, K., (2013), De Meulder, B. Water Urbanisms 2 - East (UFO: Explorations of Urbanism. Park Books; Shannon, K., (2008), De Meulder, B., D'Auria, V., Gosseye, J. Water Urbanism. In UFO 1. SUN Architecture; Simone, A.M., People as infrastructure: Intersecting fragments in Johannesburg (2004) Public Culture, 16 (3), pp. 407-429; (2004), https://public.ebookcentral.proquest.com/choice/publicfullrecord.aspx?p=4964608, Swyngedouw, Erik Social Power and the Urbanization of Water. Flows of Power. Oxford University Press; Torres-Tovar, C., (2013), https://issuu.com/procesosurbanosinformales/docs/producci__n_y_transformaci__n_del_e, Producción y transformación del espacio residencial de la población de bajos ingresos en Bogotá en el marco de las políticas neoliberales (1990-2010). Infonavit, UAEMex &amp; Facultad de Ciencias Políticas y Sociales. Retrieved from:; (2017), https://unhabitat.org/sites/default/files/documents/2019-05/habitatiii-regional-report-lac.pdf, United Nations Habitat III Regional Report - Latin America and The Caribbean - Sustainable Cities with Equality. United Nations; (2021), https://unstats.un.org/sdgs/report/2021/Goal-06/, United Nations SDG Report 2021 - Goal 6; (2017), http://unesdoc.unesco.org/images/0024/002471/247153e.pdf, UN-Water Wastewater: The Untapped Resource. In The United Nations World Water Development Report 2017; Vandermeulen, V., Verspecht, A., Vermeire, B., van Huylenbroeck, G., Gellynck, X., The use of economic valuation to create public support for green infrastructure investments in urban areas (2011) Landscape Urban Plann., 103, pp. 198-206; Walliman, N.S.R., Your research project: Designing and planning your work (2011), SAGE Publications; Wekesa, B.W., Steyn, G.S., Otieno, F.A.O., A review of physical and socio-economic characteristics and intervention approaches of informal settlements (2011) Habitat Int., 35, pp. 238-245; Wilker, J., Rusche, K., Rymsa-Fitschen, C., Improving Participation in Green Infrastructure Planning (2016) Plann. Pract. Res., 31 (3), pp. 229-249; Wolch, J.R., Byrne, J., Newell, J.P., Urban green space, public health, and environmental justice: The challenge of making cities “just green enough” (2014) Landscape Urban Plann., 125, pp. 234-244; (2015), https://www.worldwatercouncil.org/sites/default/files/news/2013_11_27_Water_a_core_component_for_sustainable_development/WWC_Position_Paper_on_water_and_SDGs_Final.pdf, World Water Council World Water Council Position Paper on Water and the Post-2015 Framework</t>
  </si>
  <si>
    <t>Rojas Bernal, C.L.; Escuela de Arquitectura, Colombia; email: rojaslc@uninorte.edu.co</t>
  </si>
  <si>
    <t>2-s2.0-85140755956</t>
  </si>
  <si>
    <t>Gomez-Neita J.S., Manosalva-Sanchez S.R., Nogueira A.A.E., Naranjo-Merchán W.E., Nogueira A.C.R.</t>
  </si>
  <si>
    <t>57222180569;57193710312;55420435100;57193715240;7102266172;</t>
  </si>
  <si>
    <t>Pliocene-Pleistocene lacustrine system in the Eastern Cordillera Basin, Colombia: Paleoenvironmental implications for diatomite deposition</t>
  </si>
  <si>
    <t>Sedimentary Geology</t>
  </si>
  <si>
    <t>10.1016/j.sedgeo.2022.106274</t>
  </si>
  <si>
    <t>https://www.scopus.com/inward/record.uri?eid=2-s2.0-85140650954&amp;doi=10.1016%2fj.sedgeo.2022.106274&amp;partnerID=40&amp;md5=9bcc3c020f81444aa035a967edc786a7</t>
  </si>
  <si>
    <t>Programa de Pós-graduação em Geociências, Instituto de Geociências, Universidade Federal do Rio Grande do Sul, Av. Bento Gonçalves, Rio Grande do Sul, Porto Alegre, 9500, Brazil; Grupo de Investigación en Ingeniería Geológica, Escuela de Ingeniería Geológica, Facultad Seccional Sogamoso, Universidad Pedagógica y Tecnológica de Colombia, Calle 4 Sur No. 15-134, Sogamoso, Boyacá, Colombia; Programa de Pós-graduação em Geologia e Geoquímica, Instituto de Geociências, Universidade Federal do Pará, Avenida Augusto Corrêa 01, Pará, Belém, 66075-110, Brazil</t>
  </si>
  <si>
    <t>Gomez-Neita, J.S., Programa de Pós-graduação em Geociências, Instituto de Geociências, Universidade Federal do Rio Grande do Sul, Av. Bento Gonçalves, Rio Grande do Sul, Porto Alegre, 9500, Brazil, Grupo de Investigación en Ingeniería Geológica, Escuela de Ingeniería Geológica, Facultad Seccional Sogamoso, Universidad Pedagógica y Tecnológica de Colombia, Calle 4 Sur No. 15-134, Sogamoso, Boyacá, Colombia, Programa de Pós-graduação em Geologia e Geoquímica, Instituto de Geociências, Universidade Federal do Pará, Avenida Augusto Corrêa 01, Pará, Belém, 66075-110, Brazil; Manosalva-Sanchez, S.R., Grupo de Investigación en Ingeniería Geológica, Escuela de Ingeniería Geológica, Facultad Seccional Sogamoso, Universidad Pedagógica y Tecnológica de Colombia, Calle 4 Sur No. 15-134, Sogamoso, Boyacá, Colombia; Nogueira, A.A.E., Programa de Pós-graduação em Geologia e Geoquímica, Instituto de Geociências, Universidade Federal do Pará, Avenida Augusto Corrêa 01, Pará, Belém, 66075-110, Brazil; Naranjo-Merchán, W.E., Grupo de Investigación en Ingeniería Geológica, Escuela de Ingeniería Geológica, Facultad Seccional Sogamoso, Universidad Pedagógica y Tecnológica de Colombia, Calle 4 Sur No. 15-134, Sogamoso, Boyacá, Colombia; Nogueira, A.C.R., Programa de Pós-graduação em Geologia e Geoquímica, Instituto de Geociências, Universidade Federal do Pará, Avenida Augusto Corrêa 01, Pará, Belém, 66075-110, Brazil</t>
  </si>
  <si>
    <t>The Plio-Pleistocene Tilatá Formation records a tectonic paleo-lake system in the Colombian Andes. This unit exhibits recurrent episodes of volcanism and diatomite deposits. Outcrop-based facies analysis of eight stratigraphic sections varying in thickness from 4 to 40 m indicates variations in the sediment supply, accommodation space, climatic conditions, water depth, and organic activity. Fourteen sedimentary facies are grouped into three facies associations (FAs) representative of alluvial, fluvial, and lacustrine settings. FA1 (alluvial fan deposits) corresponds to conglomerates, sandstones, and subordinated mudstones. FA2 (mixed fluvial system) represents sandy conglomerates, cross-bedded/massive sandstones, organic-rich mudstones, lignites, and diatomaceous mudstones. FA3 (lacustrine) comprises mainly organic-rich mudstones, diatomites, laminated sandstones, and tephra layers. The Upper Tilatá Formation reflects the evolution of an overfilled to a balanced-fill lake with a progradational-retrogrational-progradational stacking pattern. The organic facies revealed variations in the origin of the Amorphous Organic Matter (AOM) from aquatic to terrestrial, indicating episodes of shallowing when terrestrial conditions dominated. Seven families, eight genera, and eleven diatom species were identified in diatomites and diatomaceous mudstones, mainly in the lacustrine facies. The most abundant species was Aulacoseira ambigua, suggesting moderate energy in the water column (turbulence), solar light availability for photosynthesis, and mesotrophic to eutrophic conditions. The sedimentological record implies that bedrock, fluvial, pluvial, and volcanic input played a decisive role in nutrient supply for the proliferation of diatoms in the paleo-lake. This scenario is concordant with similar Quaternary depositional systems in northern South America. © 2022 Elsevier B.V.</t>
  </si>
  <si>
    <t>Aulacoseira; Diatoms; Facies; Lacustrine; Quaternary; Tilatá Formation</t>
  </si>
  <si>
    <t>Deposits; Lakes; Phytoplankton; Stratigraphy; Aulacoseirum; Condition; Diatom; Facies; Fluvials; Lacustrine; Organic-rich mudstone; Pliocene; Quaternary; Tilata formation; Sandstone; depositional environment; diatom; diatomite; facies analysis; lacustrine deposit; paleoenvironment; Pliocene-Pleistocene boundary; Colombia; Cordillera Oriental [Colombia]</t>
  </si>
  <si>
    <t>Universidad Pedagógica y Tecnológica de Colombia, UPTC; Universidade Federal do Pará, UFPA</t>
  </si>
  <si>
    <t>We are very grateful to the Ingeominas, the Colombian Geological Survey, and the UPTC for the financial support through the bilateral project “Cartografía y caracterización de diatomitas sector Tunja-Soracá-Oicatá-Tuta,” awarded to the second author. To the Programa de Pós-Graduação em Geologia e Geoquímica (PPGG) of the UFPA and the Microanalysis Laboratory for the SEM images, to the Paleoflora Laboratory for the description of the organic facies.</t>
  </si>
  <si>
    <t>We are very grateful to the Ingeominas, the Colombian Geological Survey, and the UPTC for the financial support through the bilateral project “ Cartografía y caracterización de diatomitas sector Tunja-Soracá-Oicatá-Tuta ,” awarded to the second author. To the Programa de Pós-Graduação em Geologia e Geoquímica (PPGG) of the UFPA and the Microanalysis Laboratory for the SEM images, to the Paleoflora Laboratory for the description of the organic facies.</t>
  </si>
  <si>
    <t>Abdulmonem, H., Мarina, U., Sergei, R., Irina, C., Lyubov, T., First study of fossil diatom flora from Middle Miocene-Lower Pliocene lacustrine sediments in BarguzinValley, Baikal Rift Zone (2019) Quaternary International, 524, pp. 24-30; Aboal, M., Alvarez-Cobelas, M., Cambra, J., Ector, L., Floristic List of Non-marine Diatoms (Bacillariophyceae) of Iberian Peninsula, Balearic Islands, and Canary Islands. Updated Taxonomy and Bibliography (2003), Ruggel: A.R.G. Gantner (639 pp.); Adesalu, T.A., Freshwater diatoms diversity of national parks in Nigeria I: Okomu national park, South-South, Nigeria (2017) IFE Journal of Science, 19 (2), pp. 269-281; Alles, E., Nörpel-Schempp, M., Lange-Bertalot, H., Zur Systematik und Ökologie charakteristischer Eunotia-Arten (Bacillariophyceae) in elektrolytarmen Bachoberläufen (1991) Nova Hedwigia, 53 (1-2), pp. 171-213; Bahls, L., Luna, T., Diatoms from Wrangell-St. Elias National Park, Alaska, USA (2018) Phytokeys, 113, pp. 33-57; Bahls, L., Boynton, B., Johnston, B., Atlas of diatoms (Bacillariophyta) from diverse habitats in remote regions of western Canada (2018) PhytoKeys, 105, pp. 1-186. , https://phytokeys.pensoft.net/articles.php?id=23806; Bao, R., Hernández, A., Sáez, A., Giralt, S., Prego, R., Pueyo, J.J., Moreno, A., Valero-Garcés, B.L., Climatic and lacustrine morphometric controls of diatom paleoproductivity in a tropical Andean lake (2015) Quaternary Science Reviews, 129, pp. 96-110; Bayona, G., El inicio de la emergencia en los Andes del norte: una perspectiva a partir del registro tectónico-sedimentológico del Coniaciano al Paleoceno (2018) Revista de la Academia Colombiana de Ciencias Exactas, Físicas y Naturales, 42 (165), pp. 364-378; Bayona, G., Montenegro, O., Cardona, A., Jaramillo, C., Lamus, F., Morón, S., Quiroz, L., Stockli, D., Estratigrafía, procedencia, subsidencia y exhumación de las unidades Paleógenas en el Sinclinal de Usme, sur de la zona axial de la Cordillera Oriental (2010) Geología Colombiana, 35 (1), pp. 5-35; Bird, B.W., Abbott, M.B., Rodbell, D.T., Vuille, M., Holocene tropical South American hydroclimate revealed from a decadally resolved lake sediment δ18O record (2011) Earth and Planetary Science Letters, 310 (3-4), pp. 192-202; Boggs, S., Jr., Principles of Sedimentology and Stratigraphy (2006), fourth ed. Upper Saddle River New Jersey (662 pp.); Bogotá-A, R.G., Groot, M.H.M., Hooghiemstra, H., Lourens, L.J., Van der Linden, M., Berrio, J.C., Rapid climate change from north Andean Lake Fúquene pollen records driven by obliquity: implications for a basin-wide biostratigraphic zonation for the last 284 ka (2011) Quaternary Science Reviews, 30 (23-24), pp. 3321-3337; Brassac, N.M., Ludwig, T.A.V., Fragilariaceae (Bacillariophyceae) from rivers of Iguaçu Basin, Paraná State, Brazil (2003) Brazilian Journal of Botany, 26 (3), pp. 311-318; Campiño, L.F., Parra-Mantilla, P., Mora, C., Palinofacies y geoquímica organica en las rocas del Aptiano-Coniaciano (Valle Superior del Magdalena) (2007) Boletín de Geología, 29 (2); Cantonati, M., Lange-Bertalot, H., Diatom monitors of close-to-pristine, very-low alkalinity habitats: three new Eunotia species from springs in Nature Parks of the south-eastern Alps (2011) Journal of Limnology, 70 (2), pp. 209-221; Cardoso, N., Paleoecologia da flora de Catalão, paleolago Cemitério, Estado de Goiás, Brasil. Tese de doutorado (2007), Universidade Federal do Rio Grande do Sul. Instituto de Geociências, Programa de Pós-graduação em Geociências (131pp.); Cardozo, A.Y.V., Gomes, D.F., Silva, E.M., Duque, S.R.E., Rangel, J.O.C., Sifeddine, A., Turcq, B., Albuquerque, A.L.S., Holocene paleolimnological reconstruction of a high altitude Colombian tropical lake (2014) Palaeogeography, Palaeoclimatology, Palaeoecology, 415, pp. 127-136; Carroll, A.R., Bohacs, K.M., Stratigraphic classification of ancient lakes: balancing tectonic and climatic controls (1999) Geology, 27 (2), pp. 99-102; Cepeda, H., Pardo, N., Vulcanismo de Paipa. Proyecto exploración y evaluación de los recursos geotérmicos (2004), Ingeominas, reporte interno Bogotá (103 pp.); Chepurnov, V.A., Mann, D.G., Sabbe, K., Vyverman, W., Experimental studies on sexual reproduction in diatoms (2004) International Review of Cytology, 237, pp. 91-154; Combaz, A., Les palynofaciès (1964) Revue de Micropaleontologie, 7, pp. 205-218; Cooper, M.A., Addison, F.T., Alvarez, R., Coral, M., Graham, R.H., Hayward, A.B., Howe, S., Taborda, A., Basin development and tectonic history of the Llanos Basin, Eastern Cordillera, and Middle Magdalena Valley, Colombia (1995) AAPG Bulletin, 79 (10), pp. 1421-1443; Costa, L.F., Wengrat, S., Bicudo, D.C., Diatoms from distinct habitats of a highly heterogeneous reservoir, Billings Complex, southeastern Brazil (2017) Hoehnea, 44 (4), pp. 559-579; Cox, E.J., Diatoms, Diatomaceae (Bacillariophyceae s.l., Bacillariophyta) (2015) Syllabus of Plant Families. A. Engler Syllabus der Pflantzenfamilien. 2/1 Photoautotrophic Eukaryotic Algae, Borntraeger, Stuttgart, pp. 64-103. , W. Frey; Culver, S.J., Farrell, K.M., Mallinson, D.J., Willard, D.A., Horton, B.P., Riggs, S.R., Thieler, E.R., Hillier, C., Micropaleontologic record of Pliocene and Quaternary paleoenvironments in the southern Albemarle Embayment, North Carolina, U.S.A (2016) Palaeogeography, Palaeoclimatology, Palaeoecology, 457, pp. 360-379; Da Silva, W.J., Ruwer, D., Nogueira, I., Dunck, B., The genus Pinnularia (Bacillariophyta, Pinnulariaceae) from Lago dos Tigres, Britânia, Goiás, Brazil (2016) Biota Neotropica, 16 (1); Delgado, C., Pardo, I., García, L., Diatom communities as indicators of ecological status in Mediterranean temporary streams (Balearic Islands, Spain) (2012) Ecological Indicators, 15 (1), pp. 131-139; Dengo, C.A., Covey, M.C., Structure of the Eastern Cordillera of Colombia: implication for trap styles and regional tectonics (1993) AAPG Bulletin, 77 (8), pp. 1315-1337; Dunck, B., Junqueira, M.G., Bichoff, A., Silva, M.V., Pineda, A., Paula, A.C.M., Zanco, B.F., Rodrigues, L., Periphytic and planktonic algae records from the upper Paraná river floodplain, Brazil: an update (2018) Hoehnea, 45 (4), pp. 560-590; Ercegovac, M., Kostić, A., Organic facies and palynofacies: nomenclature, classification, and applicability for petroleum s rock evaluation (2006) International Journal of Coal Geology, 68 (1-2), pp. 70-78; Faegri, K., Iversen, J., Texbook of Pollen Analysis (1989), fourth ed. Willey and Sons Chichester (328 pp.); Föllmi, K.B., Garrison, R.E., Ramirez, P.C., Zambrano-Ortiz, F., Kennedy, W.J., Lehner, B.L., Cyclic phosphate-rich successions in the Upper Cretaceous of Colombia (1992) Palaeogeography, Palaeoclimatology, Palaeoecology, 93 (3-4), pp. 151-182; Frydas, D., Paleoecology, stratigraphy and taxonomy of the Pliocene marine diatoms from central crete (Greece) Paléoécologie, stratigraphie et taxonomie des diatomées marines du pliocène de la crète centrale (Grèce) (1999) Revue de Micropaleontologie, 42 (4), pp. 269-300; Galloway, W.E., Hobday, D.K., Terrigenous Clastic Depositional Systems (1983), p. 423. , Springer-Verlag New York; Gasse, F., L'évolution des lacs d’ l'Afar Central (Ethiopie et T.F.A.I.) du Plio-Pléistocene à’ l'Actuel. Reconstitution des paléomilieux lacustres à partir de’ l'étude des Diatomées (1975), PhD thesis Université de Paris VI Paris (103 pp.); Guiry, M.D., Guiry, G.M., AlgaeBase (2020), http://www.algaebase.org, Worldwide electronic publication, National University of Ireland Galway (Accessed 19 June 2020); Gunkel, G., Limnology of an equatorial high mountain lake in Ecuador, Lago San Pablo (2000) Limnologica, 30 (2), pp. 113-120; Gürel, A., Ylldlz, A., Diatom communities, lithofacies characteristics, and paleoenvironmental interpretation of Pliocene diatomite deposits in the Ihlara–Selime plain (Aksaray, Central Anatolia, Turkey) (2007) Journal of Asian Earth Sciences, 30, pp. 170-180; Hall, R.I., Smol, J.P., Diatoms as indicators of lake eutrophication (1999) The Diatoms: Applications for the Environmental and Earth Sciences, pp. 128-168. , E.F. Stoermer J.P. Smol (Cambridge); Hällfors, G., Checklist of Baltic Sea phytoplankton species (including some heterotrophic protistan groups) (2004) Baltic Sea Environment Proceedings, 95. , Helsinki, (208 pp.); Helmens, K.F., Van der Hammen, T., The Pliocene and Quaternary of the high plain of Bogotá (Colombia): a history of tectonic uplift, basin development and climatic change (1994) Quaternary International, 21, pp. 41-61; Hooghiemstra, H., (1984) Vegetation and climatic history of the High Plain of Bogotá: A continuous record of the last 3.5 million years, The Quaternary of Colombia, , T. Van Der Hammen Cramer Verlag Vaduz (368 pp.); Hubach, E., Estratigrafía de la Sabana de Bogotá y alrededores (1957) Boletín Geológico, 5 (2), pp. 93-112; Jaramillo, D., Vallejo, D.F., Vélez, M.I., Restrepo-Moreno, S., Pardo-Trujillo, A., Trejos-Tamayo, R., Murcia, H., Barbosa-Espitia, A., Middle Pleistocene palaeolimnology of a dammed tropical river: the Zarzal Formation, Cauca Valley, Colombia (2017) Palaeogeography, Palaeoclimatology, Palaeoecology, 487, pp. 194-203; Johnson, T.C., Brown, E.T., Shi, J., Biogenic silica deposition in Lake Malawi, East Africa over the past 150,000 years (2011) Palaeogeography, Palaeoclimatology, Palaeoecology, 303 (1-4), pp. 103-109; Jousé, A.P., Kazarina, G.K., Mukhina, V.V., Distribution of Diatoms in Pliocene and Pleistocene Deposits from the Middle America Trench off Guatemala (1982) Deep Sea Drilling Project Initial Reports; Kostryukova, A.M., Krupnova, T.G., Mashkova, I.V., Gavrilkina, S.V., Nikita, O., Egorov, N.O., Phytoplankton diversity in three lakes of South Ural, Russia (2018) Biodiversitas, 19 (4), pp. 1459-1467; Krammer, K., The genus Pinnularia (2000) Diatoms of the European inland waters and comparable habitats, 1. , H. Lange-Bertalot (703 pp.); Krstić, S., Levkov, Z., Stojanovski, P., Saprobiological characteristics of diatom microflora in river ecosystems in Macedonia as a parameter for determination of the intensity of anthropogenic influence (1997) Use of Algae for Monitoring Rivers, 3, pp. 145-153; Kryvosheia, O.N., Kapustin, D.A., Species diversity of Bacillariophyta in the Nyzhniosulskym National Nature Park (Ukraine) (2019) Algologia, 29 (3), pp. 298-321; Lange-Bertalot, H., Navicula ‘Sensu Stricto’: 10 Genera Separated from Navicula ‘Sensu Lato’: Frustulia. Diatoms of Europe: Diatoms of the European Inland Waters and Comparable Habitats (2001), 2. , Gantner Verlag (526 pp.); Lange-Bertalot, H., Bąk, M., Witkowski, A., Tagliaventi, N., Eunotia and some related genera. Diatoms of the European inland waters and comparable habitats (2011), 6. , (747 pp.); Lee, S.D., Yun, S.M., Cho, P.Y., Yang, H.W., Kim, O.J., Newly recorded species of diatoms in the source of Han and Nakdong Rivers, South Korea (2019) Phytotaxa, 403 (3), pp. 143-170; Leira, M., López-Rodriguez, M.C., Penalta, M., Epilithic diatoms of rivers from the Galicia coast watershed (NW Spain). Algas (2009) Boletin Sociedad Española de Ficología, 42, p. 11; Leira, M., López-Rodríguez, M.C., Carballeira, R., Epilithic diatoms (Bacillariophyceae) from running waters in NW Iberian Peninsula (Galicia, Spain) (2017), 74, p. 2. , Anales del Jardín Botánico de Madrid; Levkov, Z., Krstić, S., Nakov, T.M., Lj., Diatom assemblages on Shara and Nidze Mountains, Macedonia (2005) Nova Hedwigia, 81 (3-4), pp. 501-537; Levkov, Z., Krstić, S., Metzeltin, D., Nakov, T., Diatoms of Lakes Prespa and Ohrid. Iconographia Diatomologica (2007), 16. , (611 pp.); Liu, R., Checklist of Marine Biota of China Seas (2008), Science Press, Academia Sinica Beijing (1267 pp.); Liu, Y., Wang, Q., Fu, C., Taxonomy and distribution of diatoms in the genus Eunotia from the Da'erbin Lake and Surrounding Bogs in the Great Xing'an Mountains, China (2011) Nova Hedwigia, 92 (1-2), pp. 205-232; Lobo, E.A., Wetzel, C.E., Schuch, M., Ector, L., Diatomáceas epilíticas como indicadores da qualidade da água em sistemas lóticos subtropicais e temperados brasileiros (2014), Editora da Universidade de Santa Cruz Santa Cruz do Sul; Lopes, R.P., de Souza, M.S., Pereira, J.C., Raupp, S.V., Tatumi, S.H., Yee, M., Dillenburg, S.R., Late Pleistocene-Holocene diatomites from the coastal plain of southern Brazil: Paleoenvironmental implications (2021) Quaternary International, 598, pp. 38-55; Manosalva, S.R., Pérez, F., Gavidia, O., Porras, J., Gaitán, N., Álvarez, L., Farfán, J., Zonas potenciales para diatomitas en un sector del Altiplano Cundiboyacense (2010), Ingeominas Bogotá (83 pp.); Manosalva, S.R., Amaya, E.J., Gil, M., Gavidia, O., Pérez, F., Perez, O., Martinez, M., Zonas potenciales para diatomitas en un sector del Altiplano Cundiboyacense (2010), Ingeominas Bogotá (134 pp.); Manoylov, K., Ognjanova-Rumenova, N., Stevenson, R.J., Morphotype variations in subfossil diatom species of Aulacoseira in 24 Michigan Lakes, USA (2009) Acta Botanica Croatica, 68 (2), pp. 401-419; Medeiros, G., Amaral, M.W.W., Ferreira, P.C., Ludwig, T.V., Bueno, N.C., Gomphonema Ehrenberg (Bacillariophyceae, Gomphonemataceae) of the São Francisco Falso River, Paraná, Brazil (2018) Biota Neotropica, 18 (3); Menezes, T.R., Mendonça-Filho, J.G., Araujo, C.V., Souza, I.V.A., Mendonça, J.O., Fácies orgânica: conceitos, métodos e estudos de casos na indústria do petróleo (2008) Revista Brasileira de Geociencias, 38 (2), pp. 80-96; Menicucci, A.J., Paleolimnology and Paleontology of the Miocene Quincy Diatomite Deposit. A Thesis Submitted in Partial Fulfillment of the Requirements for the Degree of Master of Science in Geology (2010), University of Nevada, Reno (256 pp.); Metzeltin, D., García-Rodriguez, F., Las diatomeas uruguayas (2003), D.I.R.A.C Montevideo (207 pp.); Metzeltin, D., Lange-Bertalot, H., Tropical Diatoms of South America I (1998), Iconographia diatomologica California (695 pp.); Metzeltin, D., Lange-Bertalot, H., Tropical Diatoms of South America II (2007), Iconographia diatomologica California (877 pp); Miall, A.D., Lithofacies types and vertical profile models of braided river deposits, a summary (1978) Fluvial Sedimentology. Memoir 5, Canadian Society of Petroleum Geologists, Calgary, pp. 597-604. , A.D. Miall; Miall, A.D., Alluvial sedimentary basins: tectonic setting and basin architecture (1991) Sedimentation and tectonics in alluvial basins, Geological Association of Canada, Special Paper, 23, pp. 1-33. , A.D. Miall; Miall, A.D., Alluvial deposits (1992) Facies models: Response to sea level changes, Geological Association of Canada, pp. 119-142. , R.G. Walker N.P. James; Moita, M.T., Vilarinho, M.G., Checklist of phytoplankton species off Portugal: 70 years of studies (1999) Portugaliae Acta Biologica, 18, pp. 5-50; Monsalve, M.L., Rojas, N.R., Velandia, F.A., Pintor, I., Martínez, L.F., Caracterización geológica del cuerpo volcánico de Iza, Boyaca-Colombia (2011) Boletín de Geología, 33 (1); Montoya-Moreno, Y., Sala, S., Vouilloud, A.A., Aguirre, N., Capartogramma crucicula (Grunow ex Cleve) Ross, un nuevo registro del género para Colombia (2011) Universitas Scientiarum, 16 (1), pp. 70-76; Montoya-Moreno, Y., Sala, S., Vouilloud, A., Aguirre, N., Plata-Diaz, Y., Lista de las diatomeas de ambientes continentales de Colombia (2013) Biota Colombiana, 14 (2), pp. 13-78. , http://i2d.humboldt.org.co/ceiba/resource.do?r=biota_v14_n2_02; Morales, E.A., Observations of the morphology of some known and new fragilarioid diatoms (Bacillariophyceae) from rivers in the USA (2005) Phycological Research, 53 (2), pp. 113-133; Naranjo-Merchán, W., Gaviria-Melo, S., Manosalva-Sánchez, S., Mineralogía y geoquímica de diatomitas (Boyacá, Colombia) (2007) Geología Colombiana, 32, pp. 77-88; Nichols, G., Sedimentology and Stratigraphy (2009), Second ed. Wiley-Blackwell United Kingdom (419 pp.); Niyatbekov, T., Barinova, S., Diatom species richness in algal flora of Pamir, Tajikistan (2018) European Scientific Journal, 14 (3), pp. 301-323; Novello, A., Lebatard, A.E., Moussa, A., Barboni, D., Sylvestre, F., Bourlès, D.L., Paillès, C., Vignaud, P., Diatom, phytolith, and pollen records from a 10Be/9Be dated lacustrine succession in the Chad basin: insight on the Miocene–Pliocene paleoenvironmental changes in Central Africa (2015) Palaeogeography, Palaeoclimatology, Palaeoecology, 430, pp. 85-103; Ortiz-Lerín, R., Cambra, J., Distribution and taxonomic notes of Eunotia Ehrenberg 1837 (Bacillariophyceae) in rivers and streams of Northern Spain (2007) Limnetica, 26 (2), pp. 415-434; Pardo, N., Cepeda, H., Jaramillo, J.M., The Paipa volcano, Eastern Cordillera of Colombia, South America: volcanic stratigraphy (2005) Earth Sciences Research Journal, 9 (1), pp. 3-18; Pardo, N., Jaramillo, J.M., Cepeda, H., The Paipa volcano, Eastern Cordillera of Colombia, South America (part II): petrography and major elements petrology (2005) Earth Sciences Research Journal, 9 (2), pp. 148-164; Patrick, R., Reimer, C.W., The Diatoms of the Unite States, Volume 1. Monograph 13 (1966), The Academy of Natural Sciences of Philadelphia (688 pp.); Pavlov, A., Levkov, Z., Diversity and distribution of taxa in the genus Eunotia Ehrenberg (Bacillariophyta) in Macedonia. Monograph (2013) Phytotaxa, 86 (1), pp. 1-117; Pavlov, A., Levkov, Z., Observations on the genus Pinnularia section distantes (bacillariophyta) from Macedonia; diversity and distribution (2013) Contributions, Section of Natural, Mathematical and Biotechnical Sciences, Masa 34, 1-2, pp. 33-57; Petrou, K., Baker, K.G., Nielsen, D.A., Hancock, A.M., Schulz, K.G., Davidson, A.T., Acidification diminishes diatom silica production in the Southern Ocean (2019) Nature Climate Change, 9 (10), pp. 781-786; Potapova, M., Charles, D.F., Distribution of benthic diatoms in U.S. rivers in relation to conductivity and ionic composition (2003) Freshwater Biology, 48 (8), pp. 1311-1328; Potapova, M., Charles, D.F., Diatom metrics for monitoring eutrophication in rivers of the United States (2007) Ecological Indicators, 7 (1), pp. 48-70; Ramírez, H.U., Zárate, P.F., García, M.E., Torre, O., Israde, I., Meulenert, A.R., Disolución de sílice biogénica en sedimentos de lagos utilizados como bioindicadores de calidad del água (2007) e-Gnosis, 5, pp. 1-19; Renaut, R.W., Gierlowski-Kordesch, E.H., Lakes (2010) Facies Models, pp. 541-575. , R. Dalrymple N.P. James Geological Association of Canada; Renzoni, G., Geología del cuadrángulo J-12 (Tunja) (1981) Boletin Geologico, 24 (2), pp. 31-48; Renzoni, G., Rosas, H., Etayo, F., Geología Plancha 191 Tunja (1998), Ingeominas; Retallack, G.J., Reinhardt, J., J., Sigleo, W., Field recognition of paleosols (1988) Paleosols and weathering through geologic time, , Geological Society of America; Rojas-Martinez, E.E., Juliao-Lemus, T.M., Manco-Jaraba, D.C., Contreras-Fernández, C.A., Interpretación palinofacial a partir de la identificación de la materia orgánica de los carbones del manto 160, bloque Norte– Mina el Hatillo, departamento del Cesar (2013) Respuestas, 18 (1), pp. 68-79; Round, F.E., Crawford, R.M., Mann, D.G., The Diatoms; Biology and morphology of the Genera (1990), Cambridge University Press United Kingdom (760 pp.); Rueda-Gutiérrez, J.B., Nuevas evidencias del magmatismo asociado con el sistema geotérmico de Paipa, Boyacá, Colombia (2020) Boletín de Geología, 42 (3), pp. 51-79; Rull, V., Palaeoecology of pleniglacial sediments from the Venezuelan Andes. Palynological record of El Caballo stadial, sedimentation rates, and glacier retreat (1998) Review of Palaeobotany and Palynology, 99 (2), pp. 95-114; Sala, S., Duque, S.R., Núñez-Avellaneda, M., Lamaro, A.A., Nuevos registros de diatomeas (Bacillariophyceae) de la Amazonia Colombiana (1999) Caldasia, 21 (1), pp. 26-37; Sala, S.E., Duque, S.R., Núñez-Avellaneda, M., Lamaro, A.A., Diatoms from the Colombian Amazon: some species of the genus Eunotia (Bacillariophyceae) (2002) Acta Amazonica, 32 (4), pp. 589-603; Sandoval, J., Yacimientos de diatomita en el Valle del Cauca (1953) Boletín Geológico, 1, pp. 33-58; Santos, S.M.D., Análise taxonômica das diatomáceas Holocenas da Lagoa do Sombrio, Santa Catarina, Brasil. Trabalho de conclusão de curso (Graduação) (2017), Universidade Federal do Rio Grande do Sul, Instituto de Biociências, Bacharelado em Ciências Biológicas Porto Alegre (85 pp.); Santos-Fischer, C.B., Corrêa, I.C.S., Weschenfelder, J., Torgan, L.C., Stone, J.R., Paleoenvironmental insights into the Quaternary evolution of the southern Brazilian coast based on fossil and modern diatom assemblages (2016) Palaeogeography, Palaeoclimatology, Palaeoecology, 446, pp. 108-124; Sarmiento, G., Estratigrafía y medios de depósito de la Formación Guaduas (1992) Boletín Geológico, 32 (1-3); Sarmiento, G., Gaviria, S., Hooghiemstra, H., Berrio, J.C., Van der Hammen, T., Landscape evolution and origin of Lake Fúquene (Colombia): tectonics, erosion, and sedimentation processes during the Pleistocene (2008) Geomorphology, 100 (3-4), pp. 563-575; Schumm, S.A., Evolution and response of the fluvial system, sedimentological implications (1981) Recent and Ancient Nonmarine Depositional Environments: Models for Exploration, Society of Economic Paleontologists and Mineralogists, Special Publication, 31, pp. 19-29. , F.G. Ethridge R.M. Flores; Scopelliti, G., Bellanca, A., Monien, D., Kuhn, G., Chemostratigraphy of the Early Pliocene diatomite interval from MIS AND-1B core (Antarctica): Palaeoenvironment implications (2013) Global and Planetary Change, 102, pp. 20-32; Sebag, D., Copard, Y., Di-Giovanni, C., Durand, A., Laignel, B., Ogier, S., Lallier-Verges, E., Palynofacies as useful tool to study origins and transfers of particulate organic matter in recent terrestrial environments: synopsis and prospects (2006) Earth-Science Reviews, 79 (3-4), pp. 241-259; Sebag, D., Di Giovanni, C., Ogier, S., Mesnage, V., Laggoun-Défarge, F., Durand, A., Inventory of sedimentary organic matter in modern wetland (Marais Vernier, Normandy, France) as source-indicative tools to study Holocene alluvial deposits (Lower Seine Valley, France) (2006) International Journal of Coal Geology, 67 (1-2), pp. 1-16; Selva, S., A Biostratigraphic Study of Late Tertiary Freshwater Diatoms from the Ogallala of Western Kansas (1976), Ph.D. thesis Iowa State University, Department of Botany and Pathology Ames Iowa (200 pp.); Sherwood, A.R., Bibliographic checklist of the non-marine algae of the Hawaiian Islands (2004) Bishop Museum Occasional Papers, 80, pp. 1-23; Smol, J.P., Pollution of Lakes and Rivers: A Paleoenvironmental Perspective (Second Edition) (2008), Blackwell Publishing Oxford (UK) (396 pp.); Stoermer, E.F., Kreis, R.G., Andresen, N.A., Checklist of diatoms from the Laurentian Great Lakes. II (1999) Journal of Great Lakes Research, 25 (3), pp. 515-566; Taliaferro, N.L., Relation of Volcanism to Diatomaceous and Associated Siliceous Sediments (1933), University of California Press (55 pp.); Tolomio, C., Moschin, E., Duzzin, B., Distribution des diatomées benthiques de substrats meubles dans le bassin sud de la lagune de Venise, Italie (2002) Diatom Research, 17 (2), pp. 401-414; Toro, G., Poupeau, G., Van der Hammen, T., Gaviria, S., Dueñas, E., Datación por trazas de fisión de circones provenientes de las formaciones Tilata y Marichuela (Sabana de Bogotá). Colombia Paisajes Fisiográficos de la Orinoquia- Amazonia (Oram) (2003), 26, pp. 49-58. , Instituto Geográfico Agustín Codazzi Colombia; Tsoy, I.B., Obrezkova, M.S., Atlas of Diatom Algae and Silicoflagellates from Holocene Sediments from the Seas of the Eastern Arctic of Russia (2017), V.I.’Il'ichev Pacific Oceanological Institute Far Eastern Branch Russian Academy of Sciences Vladivostok (146 pp.); Tyson, R.V., Sedimentary Organic Matter: Organic Facies and Palynofacies (1995), Chapman &amp; Hall London (615 pp.); Van der Hammen, T., Parada, A., Investigación de algunos importantes yacimientos de diatomita, caolín y arcillas de la Sabana de Bogotá (1958) Boletín de Geología, 2; Van der Hammen, T., Werner, J.H., Van Dommelen, H., Palynological record of the upheaval of the Northern Andes: a study of the Pliocene and lower Quaternary of the Colombian Eastern Cordillera and the early evolution of its high-Andean biota (1973) Review of Palaeobotany and Palynology, 16, pp. 1-122; Vélez, M.I., Hooghiemstra, H., Metcalf, S., Fossil and modern diatom assemblages from the savanna lake El Piñal, Colombia: an environmental reconstruction (2005) Diatom Research, 20 (2), pp. 387-407; Velez, M.I., Martínez, J.I., Suter, F., Late Holocene history of the floodplain lakes of the Cauca River, Colombia (2013) Journal of Paleolimnology, 49 (4), pp. 591-604; Verrecchia, E.P., Lacustrine and palustrine geochemical sediments (2007) Geochemical sediments and landscapes, , D.J. Nash S.J. McLaren; Vouilloud, A.A., Sala, S.E., Núñez-Avellaneda, M., Duque, S.R., Diatoms from the Colombian and Peruvian Amazon: the Genera Encyonema, Encyonopsis and Gomphonema (Cymbellales: Bacillariophyceae) (2010) Revista de Biología Tropical, 58 (1), pp. 45-62; Wang, W.L., Chen, P.C., Checklist of Freshwater Diatoms from Taiwan (2000), Chinese Phycol. Society Taipei (196 pp.); Wang, L.C., Lee, T.Q., Chen, S.H., Wu, J.T., Diatoms in Liyu Lake, Eastern Taiwan (2010) Taiwania, 55 (3), pp. 228-242; Wanner, H., Beer, J., Butikofer, J., Crowley, T.J., Cubasch, U., Fluckiger, J., Goosse, H., Widmann, M., Mid- to Late Holocene climate change: an overview (2008) Quaternary Science Reviews, 27 (19-20), pp. 1791-1828; Watanabe, T., Ohtsuka, T., Tuji, A., Houki, A., Picture Book and Ecology of the Freshwater Diatoms (2005), Uchida-rokakuho Tokyo (666 pp.); Weide, D.M., Aulacoseira stevensiae sp. nov. (Coscinodiscophyceae, Bacillariophyta), a new diatom from Ho Ba be, Bac Kan Province, Northern Viet Nam (2015) Diatom Research, 30 (3), pp. 263-268; Westover, K.S., Stone, J.R., Yost, C.L., Scott, J.J., Cohen, A.S., Rabideaux, N.M., Stockhecke, M., Kingston, J.D., Diatom paleolimnology of Late Pliocene Baringo Basin (Kenya) paleolakes (2019) Palaeogeography, Palaeoclimatology, Palaeoecology, 570; Wijninga, V.M., Palynology and paleobotany of the Early Pliocene section Río Frío 17 (Cordillera Oriental, Colombia): biostratigraphical and chronostratigraphical implications (1996) Review of Palaeobotany and Palynology, 92 (3-4), pp. 329-350; Wijninga, V.M., Kuhry, P., Late Pliocene paleoecology of the Guasca Valley (Cordillera oriental, Colombia) (1993) Review of Palaeobotany and Palynology, 78 (1-2), pp. 89-127; Wu, J.T., Wang, Y.F., Diatoms of the Mystery Lake, Taiwan (III) (2009) Taiwania, 54 (3), pp. 231-240; Zong, Y., Hassan, K.B., Diatom assemblages from two mangrove tidal flats in Peninsular Malaysia (2004) Diatom Research, 19 (2), pp. 329-344</t>
  </si>
  <si>
    <t>Gomez-Neita, J.S.Programa de Pós-graduação em Geociências, Instituto de Geociências, Universidade Federal do Rio Grande do Sul, Av. Bento Gonçalves, Rio Grande do Sul, Brazil; email: juan.gomezneita@uptc.edu.co</t>
  </si>
  <si>
    <t>Sediment. Geol.</t>
  </si>
  <si>
    <t>2-s2.0-85140650954</t>
  </si>
  <si>
    <t>Estupiñan-Amaya M., Fuenmayor C.A., López-Córdoba A.</t>
  </si>
  <si>
    <t>57220176072;35068059600;55915687700;</t>
  </si>
  <si>
    <t>Evaluation of mixtures of maltodextrin and gum Arabic for the encapsulation of Andean blueberry (Vaccinium meridionale) juice by freeze–drying</t>
  </si>
  <si>
    <t>International Journal of Food Science and Technology</t>
  </si>
  <si>
    <t>https://www.scopus.com/inward/record.uri?eid=2-s2.0-85138892231&amp;doi=10.1111%2fijfs.16093&amp;partnerID=40&amp;md5=b3196fc85c19f91415d4ff9a5e48160c</t>
  </si>
  <si>
    <t>Facultad Seccional Duitama, Escuela de Administración de Empresas Agropecuarias, Universidad Pedagógica y Tecnológica de Colombia, Carrera 18 con Calle 22, Duitama, Boyacá, 150461, Colombia; Instituto de Ciencia y Tecnología de Alimentos (ICTA), Universidad Nacional de Colombia, Av. Carrera 30 # 45-03, Bogotá, 111321, Colombia</t>
  </si>
  <si>
    <t>Estupiñan-Amaya, M., Facultad Seccional Duitama, Escuela de Administración de Empresas Agropecuarias, Universidad Pedagógica y Tecnológica de Colombia, Carrera 18 con Calle 22, Duitama, Boyacá, 150461, Colombia, Instituto de Ciencia y Tecnología de Alimentos (ICTA), Universidad Nacional de Colombia, Av. Carrera 30 # 45-03, Bogotá, 111321, Colombia; Fuenmayor, C.A., Instituto de Ciencia y Tecnología de Alimentos (ICTA), Universidad Nacional de Colombia, Av. Carrera 30 # 45-03, Bogotá, 111321, Colombia; López-Córdoba, A., Facultad Seccional Duitama, Escuela de Administración de Empresas Agropecuarias, Universidad Pedagógica y Tecnológica de Colombia, Carrera 18 con Calle 22, Duitama, Boyacá, 150461, Colombia</t>
  </si>
  <si>
    <t>Andean blueberry fruit is considered a source of bioactive compounds. However, its industrial applications as an ingredient are limited due to its low stability. In this work, Andean blueberry juice powders were obtained via freeze–drying. The effects of maltodextrin (MD) and gum Arabic (GA) as encapsulating agents were evaluated on the morphological, physicochemical, and rheological quality of the products, as well as in terms of the recovery of phenolic compounds. All the freeze–dried powders featured typical macroscopic and microscopic morphology, low moisture content (&amp;lt;5%) and water activity (aw &amp;lt; 0.3), high water solubility (&amp;gt;91%) and good flowability. The encapsulation with MD overall favoured higher water activity, solubility and flowability, and a significant increase of total phenolics recovery in the juice powders, compared with GA or GA:MD mixtures. The results showed that encapsulation by freeze–drying enables the production of Andean blueberry juice powders with suitable technological characteristics and potential as bioactive ingredients. © 2022 Institute of Food, Science and Technology (IFSTTF).</t>
  </si>
  <si>
    <t>Compressive strength; Fruits; Mixtures; Powders; Quality control; Solubility; Berry; Bioactive compounds; Flowability; Freeze drying; Gum arabic; High water; Maltodextrins; Phenolic compounds; Physico-chemicals; Water activity; Fruit juices</t>
  </si>
  <si>
    <t>66038; Universidad Pedagógica y Tecnológica de Colombia, UPTC; Universidad Nacional de Colombia, UNAL; Kementerian Sains, Teknologi dan Inovasi, MOSTI</t>
  </si>
  <si>
    <t>The Colombian Ministry of Science, Technology and Innovation (Minciencias), the Government of the Boyacá Department, and the Colombia Bio programme funded this work with resources of Fondo de Ciencia, Tecnología e Innovación del Sistema General de Regalías and Fondo Nacional de Financiamiento para la Ciencia, la Tecnología y la Innovación “Francisco José de Caldas” (Project number 66038). The authors thank Universidad Pedagógica y Tecnológica de Colombia (UPTC), for supporting the project and providing its facilities for the experimental work, and the staff of ICTA (Universidad Nacional de Colombia, Bogotá), in particular Mrs. Cristina Lizarazo and Mr. Jorge Sandoval, for their technical support and guidance.</t>
  </si>
  <si>
    <t>The Colombian Ministry of Science, Technology and Innovation (Minciencias), the Government of the Boyacá Department, and the Colombia Bio programme funded this work with resources of Fondo de Ciencia, Tecnología e Innovación del Sistema General de Regalías and Fondo Nacional de Financiamiento para la Ciencia, la Tecnología y la Innovación “Francisco José de Caldas” (Project number 66038). The authors thank Universidad Pedagógica y Tecnológica de Colombia (UPTC), for supporting the project and providing its facilities for the experimental work, and the staff of ICTA (Universidad Nacional de Colombia, Bogotá), in particular Mrs. Cristina Lizarazo and Mr. Jorge Sandoval, for their technical support and guidance.</t>
  </si>
  <si>
    <t>Adetoro, A.O., Opara, U.L., Fawole, O.A., Effect of carrier agents on the physicochemical and technofunctional properties and antioxidant capacity of freeze-dried pomegranate juice (Punica granatum) powder (2020) Food, 9, pp. 1-20; Agudelo, C.D., Ceballos, N., Gómez-García, A., Maldonado-Celis, M.E., Andean berry (Vaccinium meridionale Swartz) juice improves plasma antioxidant capacity and IL-6 levels in healthy people with dietary risk factors for colorectal cancer (2018) Journal of Berry Research, 8, pp. 251-261; Alzate-Arbeláez, A.F., Dorta, E., López-Alarcón, C., Cortés, F.B., Rojano, B.A., Immobilization of Andean berry (Vaccinium meridionale) polyphenols on nanocellulose isolated from banana residues: a natural food additive with antioxidant properties (2019) Food Chemistry, 294, pp. 503-517; (2012) Official methods of analysis of AOAC INTERNATIONAL, pp. 14-15. , 19th edn, Washington DC, AOAC; Arango-Varela, S.S., Luzardo-Ocampo, I., Reyes-Dieck, C., Yahia, E.M., Maldonado-Celis, M.E., Antiproliferative potential of Andean berry (Vaccinium meridionale Swartz) juice in combination with aspirin in human SW480 colon adenocarcinoma cells (2021) Journal of Food Biochemistry, 45; Arango-Varela, S.S., Luzardo-Ocampo, I., Maldonado-Celis, M.E., Andean berry (Vaccinium meridionale Swartz) juice, in combination with aspirin, displayed antiproliferative and pro-apoptotic mechanisms in vitro while exhibiting protective effects against AOM-induced colorectal cancer in vivo (2022) Food Research International, 157, p. 111244; Archaina, D., Vasile, F., Jiménez-Guzmán, J., Alamilla-Beltrán, L., Schebor, C., Physical and functional properties of roselle (Hibiscus sabdariffa L.) extract spray dried with maltodextrin-gum arabic mixtures (2019) Journal of Food Processing and Preservation, 43; Ballesteros, L.F., Ramirez, M.J., Orrego, C.E., Teixeira, J.A., Mussatto, S.I., Encapsulation of antioxidant phenolic compounds extracted from spent coffee grounds by freeze-drying and spray-drying using different coating materials (2017) Food Chemistry, 237, pp. 623-631; Barbosa Canovas, G.V., Ortega Rivas, E., Juliano, P., Yan, H., Food powders: physical properties, processing, and functionality (2005) Food Engineering Series (Issue 1), , https://doi.org/10.1007/s13398-014-0173-7.2, &amp;, New York, NY, Springer; Brand-Williams, W., Cuvelier, M.E., Berset, C., Use of a free radical method to evaluate antioxidant activity (1995) LWT - Food Science and Technology, 28, pp. 25-30; Bravo, K., Alzate, F., Osorio, E., Fruits of selected wild and cultivated Andean plants as sources of potential compounds with antioxidant and anti-aging activity (2016) Industrial Crops and Products, 85, pp. 341-352; Celis, M., Franco Tobon, Y., Agudelo, C., Arango, S., Rojano, B., Andean berry (Vaccinium meridionale Swartz) (2017) Fruit and Vegetable Phytochemicals: Chemistry and Human Health, 2, pp. 869-882. , &amp;, (edited by, E. Yahia, 2nd edn, Hoboken, NJ, USA, John Wiley &amp; Sons Ltd; Da Rosa, C.G., Borges, C.D., Zambiazi, R.C., Encapsulation of the phenolic compounds of the blackberry (Rubus fruticosus) (2014) LWT-Food Science and Technology, 58, pp. 527-533; Davidov-Pardo, G., Arozarena, I., Marín-Arroyo, M.R., Optimization of a wall material formulation to microencapsulate a grape seed extract using a mixture design of experiments (2013) Food and Bioprocess Technology, 6, pp. 941-951; Estupiñan-Amaya, M., Fuenmayor, C.A., López-Córdoba, A., New freeze-dried Andean blueberry juice powders for potential application as functional food ingredients: effect of maltodextrin on bioactive and morphological features (2020) Molecules, 25, p. 5635; Fernandes, R.V.D.B., Borges, S.V., Botrel, D.A., Gum arabic/starch/maltodextrin/inulin as wall materials on the microencapsulation of rosemary essential oil (2014) Carbohydrate Polymers, 101, pp. 524-532; Fredes, C., Becerra, C., Parada, J., Robert, P., The microencapsulation of maqui (Aristotelia chilensis (Mol.) Stuntz) juice by spray-drying and freeze-drying produces powders with similar anthocyanin stability and bioaccessibility (2018) Molecules, 23, p. 1227; Gallego-Peláez, E., Maldonado Celis, M.E., Posada Jhonson, L.G., Gómez García, A.C., Torres Camargo, D., Consumption of osmo-dehydrated Andean Berry (Vaccinium meridionale Swartz) decreases levels of pro-inflammatory biomarkers of overweight and obese adults (2021) Vitae, 28. , https://doi.org/10.17533/udea.vitae.v28n2a343810; Garzón, G.A., Narváez, C.E., Riedl, K.M., Schwartz, S.J., Chemical composition, anthocyanins, non-anthocyanin phenolics and antioxidant activity of wild bilberry (Vaccinium meridionale Swartz) from Colombia (2010) Food Chemistry, 122, pp. 980-986; Garzón, G.A., Medina, J.L., Montana, T.L., Sánchez, M., Novoa, C.F., Gutiérrez, L.F., Utilization of Vaccinium meridionale S. pomace as an eco-friendly and functional colorant in Greek-style yogurt (2021) Journal of Food Science, 86, pp. 3896-3908; Giusti, M., Wrolstad, R., Characterization and measurement of anthocyanins by UV-visible spectroscopy (2005) Handbook of Food Analytical Chemistry, 2-2, pp. 19-31; González-Ortega, R., Faieta, M., Di Mattia, C.D., Valbonetti, L., Pittia, P., Microencapsulation of olive leaf extract by freeze-drying: effect of carrier composition on process efficiency and technological properties of the powders (2020) Journal of Food Engineering, 285; Jafari, S.M., Mahdavi-Khazaei, K., Hemmati-Kakhki, A., Microencapsulation of saffron petal anthocyanins with cress seed gum compared with Arabic gum through freeze drying (2016) Carbohydrate Polymers, 140, pp. 20-25; Lavelli, V., Harsha, P.S.S., Laureati, M., Pagliarini, E., Degradation kinetics of encapsulated grape skin phenolics and micronized grape skins in various water activity environments and criteria to develop wide-ranging and tailor-made food applications (2017) Innovative Food Science &amp; Emerging Technologies, 39, pp. 156-164; López-Córdoba, A., Deladino, L., Agudelo-Mesa, L., Martino, M., Yerba mate antioxidant powders obtained by co-crystallization: stability during storage (2014) Journal of Food Engineering, 124, pp. 158-165; Mahdavee Khazaei, K., Jafari, S.M., Ghorbani, M., Hemmati Kakhki, A., Application of maltodextrin and gum Arabic in microencapsulation of saffron petal's anthocyanins and evaluating their storage stability and color (2014) Carbohydrate Polymers, 105, pp. 57-62; Maldonado-Celis, M.E., Arango-Varela, S.S., Rojano, B.A., Free radical scavenging capacity and cytotoxic and antiproliferative effects of Vaccinium meridionale Sw. Agains colon cancer cell lines (2014) Revista Cubana de Plantas Medicinales, 19, pp. 172-184; Mansour, M., Salah, M., Xu, X., Effect of microencapsulation using soy protein isolate and gum arabic as wall material on red raspberry anthocyanin stability, characterization, and simulated gastrointestinal conditions (2020) Ultrasonics Sonochemistry, 63, p. 104927; Neuenfeldt, N.H., de Moraes, D.P., de Deus, C., Barcia, M.T., de Menezes, C.R., Blueberry phenolic composition and improved stability by microencapsulation (2022) Food and Bioprocess Technology, 15, pp. 750-767; Nguyen, Q.D., Dang, T.T., Nguyen, T.V.L., Nguyen, T.T.D., Nguyen, N.N., Microencapsulation of roselle (Hibiscus sabdariffa L.) anthocyanins: effects of different carriers on selected physicochemical properties and antioxidant activities of spray-dried and freeze-dried powder (2022) International Journal of Food Properties, 25, pp. 359-374; Nicoletti Telis, V.R., Martínez-Navarrete, N., Biopolymers used as drying aids in spray- drying and freeze-drying of fruit juices and pulps (2012) Biopolymer Engineering in Food Processing, pp. 279-325. , &amp;, (edited by, V.R. Nicoletti Telis, Boca Raton, FL, CRC Press; Nogueira, G.F., Fakhouri, F.M., Velasco, J.I., de Oliveira, R.A., Active edible films based on arrowroot starch with microparticles of blackberry pulp obtained by freeze-drying for food packaging (2019) Polymers, 11, p. 1382; Nthimole, C.T., Kaseke, T., Fawole, O.A., Micro-encapsulation and characterization of anthocyanin-rich raspberry juice powder for potential applications in the food industry (2022) Processes, 10, pp. 1-18; Olivares La Madrid, A.P., Villalva, F., Lotufo Haddad, A., Alcocer, J., Cravero, A., Armada, M., Development of blueberry (Vaccinium corymbosum L.) waste powder as a potential food ingredient with functional properties (2022) Journal of Food Science and Technology, 59, pp. 3502-3510; Oro, C.E.D., Paroul, N., Mignoni, M.L., Microencapsulation of Brazilian Cherokee blackberry extract by freeze-drying using maltodextrin, gum Arabic, and pectin as carrier materials Encapsulation of Cherokee blackberry extract using different kinds of carrier materials (2021) Food Science and Technology International, pp. 1-11. , https://doi.org/10.1177/10820132211068979; Pellicer, J.A., Fortea, M.I., Trabal, J., Rodríguez-López, M.I., Gabaldón, J.A., Núñez-Delicado, E., Stability of microencapsulated strawberry flavour by spray drying, freeze drying and fluid bed (2019) Powder Technology, 347, pp. 179-185; Pudziuvelyte, L., Marksa, M., Sosnowska, K., Winnicka, K., Morkuniene, R., Bernatoniene, J., Freeze-drying technique for microencapsulation of Elsholtzia ciliata ethanolic extract using different coating materials (2020) Molecules, 25, pp. 1-16. , https://doi.org/10.3390/molecules25092237; Rattes, A.L.R., Oliveira, W.P., Spray drying conditions and encapsulating composition effects on formation and properties of sodium diclofenac microparticles (2007) Powder Technology, 171, pp. 7-14; Rezende, Y.R.R.S., Nogueira, J.P., Narain, N., Microencapsulation of extracts of bioactive compounds obtained from acerola (Malpighia emarginata DC) pulp and residue by spray and freeze drying: chemical, morphological and chemometric characterization (2018) Food Chemistry, 254, pp. 281-291; Rosales, T.K.O., Fabi, J.P., Nanoencapsulated anthocyanin as a functional ingredient: technological application and future perspectives (2022) Colloids and Surfaces B: Biointerfaces, 218; Šavikin, K., Nastić, N., Janković, T., Effect of type and concentration of carrier material on the encapsulation of pomegranate peel using spray drying method (2021) Food, 10, p. 1968; Sharif, N., Khoshnoudi-Nia, S., Jafari, S.M., Nano/microencapsulation of anthocyanins; a systematic review and meta-analysis (2020) Food Research International, 132; Singleton, V.L., Rossi, J.A., Jr, J., Colorimetry of total phenolics with phosphomolybdic-phosphotungstic acid reagents (1999) American Journal of Enology and Viticulture, 16, pp. 144-158; Stoll, L., da Silva, A.M., Iahnke, A., Costa, T.M.H., Flôres, S.H., Rios, A., Active biodegradable film with encapsulated anthocyanins: effect on the quality attributes of extra-virgin olive oil during storage (2017) Journal of Food Processing and Preservation, 41, pp. 1-9; Tao, Y., Wang, P., Wang, J., Wu, Y., Han, Y., Zhou, J., Combining various wall materials for encapsulation of blueberry anthocyanin extracts: optimization by artificial neural network and genetic algorithm and a comprehensive analysis of anthocyanin powder properties (2017) Powder Technology, 311, pp. 77-87; (2007) USP 30-NF 25, , Rockville, MD, USP; Xin, X., Essien, S., Dell, K., Woo, M.W., Baroutian, S., Effects of spray-drying and freeze-drying on bioactive and volatile compounds of smoke powder food Flavouring (2022) Food and Bioprocess Technology, 15, pp. 785-794; Xue, J., Su, F., Meng, Y., Guo, Y., Enhanced stability of red-fleshed apple anthocyanins by copigmentation and encapsulation (2019) Journal of the Science of Food and Agriculture, 99, pp. 3381-3390; Yu, Y., Lv, Y., Degradation kinetic of anthocyanins from rose (Rosa rugosa) as prepared by microencapsulation in freeze-drying and spray-drying (2019) International Journal of Food Properties, 22, pp. 2009-2021</t>
  </si>
  <si>
    <t>López-Córdoba, A.; Facultad Seccional Duitama, Carrera 18 con Calle 22, Colombia; email: alex.lopez01@uptc.edu.co</t>
  </si>
  <si>
    <t>Fuenmayor</t>
  </si>
  <si>
    <t>John Wiley and Sons Inc</t>
  </si>
  <si>
    <t>2-s2.0-85138892231</t>
  </si>
  <si>
    <t>Márquez L., Pineda L.X., Poveda J.C.</t>
  </si>
  <si>
    <t>36806491400;57899364000;57209533669;</t>
  </si>
  <si>
    <t>Transportation Research Part A: Policy and Practice</t>
  </si>
  <si>
    <t>https://www.scopus.com/inward/record.uri?eid=2-s2.0-85138471326&amp;doi=10.1016%2fj.tra.2022.09.008&amp;partnerID=40&amp;md5=1abd425a5eb00556c4d52bc2999992da</t>
  </si>
  <si>
    <t>Universidad Pedagógica y Tecnológica de Colombia, Avenida Central del Norte 39-115, Tunja, Colombia</t>
  </si>
  <si>
    <t>Márquez, L., Universidad Pedagógica y Tecnológica de Colombia, Avenida Central del Norte 39-115, Tunja, Colombia; Pineda, L.X., Universidad Pedagógica y Tecnológica de Colombia, Avenida Central del Norte 39-115, Tunja, Colombia; Poveda, J.C., Universidad Pedagógica y Tecnológica de Colombia, Avenida Central del Norte 39-115, Tunja, Colombia</t>
  </si>
  <si>
    <t>Transportation is a very important element in the well-being of mobility-impaired people. However, people with disabilities often struggle to access transportation services at all, especially if they live in mountain areas. This study is aimed at better understanding the main factors that affect the preferences for a new specialized paratransit service as BRT's feeder to serve the portion of the trip that mobility-impaired people cannot manage. We hypothesized that in addition to some observable attributes of the transportation services, such as time and travel cost, mobility-impaired people's preferences for a specialized paratransit service as BRT's feeder could be better explained by using a hybrid discrete choice model based on the Self-Determination Theory (SDT). We gathered responses through a stated-preference survey (N = 350), in which respondents faced a series of choice situations among three BRT feeder alternatives: bus, cable car and a new specialized service. We also obtained indicator ratings through a basic psychological needs satisfaction scale to identify the latent variables in relation to the SDT. Modeling results supported our hypothesis that the preferences of mobility-impaired people are better explained by considering the three innate psychological needs. We found empirical evidence linking the components of the SDT, i.e. Autonomy, Relatedness, and Competence, with preferences for the specialized transportation service as BRT's feeder in the study context. The multipliers of values of time savings derived from the model showed that mobility-impaired people place access time four times more important than travel time. We accounted for the heterogeneity in value of travel time savings and found that the greater the autonomy in mobility-impaired people the greater their sensitivity to the specialized transportation service's fare. We concluded that Autonomy, Relatedness, and Competence play an important role in the preferences of mobility-impaired people. Autonomy is a determining factor in perception of alternative fares. Competence motivates mobility-impaired people to use the specialized paratransit service as BRT's feeder, while Relatedness motivates mobility-impaired people to use the same transportation alternatives used by others. © 2022 Elsevier Ltd</t>
  </si>
  <si>
    <t>Autonomy; Hybrid discrete choice model; Mobility-impaired people; Self-determination theory; Transportation feeder services</t>
  </si>
  <si>
    <t>Feeding; Surveys; Autonomy; Discrete choice models; Feeder service; Hybrid discrete choice model; Impaired people; Mobility-impaired people; Paratransit services; Self-determination theories; Transportation feeder service; Transportation services; Travel time; accessibility; disability; discrete choice analysis; mobility; mountain region; preference behavior; transportation infrastructure; transportation system; travel behavior; travel time</t>
  </si>
  <si>
    <t>Access Exchange International, Paratransit for mobility-impaired persons in developing regions: Starting up and scaling up (2012), http://www.globalride-sf.org/paratransit/Guide.pdf, California, USA San Francisco; Adachi, P.J.C., Ryan, R.M., Frye, J., McClurg, D., Rigby, C.S., “I can't wait for the next episode!” Investigating the motivational pull of television dramas through the lens of self-determination theory (2018) Motivation Science, 4 (1), pp. 78-94; Agmon, M., Sa'ar, A., (2016), https://doi.org/10.1186/s12939-016-0437-2, Araten-Bergman, T. The person in the disabled body: a perspective on culture and personhood from the margins. International Journal for Equity in Health, 15(1), 147; Ajzen, I., The theory of planned behavior (1991) Organizational Behavior and Human Decision Processes, 50 (2), pp. 179-211; Barta, Special services handbook (2014), http://bartabus.com/wp-content/uploads/2014/11/2014-ADA-MANUAL.pdf, The Special Services Department Reading, Pennsylvania; Baumeister, R.F., Leary, M.R., The need to belong: Desire for interpersonal attachments as a fundamental human motivation (1995) Psychological Bulletin, 117 (3), pp. 497-529; Ben-Akiva, M., Walker, J., Bernardino, A.T., Gopinath, D.A., Morikawa, T., Polydoropoulou, A., Integration of choice and latent variable models (2002) In Perpetual Motion: Travel Behavior Research Opportunities and Application Challenges, pp. 431-470. , H.S. Mahmassani Emerald Bingley; Bitterman, A., Hess, D.B., Bus rapid transit identity meets universal design (2008) Disability &amp; Society, 23 (5), pp. 445-459; Boniface, S., Scantlebury, R., Watkins, S.J., Mindell, J.S., Health implications of transport: evidence of effects of transport on social interactions (2015) Journal of Transport &amp; Health, 2, pp. 441-446; Brucker, D.L., Rollins, N.G., Trips to medical care among persons with disabilities: Evidence from the 2009 National Household Travel Survey (2016) Disability and Health Journal, 9 (3), pp. 539-543; Cantillo, V., Arellana, J., Rolong, M., Modelling pedestrian crossing behaviour in urban roads: A latent variable approach (2015) Transportation Research Part F: Traffic Psychology and Behaviour, 32, pp. 56-67; Chen, B., Vansteenkiste, M., Beyers, W., Boone, L., Deci, E.L., Duriez, B., Lens, W., Verstuyf, J., Basic psychological need satisfaction, need frustration, and need strength across four cultures (2015) Motivation and Emotion, 39, pp. 216-236; (2018), http://www.choice-metrics.com/NgeneManual120.pdf, ChoiceMetrics. Ngene 1.2 User Manual &amp; Reference Guide, Australia; Crudden, A., McDonnall, M.C., Hierholzer, A., Transportation: An Electronic Survey of Persons who Are Blind or Have Low Vision (2015) Journal of Visual Impairment &amp; Blindness, 109 (6), pp. 445-456; Crudden, A., Antonelli, K., O'Mally, J., A Customized Transportation Intervention for Persons with Visual Impairments (2017) Journal of Visual Impairment &amp; Blindness, 111 (4), pp. 341-353; Daly, A., Hess, S., Patruni, B., Potoglou, D., Rohr, C., Using ordered attitudinal indicators in a latent variable choice model: a study of the impact of security on rail travel behavior (2012) Transportation, 39 (2), pp. 267-297; Dane, Population Registered to Locate and Characterize People with Disabilities (2010), https://www.dane.gov.co/files/investigaciones/discapacidad/CIUDAD_BOLIVAR.xls, National Administrative Department of Statistics Bogotá; Deci, E.L., Ryan, R.M., The ‘what’ and ‘why’ of goal pursuits: Human needs and the self-determination of behaviour (2000) Psychological Inquiry, 11, pp. 319-338; Deka, D., Gonzales, E.J., The generators of paratransit trips by persons with disabilities (2014) Transportation Research Part A: Policy and Practice, 70, pp. 181-193; Doornik, J.A., An Introduction to OxMetricsTM 7 A Software System for Data Analysis and Forecasting (2013), https://www.timberlake.co.uk, Timberlake Consultants Ltd. London /; Frater, J., Kuijer, R., Kingham, S., Why adolescents don't bicycle to school: Does the prototype/willingness model augment the theory of planned behaviour to explain intentions? Transportation Research Part F: Traffic Psychology and Behaviour (2017) Part A, 46, pp. 250-259; Gillison, F.B., Rouse, P., Standage, M., Sebire, S.J., Ryan, R.M., A meta-analysis of techniques to promote motivation for health behaviour change from a self-determination theory perspective (2019) Health Psychology Review, 13 (1), pp. 110-130; Grisé, E., Boisjoly, G., Maguire, M., El-Geneidy, A., Elevating access: Comparing accessibility to jobs by public transport for individuals with and without a physical disability (2019) Transportation Research Part A: Policy and Practice, 125, pp. 280-293; Hancox, J.E., Quested, E., Ntoumanis, N., Thogersen-Ntoumani, C., Putting self-determination theory into practice: application of adaptive motivational principles in the exercise domain (2018) Qualitative Research in Sport, Exercise and Health, 10 (1), pp. 75-91; Hess, S., Train, K., Polak, J., On the use of a Modified Latin Hypercube Sampling (MLHS) method in the estimation of a Mixed Logit Model for vehicle choice (2006) Transportation Research Part B: Methodological, 40, pp. 147-163; Houlfort, N., Fernet, C., Vallerand, R.J., Laframboise, A., Guay, F., Koestner, R., The role of passion for work and need satisfaction in psychological adjustment to retirement (2015) Journal of Vocational Behavior, 88, pp. 84-94; Kaczmirek, L., Wolff, K.G., (2007), https://doi.org/10.1007/978-3-540-73279-2_41, Survey Design for Visually Impaired and Blind People. In: Stephanidis C. (eds) Universal Acess in Human Computer Interaction. Coping with Diversity. UAHCI 2007. Lecture Notes in Computer Science, vol 4554. Springer, Berlin, Heidelberg; Kasser, V.M., Ryan, R.M., The relation of psychological needs for autonomy and relatedness to health, vitality, well-being and mortality in a nursing home (1999) Journal of Applied Social Psychology, 29, pp. 935-954; Lättman, K., Olsson, L.E., Friman, M., Fujii, S., Perceived Accessibility, Satisfaction with Daily Travel, and Life Satisfaction among the Elderly (2019) International Journal of Environmental Research and Public Health, 16 (22), p. 4498; Legault, L., Bird, S., Powers, S.E., Sherman, A., Schay, A., Hou, D., Janoyan, K., Impact of a Motivational Intervention and Interactive Feedback on Electricity and Water Consumption: A Smart Housing Field Experiment (2020) Environment and Behavior, 52 (6), pp. 666-692; Mackett, R.L., Thoreau, R., Transport, social exclusion and health (2015) Journal of Transport &amp; Health, 2, pp. 610-617; MacLeod, K., Ragland, D., Villalobos, V., van Meijgaard, J., Kelley-Baker, T., Lacey, J., Satariano, W., P08 Consumption of alcohol outside the home: Choices for traveling home (2015) Journal of Transport &amp; Health, 22) Supplement, pp. S67-S68; Márquez, L., Alfonso, A., Poveda, J.C., In-vehicle crowding: Integrating tangible attributes, attitudes, and perceptions in a choice context between BRT and metro (2019) Transportation Research Part A, 130, pp. 452-465; Márquez, L., Poveda, J.C., Vega, L.A., Factors affecting personal autonomy and perceived accessibility of people with mobility impairments in an urban transportation choice context (2019) Journal of Transport &amp; Health, 14; Nalipay, M.J.N., King, R.B., Cai, Y., Autonomy is equally important across East and West: Testing the cross-cultural universality of self-determination theory (2020) Journal of Adolescence, 78, pp. 67-72; Nguyen-Hoang, P., Yeung, R., What is paratransit worth? (2010) Transportation Research Part A: Policy and Practice, 44 (10), pp. 841-853; Owusu-Ansah, J.K., Baisie, A., Oduro-Ofori, E., The mobility impaired and the built environment in Kumasi: structural obstacles and individual experiences (2019) GEOJOURNAL, 84, pp. 1003-1020. , https://doi-org.ezproxy.unal.edu.co/10.1007/s10708-018-9907-y; Park, J., Chowdhury, S., Investigating the barriers in a typical journey by public transport users with disabilities (2018) Journal of Transport &amp; Health, 10, pp. 361-368; Park, J., Chowdhury, S., Wilson, D., Gap between Policymakers' Priorities and Users' Needs in Planning for Accessible Public Transit System (2020) Journal of Transportation Engineering Part A-Systems, 146 (4), p. 04020020; Park, H., Esfahani, H.N., Novack, V.L., Sheen, J., Hadayeghi, H., Song, Z., Christensen, K., Impacts of disability on daily travel behaviour: A systematic review (2022) Transport Reviews; Pena Cepeda, E., Galilea, P., Raveau, S., How much do we value improvements on the accessibility to public transport for people with reduced mobility or disability? (2018) Research in Transportation Economics, 69, pp. 445-452; Peters, D., Calvo, R.A., Ryan, R.M., Designing for motivation, engagement and wellbeing in digital experience (2018) Frontiers in Psychology, 9, p. 797; Rosenbloom, S., Transportation patterns and problems of people with disabilities (2007) The Future of Disability in America, pp. 519-560. , https://www.ncbi.nlm.nih.gov/books/NBK11420, M.J. Field A.M. Jette The National Academies Press Washington, D.C. /; Ryan, R.M., Deci, E.L., (2019), https://doi.org/10.1016/bs.adms.2019.01.001, Brick by Brick: The Origins, Development, and Future of Self-Determination Theory. In: A. J. Elliot (Ed.), Advances in Motivation Science, 6, 111-156; Ryan, R.M., Deci, E.L., Self-determination theory and the facilitation of intrinsic motivation, social development, and well-being (2000) American Psychologist, 55, pp. 68-78. , https://doi.org/10.1037110003-066X.55.1.68; (2019), http://saludata.saludcapital.gov.co/osb/index.php/datos-de-salud/enfermedades-cronicas/discapacidad/, SALUDATA. Population with disabilities by locality in Bogotá D.C. 2019. Bogotá Health Observatory. Bogotá; Sammer, G., Uhlmann, T., Unbehaun, W., Millonig, A., Mandl, B., Dangschat, J., Mayr, R., Identification of Mobility-Impaired Persons and Analysis of Their Travel Behavior and Needs (2012) Transportation Research Record, 2320, pp. 46-54; (2014), http://www.sdp.gov.co/sites/default/files/boletin69.pdf, Secretaría Distrital de Planeación. Proyecciones de población por localidades para Bogotá 2016-2020. Alcaldía Mayor de Bogotá. 117 p; Soto, J.J., Márquez, L., Macea, L.F., Accounting for attitudes on parking choice: An integrated choice and latent variable approach (2018) Transportation Research Part A, 111, pp. 65-77; Standage, M., Curran, T., Rouse, P.C., (2019), Self-determination-based theories of sport, exercise, and physical activity motivation. In: T. S. Horn &amp; A. L. Smith, Advances in Sport and Exercise Psychology, 289-311. Human Kinetics, Champaign, IL; Sweeney, J.C., Webb, D., Mazzarol, T., Soutar, G.N., Self-Determination Theory and Word of Mouth about Energy-Saving Behaviors: An Online Experiment (2014) Psychology and Marketing, 31 (9), pp. 698-716; Tagkaloglou, S., Kasser, T., Increasing collaborative, pro-environmental activism: The roles of T Motivational Interviewing, self-determined motivation, and self-efficacy (2018) Journal of Environmental Psychology, 58, pp. 86-92; Train, K., Discrete Choice Methods with Simulation (2009), Cambridge University Press New York; Verbich, D., El-Geneidy, A., The pursuit of satisfaction: Variation in satisfaction with bus transit service among riders with encumbrances and riders with disabilities using a large-scale survey from London, UK (2016) Transport Policy, 47, pp. 64-71; Wang, C., Hsu, H.-C.-K., Bonem, E.M., Moss, J.D., Yu, S., Nelson, D.B., Levesque-Bristol, C., Need satisfaction and need dissatisfaction: A comparative study of online and face-to-face learning contexts (2019) Computers in Human Behavior, 95, pp. 114-125; Weinstein, N., Przybylski, A.K., The impacts of motivational framing of technology restrictions on adolescent concealment: Evidence from a preregistered experimental study (2019) Computers in Human Behavior, 90, pp. 170-180; Who, World Report on Disability 2011 (2011), https://www.ncbi.nlm.nih.gov/books/NBK304079, World Health Organization Geneva /; Yañez-Pagans, P., Martinez, D., Mitnik, O.A., Scholl, L., Vazquez, A., Urban transport systems in Latin America and the Caribbean: lessons and challenges (2019) Lat Am Econ Rev, 28 (1); Zaragoza, J., Corral, A., Ikeda, E., García-Bengoechea, E., Aibar, A., Assessment of psychological, social cognitive and perceived environmental influences on children's active transport to school (2020) Journal of Transport &amp; Health, 16; Zhang, C.-Q., Zhang, R., Gan, Y., Li, D., Rhodes, R.E., Predicting transport-related cycling in Chinese employees using an integration of perceived physical environment and social cognitive factors (2019) Transportation Research Part F: Traffic Psychology and Behaviour, 64, pp. 424-439</t>
  </si>
  <si>
    <t>Márquez, L.; Universidad Pedagógica y Tecnológica de Colombia, Avenida Central del Norte 39-115, Colombia; email: luis.marquez@uptc.edu.co</t>
  </si>
  <si>
    <t>Transp. Res. Part A Policy Pract.</t>
  </si>
  <si>
    <t>2-s2.0-85138471326</t>
  </si>
  <si>
    <t>Garzón-Ospina D., Buitrago S.P.</t>
  </si>
  <si>
    <t>35490326100;55608772200;</t>
  </si>
  <si>
    <t>https://www.scopus.com/inward/record.uri?eid=2-s2.0-85138213634&amp;doi=10.1007%2fs10329-022-01019-8&amp;partnerID=40&amp;md5=84518468a2e9125d13e9395e8a97191b</t>
  </si>
  <si>
    <t>PGAME-Population Genetics and Molecular Evolution, Fundación Scient, Boyacá, Tunja, Colombia; GEBIMOL, School of Biological Sciences, Universidad Pedagógica y Tecnológica de Colombia-UPTC, Boyacá, Tunja, Colombia; GEO, School of Biological Sciences, Universidad Pedagógica y Tecnológica de Colombia-UPTC, Boyacá, Tunja, Colombia</t>
  </si>
  <si>
    <t>Garzón-Ospina, D., PGAME-Population Genetics and Molecular Evolution, Fundación Scient, Boyacá, Tunja, Colombia, GEBIMOL, School of Biological Sciences, Universidad Pedagógica y Tecnológica de Colombia-UPTC, Boyacá, Tunja, Colombia, GEO, School of Biological Sciences, Universidad Pedagógica y Tecnológica de Colombia-UPTC, Boyacá, Tunja, Colombia; Buitrago, S.P., PGAME-Population Genetics and Molecular Evolution, Fundación Scient, Boyacá, Tunja, Colombia, GEBIMOL, School of Biological Sciences, Universidad Pedagógica y Tecnológica de Colombia-UPTC, Boyacá, Tunja, Colombia, GEO, School of Biological Sciences, Universidad Pedagógica y Tecnológica de Colombia-UPTC, Boyacá, Tunja, Colombia</t>
  </si>
  <si>
    <t>Immunoglobulin G (IgG) is one of the five antibody classes produced in mammals as part of the humoral responses accountable for protecting the organisms from infection. Its antibody heavy chain constant region is encoded by the Ig heavy-chain gamma gene (IGHG). In humans, there are four IGHG genes which encode the four subclasses, each with a specialized effector function. Although four subclasses of IgG proteins have also been reported in macaques, this does not appear to be the rule for all primates. In Platyrrhini, IgG has been stated to be encoded by a single-copy gene. To date, it remains unknown how the IGHG has expanded or contracted in the primate order; consequently, we have analyzed data from 38 primate genome sequences to identify IGHG genes and describe the evolution of IGHG genes in primate order. IGHG belongs to a multigene family that evolves by the birth–death evolutionary model in primates. Whereas Strepsirrhini and Platyrrhini have a single-copy gene, in Catarrhini, it has expanded to several paralogs in their genomes; some deleted and others pseudogenized. Furthermore, episodic positive selection may have promoted a species-specific IgG effector function. We propose that IgG evolved to reach an optimal number of copies per genome to adapt their humoral immune responses to different environmental conditions. This study has implications for biomedical trials using non-human primates. © 2022, The Author(s), under exclusive licence to Japan Monkey Centre.</t>
  </si>
  <si>
    <t>Birth–death evolutionary model; Divergent evolutionary model; IgG; IGHG; Multigene family; Primates</t>
  </si>
  <si>
    <t>gene expression; genome; immunity; mammal; primate; immunoglobulin G; immunoglobulin heavy chain; animal; genetics; immunoglobulin constant region; mammal; molecular evolution; phylogeny; Platyrrhini; Animals; Evolution, Molecular; Immunoglobulin Constant Regions; Immunoglobulin G; Immunoglobulin Heavy Chains; Mammals; Phylogeny; Platyrrhini</t>
  </si>
  <si>
    <t>immunoglobulin G, 97794-27-9, 308067-58-5; Immunoglobulin Constant Regions; Immunoglobulin G; Immunoglobulin Heavy Chains</t>
  </si>
  <si>
    <t>Fundación para la promoción de la investigación y la tecnología, FPIT: 202111</t>
  </si>
  <si>
    <t>This work was supported by the Fundación para la Promoción de la Investigación y la Tecnología [cooperation agreement #202111, 2021].</t>
  </si>
  <si>
    <t>Abascal, F., Zardoya, R., Telford, M.J., TranslatorX: multiple alignment of nucleotide sequences guided by amino acid translations (2010) Nucleic Acids Res, 38, pp. W7-W13; Anisimova, M., Nielsen, R., Yang, Z., Effect of recombination on the accuracy of the likelihood method for detecting positive selection at amino acid sites (2003) Genetics, 164, pp. 1229-1236. , COI: 1:CAS:528:DC%2BD3sXmvFymsrk%3D; Arenas, M., Posada, D., Coalescent simulation of intracodon recombination (2010) Genetics, 184, pp. 429-437; Arenas, M., Posada, D., The influence of recombination on the estimation of selection from coding sequence alignments (2014) Natural selection: methods and applications, , Fares MA, (ed), CRC Press/Taylor &amp; Francis, Boca Raton; Asada, Y., Kawamoto, Y., Shotaki, T., Terao, K., Molecular evolution of IgG subclass among nonhuman primates: implication of differences in antigenic determinants among apes (2002) Primates, 43, pp. 343-349; Birdsall, H.H., 5—adaptive immunity: antibodies and immunodeficiencies (2015) Mandell, douglas, and bennett's principles and practice of infectious diseases, , Bennett JE, Dolin R, Blaser MJ, (eds), 8, Content Repository Only!, Philadelphia; Brusco, A., Cinque, F., Saviozzi, S., Boccazzi, C., DeMarchi, M., Carbonara, A.O., The G4 gene is duplicated in 44% of human immunoglobulin heavy chain constant region haplotypes (1997) Hum Genet, 100, pp. 84-89; Brusco, A., Carbonara, A.O., Crovella, S., Bottaro, A., Primate immunoglobulin heavy chain constant gamma genes: an hypothesis of their evolution (1998) Hum Evol, 13, pp. 49-56; Crowley, A.R., Ackerman, M.E., Mind the gap: how interspecies variability in igg and its receptors may complicate comparisons of human and non-human primate effector function (2019) Front Immunol, 10, p. 697; Darriba, D., Taboada, G.L., Doallo, R., Posada, D., ProtTest 3: fast selection of best-fit models of protein evolution (2011) Bioinformatics, 27, pp. 1164-1165; Drummond, A.J., Rambaut, A., BEAST: Bayesian evolutionary analysis by sampling trees (2007) BMC Evol Biol, 7, p. 214; Edgar, R.C., MUSCLE: multiple sequence alignment with high accuracy and high throughput (2004) Nucleic Acid Res, 32 (5), pp. 1792-1797; El-Gebali, S., Mistry, J., Bateman, A., Eddy, S.R., Luciani, A., Potter, S.C., Qureshi, M., Finn, R.D., The Pfam protein families database in 2019 (2019) Nucleic Acids Res, 47, pp. D427-D432; Esteves, M.B., Binaghi, R.A., Antigenic similarities among mammalian immunoglobulins (1972) Immunology, 23, pp. 137-145. , COI: 1:CAS:528:DyaE38XksF2ru7o%3D, PID: 4115965; Fay, J.C., Wu, C.I., Sequence divergence, functional constraint, and selection in protein evolution (2003) Annu Rev Genomics Hum Genet, 4, pp. 213-235; Flanagan, J.G., Rabbitts, T.H., Arrangement of human immunoglobulin heavy chain constant region genes implies evolutionary duplication of a segment containing gamma, epsilon and alpha genes (1982) Nature, 300, pp. 709-713; Garzon-Ospina, D., Buitrago, S.P., Igh locus structure and evolution in Platyrrhines: new insights from a genomic perspective (2020) Immunogenetics, 72, pp. 165-179; Garzon-Ospina, D., Cadavid, L.F., Patarroyo, M.A., Differential expansion of the merozoite surface protein (msp)-7 gene family in Plasmodium species under a birth-and-death model of evolution (2010) Mol Phylogenet Evol, 55, pp. 399-408; Gu, X., Functional divergence in protein (family) sequence evolution (2003) Genetica, 118, pp. 133-141. , COI: 1:CAS:528:DC%2BD3sXksFWnt7s%3D; Hood, J.M., Huang, H.V., Hood, L., A computer simulation of evolutionary forces controlling the size of a multigene family (1980) J Mol Evol, 15, pp. 181-196; Huelsenbeck, J.P., Ronquist, F., Nielsen, R., Bollback, J.P., Bayesian inference of phylogeny and its impact on evolutionary biology (2001) Science, 294, pp. 2310-2314; Hughes, A.L., Nei, M., Evolutionary relationships of class II major-histocompatibility-complex genes in mammals (1990) Mol Biol Evol, 7, pp. 491-514; Idusogie, E.E., Wong, P.Y., Presta, L.G., Gazzano-Santoro, H., Totpal, K., Ultsch, M., Mulkerrin, M.G., Engineered antibodies with increased activity to recruit complement (2001) J Immunol, 166, pp. 2571-2575; Irani, V., Guy, A.J., Andrew, D., Beeson, J.G., Ramsland, P.A., Richards, J.S., Molecular properties of human IgG subclasses and their implications for designing therapeutic monoclonal antibodies against infectious diseases (2015) Mol Immunol, 67, pp. 171-182; Jacobsen, F.W., Padaki, R., Morris, A.E., Aldrich, T.L., Armitage, R.J., Allen, M.J., Lavallee, J.C., Arora, T., Molecular and functional characterization of cynomolgus monkey IgG subclasses (2011) J Immunol, 186, pp. 341-349; Kondrashov, F.A., Kondrashov, A.S., Role of selection in fixation of gene duplications (2006) J Theor Biol, 239, pp. 141-151; Kondrashov, F.A., Rogozin, I.B., Wolf, Y.I., Koonin, E.V., Selection in the evolution of gene duplications (2002) Genome Biol; Kosakovsky Pond, S.L., Frost, S.D., Not so different after all: a comparison of methods for detecting amino acid sites under selection (2005) Mol Biol Evol, 22, pp. 1208-1222; Kosakovsky Pond, S.L., Posada, D., Gravenor, M.B., Woelk, C.H., Frost, S.D., Automated phylogenetic detection of recombination using a genetic algorithm (2006) Mol Biol Evol, 23, pp. 1891-1901; Krakauer, D.C., Nowak, M.A., Evolutionary preservation of redundant duplicated genes (1999) Semin Cell Dev Biol, 10, pp. 555-559; Kumar, S., Stecher, G., Suleski, M., Hedges, S.B., timetree: a resource for timelines, timetrees, and divergence times (2017) Mol Biol Evol, 34, pp. 1812-1819; Lynch, M., Conery, J.S., The evolutionary fate and consequences of duplicate genes (2000) Science, 290, pp. 1151-1155; Messier, W., Stewart, C.B., Episodic adaptive evolution of primate lysozymes (1997) Nature, 385, pp. 151-154; Miller, M.A., Schwartz, T., Creating the CIPRES Science Gateway for inference of large phylogenetic trees (2010) Proceedings of the Gateway Computing Environments Workshop (GCE), pp. 1-8. , PW, New Orleans, LA; Miller, M.A., Schwartz, T., Pickett, B.E., He, S., Klem, E.B., Scheuermann, R.H., Passarotti, M., O'Leary, M.A., A RESTful API for access to phylogenetic tools via the CIPRES science gateway (2015) Evol Bioinform Online, 11, pp. 43-48; Mishra, R., Panda, S.K., Sahoo, P.K., Mishra, S., Satapathy, A.K., Self-reactive IgG4 antibodies are associated with blocking of pathology in human lymphatic filariasis (2019) Cell Immunol, 341; Murrell, B., Wertheim, J.O., Moola, S., Weighill, T., Scheffler, K., Kosakovsky Pond, S.L., Detecting individual sites subject to episodic diversifying selection (2012) PLoS Genet, 8; Murrell, B., Moola, S., Mabona, A., Weighill, T., Sheward, D., Kosakovsky Pond, S.L., Scheffler, K., FUBAR: a fast, unconstrained bayesian approximation for inferring selection (2013) Mol Biol Evol, 30, pp. 1196-1205; Napodano, C., Marino, M., Stefanile, A., Pocino, K., Scatena, R., Gulli, F., Rapaccini, G.L., Basile, U., Immunological role of IgG subclasses (2020) Immunol Invest; Nei, M., Rooney, A.P., Concerted and birth-and-death evolution of multigene families (2005) Annu Rev Genet, 39, pp. 121-152; Nei, M., Gu, X., Sitnikova, T., Evolution by the birth-and-death process in multigene families of the vertebrate immune system (1997) Proc Natl Acad Sci USA, 94, pp. 7799-7806; Newcomb, R.D., Campbell, P.M., Ollis, D.L., Cheah, E., Russell, R.J., Oakeshott, J.G., A single amino acid substitution converts a carboxylesterase to an organophosphorus hydrolase and confers insecticide resistance on a blowfly (1997) Proc Natl Acad Sci USA, 94, pp. 7464-7468; Nguyen, D.C., Sanghvi, R., Scinicariello, F., Pulit-Penaloza, J., Hill, N., Attanasio, R., Cynomolgus and pigtail macaque IgG subclasses: characterization of IGHG genes and computational analysis of IgG/Fc receptor binding affinity (2014) Immunogenetics, 66, pp. 361-377; Nicholas, K., Nicholas, H., GeneDoc: A tool for editing and annotating multiple sequence alignments (1997) EMBNEW.NEWS, 4, p. 14. , http://nrbsc.org/gfx/genedoc/; Nimmerjahn, F., Ravetch, J.V., Divergent immunoglobulin g subclass activity through selective Fc receptor binding (2005) Science, 310, pp. 1510-1512; Olivieri, D.N., Gambon Deza, F., Immunoglobulin genes in primates (2018) Mol Immunol, 101, pp. 353-363; Ota, T., Nei, M., Divergent evolution and evolution by the birth-and-death process in the immunoglobulin VH gene family (1994) Mol Biol Evol, 11, pp. 469-482; Parra-Montano, J.D., Mateus-Rincon, K.C., Aranguren-Borras, J.V., Medrano-Robayo, M., Figueredo-Lopez, A., Gonzalez-Amaya, L.M., Vega-Valderrama, J.D., Garzon-Ospina, D., IgG subclasses in New World Monkeys: an issue for debate? (2022) Immunogenetics; Perutz, M.F., Species adaptation in a protein molecule (1984) Adv Protein Chem, 36, pp. 213-244; Posada, D., jModelTest: phylogenetic model averaging (2008) Mol Biol Evol, 25, pp. 1253-1256; Rambaut, A., Drummond, A.J., Xie, D., Baele, G., Suchard, M.A., Posterior summarization in bayesian phylogenetics using tracer 1.7 (2018) Syst Biol, 67, pp. 901-904; Ramesh, A., Darko, S., Hua, A., Overman, G., Ransier, A., Francica, J.R., Trama, A., Kepler, T.B., Structure and diversity of the rhesus macaque immunoglobulin loci through multiple de novo genome assemblies (2017) Front Immunol, 8, p. 1407; Schroeder, H.W., Jr., Cavacini, L., Structure and function of immunoglobulins (2010) J Allergy Clin Immunol, 125, pp. S41-S52; Schur, P.H., IgG subclasses—a review (1987) Ann Allergy, 58 (89-96), p. 99; Senger, K., Hackney, J., Payandeh, J., Zarrin, A.A., Antibody isotype switching in vertebrates (2015) Results Probl Cell Differ, 57, pp. 295-324; Sjostrand, J., Sennblad, B., Arvestad, L., Lagergren, J., DLRS: gene tree evolution in light of a species tree (2012) Bioinformatics, 28, pp. 2994-2995; Sjostrand, J., Tofigh, A., Daubin, V., Arvestad, L., Sennblad, B., Lagergren, J., A Bayesian method for analyzing lateral gene transfer (2014) Syst Biol, 63, pp. 409-420; Smith, M.D., Wertheim, J.O., Weaver, S., Murrell, B., Scheffler, K., Kosakovsky Pond, S.L., Less is more: an adaptive branch-site random effects model for efficient detection of episodic diversifying selection (2015) Mol Biol Evol, 32, pp. 1342-1353; Solovyev, V.V., Statistical approaches in Eukaryotic gene prediction (2007) Handbook of statistical genetics, p. 1616. , Balding D, Cannings C, Bishop M, (eds), 3, Wiley-Interscience; Stephens, S.G., Possible significances of duplication in evolution (1951) Adv Genet, 4, pp. 247-265; Su, C., Nei, M., Evolutionary dynamics of the T-cell receptor VB gene family as inferred from the human and mouse genomic sequences (2001) Mol Biol Evol, 18, pp. 503-513; Suchard, M.A., Lemey, P., Baele, G., Ayres, D.L., Drummond, A.J., Rambaut, A., Bayesian phylogenetic and phylodynamic data integration using BEAST 1.10 (2018) Virus Evol; Sun, Y., Liu, Z., Ren, L., Wei, Z., Wang, P., Li, N., Zhao, Y., Immunoglobulin genes and diversity: what we have learned from domestic animals (2012) J Anim Sci Biotechnol, 3, p. 18; Takahashi, N., Ueda, S., Obata, M., Nikaido, T., Nakai, S., Honjo, T., Structure of human immunoglobulin gamma genes: implications for evolution of a gene family (1982) Cell, 29, pp. 671-679; Tamura, K., Battistuzzi, F.U., Billing-Ross, P., Murillo, O., Filipski, A., Kumar, S., Estimating divergence times in large molecular phylogenies (2012) Proc Natl Acad Sci USA, 109, pp. 19333-19338; Tamura, K., Tao, Q., Kumar, S., Theoretical foundation of the reltime method for estimating divergence times from variable evolutionary rates (2018) Mol Biol Evol, 35, pp. 1770-1782; Tamura, K., Stecher, G., Kumar, S., MEGA11: molecular evolutionary genetics analysis version 11 (2021) Mol Biol Evol, 38, pp. 3022-3027; Tao, Q., Tamura, K., Mello, B., Kumar, S., Reliable confidence intervals for reltime estimates of evolutionary divergence times (2020) Mol Biol Evol, 37, pp. 280-290; Vidarsson, G., Dekkers, G., Rispens, T., IgG subclasses and allotypes: from structure to effector functions (2014) Front Immunol, 5, p. 520; Warncke, M., Calzascia, T., Coulot, M., Balke, N., Touil, R., Kolbinger, F., Heusser, C., Different adaptations of IgG effector function in human and nonhuman primates and implications for therapeutic antibody treatment (2012) J Immunol, 188, pp. 4405-4411; Weaver, S., Shank, S.D., Spielman, S.J., Li, M., Muse, S.V., Kosakovsky Pond, S.L., Datamonkey 2.0: a modern web application for characterizing selective and other evolutionary processes (2018) Mol Biol Evol; Wertheim, J.O., Murrell, B., Smith, M.D., Kosakovsky Pond, S.L., Scheffler, K., RELAX: detecting relaxed selection in a phylogenetic framework (2015) Mol Biol Evol, 32, pp. 820-832; Woof, J.M., Burton, D.R., Human antibody-Fc receptor interactions illuminated by crystal structures (2004) Nat Rev Immunol, 4, pp. 89-99; Zhang, J., Evolution by gene duplication: an update (2003) Trends Ecol Evol, 18, pp. 292-298; Zhang, J., Rosenberg, H.F., Nei, M., Positive Darwinian selection after gene duplication in primate ribonuclease genes (1998) Proc Natl Acad Sci USA, 95, pp. 3708-3713</t>
  </si>
  <si>
    <t>Garzón-Ospina, D.; PGAME-Population Genetics and Molecular Evolution, Boyacá, Colombia; email: degarzon@gmail.com</t>
  </si>
  <si>
    <t>2-s2.0-85138213634</t>
  </si>
  <si>
    <t>Maglianesi M.A., Maruyama P.K., Temeles E.J., Schleuning M., Zanata T.B., Sazima M., Gutiérrez-Zamora A., Marín-Gómez O.H., Rosero-Lasprilla L., Ramírez-Burbano M.B., Ruffini A.E., Salamanca-Reyes J.R., Sazima I., Nuñez-Rosas L.E., del Coro Arizmendi M., Rahbek C., Dalsgaard B.</t>
  </si>
  <si>
    <t>56464140700;54955193100;6701334698;23986223600;55326491400;6603904264;57713349700;37002796500;55340594300;57194228098;57713553400;55484799100;7004254585;57200946684;6508307285;6602128406;24167981800;</t>
  </si>
  <si>
    <t>Journal of Animal Ecology</t>
  </si>
  <si>
    <t>https://www.scopus.com/inward/record.uri?eid=2-s2.0-85130823890&amp;doi=10.1111%2f1365-2656.13746&amp;partnerID=40&amp;md5=cac4078b0dddd8d64b7f12174d0564ca</t>
  </si>
  <si>
    <t>Vicerrectoría de Investigación, Universidad Estatal a Distancia, San José, Costa Rica; Departamento de Genética, Ecologia e Evolução, ICB, Universidade Federal de Minas Gerais, Belo Horizonte, Brazil; Department of Biology, Amherst College, Amherst, MA, United States; Senckenberg Biodiversity and Climate Research Centre (SBiK-F), Frankfurt (Main), Germany; Departamento de Botânica e Ecologia, Instituto de Biociências, Universidade Federal de Mato Grosso, Cuiabá, Brazil; Departamento de Biologia Vegetal, Instituto de Biología, Universidade Estadual de Campinas, Campinas, Brazil; Department of Biology, University of Nariño, Pasto, Colombia; Grupo de Investigación y Asesoría en Estadística, Universidad del Quindío, Armenia, Colombia; Programa de Biología, Grupo de Investigación y Asesoría en Estadística, Universidad del Quindío, Armenia, Colombia; Grupo de Investigación Biología para la Conservación, Universidad Pedagógica y Tecnológica de Colombia, Tunja, Colombia; Grupo Ecología y Diversidad Vegetal, Departamento de Biología, Facultad de Ciencias Naturales, Universidad del Valle, Cali, Colombia; Centro Regional Universitario Bariloche, Universidad Nacional del Comahue, Bariloche, Argentina; Escuela de Biología, Universidad Pedagógica y Tecnológica de Colombia, Tunja, Colombia; Museu de Biodiversidade Biológica, Instituto de Biología, Universidade Estadual de Campinas, Campinas, Brazil; Facultad de Estudios Superiores Iztacala, Universidad Nacional Autónoma de México, Estado de México, Tlalnepantla, Mexico; Center for Macroecology, Evolution and Climate, GLOBE Institute, University of Copenhagen, Copenhagen Ø, Denmark; Institute of Ecology, Peking University, Beijing, China; Danish Institute for Advanced Study, University of Southern Denmark, Odense, Denmark; Section for Molecular Ecology and Evolution, GLOBE Institute, University of Copenhagen, Copenhagen, Denmark</t>
  </si>
  <si>
    <t>Maglianesi, M.A., Vicerrectoría de Investigación, Universidad Estatal a Distancia, San José, Costa Rica; Maruyama, P.K., Departamento de Genética, Ecologia e Evolução, ICB, Universidade Federal de Minas Gerais, Belo Horizonte, Brazil; Temeles, E.J., Department of Biology, Amherst College, Amherst, MA, United States; Schleuning, M., Senckenberg Biodiversity and Climate Research Centre (SBiK-F), Frankfurt (Main), Germany; Zanata, T.B., Departamento de Botânica e Ecologia, Instituto de Biociências, Universidade Federal de Mato Grosso, Cuiabá, Brazil; Sazima, M., Departamento de Biologia Vegetal, Instituto de Biología, Universidade Estadual de Campinas, Campinas, Brazil; Gutiérrez-Zamora, A., Department of Biology, University of Nariño, Pasto, Colombia; Marín-Gómez, O.H., Grupo de Investigación y Asesoría en Estadística, Universidad del Quindío, Armenia, Colombia, Programa de Biología, Grupo de Investigación y Asesoría en Estadística, Universidad del Quindío, Armenia, Colombia; Rosero-Lasprilla, L., Grupo de Investigación Biología para la Conservación, Universidad Pedagógica y Tecnológica de Colombia, Tunja, Colombia; Ramírez-Burbano, M.B., Grupo Ecología y Diversidad Vegetal, Departamento de Biología, Facultad de Ciencias Naturales, Universidad del Valle, Cali, Colombia; Ruffini, A.E., Centro Regional Universitario Bariloche, Universidad Nacional del Comahue, Bariloche, Argentina; Salamanca-Reyes, J.R., Escuela de Biología, Universidad Pedagógica y Tecnológica de Colombia, Tunja, Colombia; Sazima, I., Museu de Biodiversidade Biológica, Instituto de Biología, Universidade Estadual de Campinas, Campinas, Brazil; Nuñez-Rosas, L.E., Facultad de Estudios Superiores Iztacala, Universidad Nacional Autónoma de México, Estado de México, Tlalnepantla, Mexico; del Coro Arizmendi, M., Facultad de Estudios Superiores Iztacala, Universidad Nacional Autónoma de México, Estado de México, Tlalnepantla, Mexico; Rahbek, C., Center for Macroecology, Evolution and Climate, GLOBE Institute, University of Copenhagen, Copenhagen Ø, Denmark, Institute of Ecology, Peking University, Beijing, China, Danish Institute for Advanced Study, University of Southern Denmark, Odense, Denmark, Section for Molecular Ecology and Evolution, GLOBE Institute, University of Copenhagen, Copenhagen, Denmark; Dalsgaard, B., Center for Macroecology, Evolution and Climate, GLOBE Institute, University of Copenhagen, Copenhagen Ø, Denmark, Section for Molecular Ecology and Evolution, GLOBE Institute, University of Copenhagen, Copenhagen, Denmark</t>
  </si>
  <si>
    <t>Research on resource partitioning in plant–pollinator mutualistic systems is mainly concentrated at the levels of species and communities, whereas differences between males and females are typically ignored. Nevertheless, pollinators often show large sexual differences in behaviour and morphology, which may lead to sex-specific patterns of resource use with the potential to differentially affect plant reproduction and diversification. We investigated variation in behavioural and morphological traits between sexes of hummingbird species as potential mechanisms underlying sex-specific flower resource use in ecological communities. To do so, we compiled a dataset of plant–hummingbird interactions based on pollen loads for 31 hummingbird species from 13 localities across the Americas, complemented by data on territorial behaviour (territorial or non-territorial) and morphological traits (bill length, bill curvature, wing length and body mass). We assessed the extent of intersexual differences in niche breadth and niche overlap in floral resource use across hummingbird species. Then, we tested whether floral niche breadth and overlap between sexes are associated with sexual dimorphism in behavioural or morphological traits of hummingbird species while accounting for evolutionary relatedness among the species. We found striking differences in patterns of floral resource use between sex. Females had a broader floral niche breadth and were more dissimilar in the plant species visited with respect to males of the same species, resulting in a high level of resource partitioning between sexes. We found that both territoriality and morphological traits were related to sex-specific resource use by hummingbird species. Notably, niche overlap between sexes was greater for territorial than non-territorial species, and moreover, niche overlap was negatively associated with sexual dimorphism in bill curvature across hummingbird species. These results reveal the importance of behavioural and morphological traits of hummingbird species in sex-specific resource use and that resource partitioning by sex is likely to be an important mechanism to reduce intersexual competition in hummingbirds. These findings highlight the need for better understanding the putative role of intersexual variation in shaping patterns of interactions and plant reproduction in ecological communities. © 2022 The Authors. Journal of Animal Ecology © 2022 British Ecological Society.</t>
  </si>
  <si>
    <t>behavioral response; bird; niche breadth; niche overlap; niche partitioning; resource use; sexual dimorphism; anatomy and histology; animal; bird; female; flower; male; phenotype; plant; pollen; pollination; Animals; Birds; Female; Flowers; Male; Phenotype; Plants; Pollen; Pollination</t>
  </si>
  <si>
    <t>IN221920; Fundação de Amparo à Pesquisa do Estado de São Paulo, FAPESP: 2015/21457‐4; Coordenação de Aperfeiçoamento de Pessoal de Nível Superior, CAPES: 8105/2014-6; Conselho Nacional de Desenvolvimento Científico e Tecnológico, CNPq: 300992/79-ZO, 302781/2016-1; Fundação de Amparo à Pesquisa do Estado de Minas Gerais, FAPEMIG: RED‐00253‐16; Dirección General de Asuntos del Personal Académico, Universidad Nacional Autónoma de México, DGAPA, UNAM; Ministerio de Ciencia Tecnología y Telecomunicaciones, MICITT; Consejo Nacional para Investigaciones Científicas y Tecnológicas, CONICIT</t>
  </si>
  <si>
    <t>We thank the field assistants who contributed to data collection and Lorena Fonseca for sharing her data. We also thank the National Museum of Costa Rica for permit to access the bird collection. Financial support for this study was provided by Consejo Nacional para Investigaciones Científicas y Tecnológicas and Ministerio de Ciencia, Tecnología y Telecomunicaciones and the research‐funding programme ‘LOEWE‐Landes‐Offensive zur Entwicklung Wissenschaftlich‐ökonomischer Exzellenz’ of Hesse's Ministry of Higher Education, Research, and the Arts; CAPES (PDSE scholarship proc. 8105/2014‐6 to T.B.Z.) and Dirección General de Asuntos del Personal Académico (DGAPA) of the Universidad Nacional Autónoma de México (PAPIIT IN221920 to M.C.A.); CNPq grants (302781/2016‐1 and 300992/79‐ZO) for M.S. and I.S., respectively. P.K.M. thanks FAPESP (grant #2015/21457‐4) and FAPEMIG (RED‐00253‐16). We are grateful to two anonymous reviewers for their constructive and valuable comments on an earlier version of this manuscript.</t>
  </si>
  <si>
    <t>We thank the field assistants who contributed to data collection and Lorena Fonseca for sharing her data. We also thank the National Museum of Costa Rica for permit to access the bird collection. Financial support for this study was provided by Consejo Nacional para Investigaciones Científicas y Tecnológicas and Ministerio de Ciencia, Tecnología y Telecomunicaciones and the research-funding programme ‘LOEWE-Landes-Offensive zur Entwicklung Wissenschaftlich-ökonomischer Exzellenz’ of Hesse's Ministry of Higher Education, Research, and the Arts; CAPES (PDSE scholarship proc. 8105/2014-6 to T.B.Z.) and Dirección General de Asuntos del Personal Académico (DGAPA) of the Universidad Nacional Autónoma de México (PAPIIT IN221920 to M.C.A.); CNPq grants (302781/2016-1 and 300992/79-ZO) for M.S. and I.S., respectively. P.K.M. thanks FAPESP (grant #2015/21457-4) and FAPEMIG (RED-00253-16). We are grateful to two anonymous reviewers for their constructive and valuable comments on an earlier version of this manuscript.</t>
  </si>
  <si>
    <t>Andersson, M., (1994) Sexual selection, , https://press.princeton.edu/books/paperback/9780691000572/sexual-selection, Princeton University Press, Retrieved from; Beattie, A.J., A technique for the study of insect-borne pollen (1971) The Pan-Pacific Entomologist, 47, p. 82. , https://digitalcommons.usu.edu/bee_lab_ba/8, Retrieved from; Bleiweiss, R., Relative-rate tests and biological causes of molecular evolution in hummingbirds (1998) Molecular Biology and Evolution, 15, pp. 481-491. , https://doi.org/10.1093/oxfordjournals.molbev.a025947; Bleiweiss, R., Joint effects of feeding and breeding behaviour on trophic dimorphism in hummingbirds (1999) Proceedings of the Royal Society B: Biological Sciences, 266, pp. 2491-2497. , https://doi.org/10.1098/rspb.1999.0951; Bolnick, D.I., Svanbäck, R., Fordyce, J.A., Yang, L.H., Davis, J.M., Hulsey, C.D., Forister, M.L., The ecology of individuals: Incidence and implications of individual specialization (2003) The American Naturalist, 161, pp. 1-28. , https://doi.org/10.1086/343878; Borgella, R., Jr., Snow, A.A., Gavin, T.A., Species richness and pollen loads of hummingbirds using forest fragments in southern Costa Rica (2001) Biotropica, 33 (1), pp. 90-109. , https://www.jstor.org/stable/2663768, Retrieved from; Bosch, J., González, A.M., Navarro, R.A., Plant-pollinator networks: Adding the pollinator's perspective (2009) Ecology Letters, 12, pp. 409-419. , https://doi.org/10.1111/j.1461-0248.2009.01296.x; Buzato, S., Sazima, M., Sazima, I., Hummingbird-pollinated floras at three Atlantic forest sites (2000) Biotropica, 32 (4b), pp. 824-841. , https://doi.org/10.1111/j.1744-7429.2000.tb00621.x; Carpenter, F.L., Hixon, M.A., Paton, D.C., Temeles, E.J., Russell, R.W., Sexual differences in resource acquisition by migrant hummingbirds (1991) Acta XX Congressus Internationalis Ornithologici, 2, pp. 1156-1165; Carpenter, F.L., Hixon, M.A., Temeles, E.J., Russell, R.W., Paton, D.C., Exploitative compensation by subordinate age-sex classes of migrant rufous hummingbirds (1993) Behavioral Ecology and Sociobiology, 33, pp. 305-312. , https://www.jstor.org/stable/4600885, Retrieved from; Carscadden, K.A., Emery, N.C., Arnillas, C.A., Cadotte, M.W., Afkhami, M.E., Gravel, D., Livingstone, S.W., Wiens, J.J., Niche breadth: Causes and consequences for ecology, evolution, and conservation (2020) Quarterly Review of Biology, 95, pp. 179-214. , https://doi.org/10.1086/710388; Chao, A., Chazdon, R.L., Colwell, R.K., Shen, T.J., Abundance-based similarity indices and their estimation when there are unseen species in samples (2006) Biometrics, 62, pp. 361-371. , https://doi.org/10.1111/j.1541-0420.2005.00489.x; Chesson, P., Mechanisms of maintenance of species diversity (2000) Annual Review of Ecology and Systematics, 31, pp. 343-366. , https://doi.org/10.1146/annurev.ecolsys.31.1.343; Courtney, S.P., Hill, C.J., Westerman, A., Pollen carried for long periods by butterflies (1981) Oikos, 38, pp. 260-263. , https://doi.org/10.2307/3544030; Dalsgaard, B., Martín González, A.M., Olesen, J.M., Ollerton, J., Timmermann, A., Andersen, L.H., Tossas, A.G., Plant-hummingbird interactions in the West Indies: Floral specialisation gradients associated with environment and hummingbird size (2009) Oecologia, 159, pp. 757-766. , https://doi.org/10.1007/s00442-008-1255-z; Dalsgaard, B., Maruyama, P.K., Sonne, J., Hansen, K., Zanata, T.B., Abrahamczyk, S., Alarcón, R., Martín González, A.M., The influence of biogeographical and evolutionary histories on morphological trait-matching and resource specialization in mutualistic hummingbird-plant networks (2021) Functional Ecology, 35, pp. 1120-1133. , https://doi.org/10.1111/1365-2435.13784; Feinsinger, P., Organization of a tropical guild of nectarivorous birds (1976) Ecological Monographs, 46, pp. 257-291. , https://doi.org/10.2307/1942255; Justino, D.G., Maruyama, P.K., Oliveira, P.E., Floral resource availability and hummingbird territorial behaviour on a Neotropical savanna shrub (2012) Journal of Ornithology, 153, pp. 189-197. , https://doi.org/10.1007/s10336-011-0726-x; Kearns, C.A., Inouye, D.W., (1993) Techniques for pollination biologists, , University Press of Colorado; Larsson, M., Higher pollinator effectiveness by specialist than generalist flower-visitors of unspecialized Knautia arvensis (Dipsacaceae) (2005) Oecologia, 146, pp. 394-403. , https://doi.org/10.1007/s00442-005-0217-y; Leimberger, K.G., Dalsgaard, B., Tobias, J.A., Wolf, C., Betts, M.G., The evolution, ecology, and conservation of hummingbirds and their interactions with flowering plants (2022) Biological Reviews, 97, pp. 923-959. , https://doi.org/10.1111/brv.12828; Linhart, Y.B., Busby, W.H., Beach, J.H., Feinsinger, P., Forager behavior, pollen dispersal, and inbreeding in two species of hummingbird-pollinated plants (1987) Evolution, 41, pp. 679-682. , https://doi.org/10.2307/2409272; Lovich, J.E., Gibbons, J.W., Review of techniques for quantifying sexual size dimorphism (1992) Growth, Development and Aging, 56, pp. 269-281; Lüdecke, D., (2021) Package ‘performance’. Assessment of Regression Models Performance, , https://rdrr.io/cran/performance/, Retrieved from; Maglianesi, M.A., Blüthgen, N., Böhning-Gaese, K., Schleuning, M., Morphological traits determine specialization and resource use in plant–hummingbird networks in the Neotropics (2014) Ecology, 95, pp. 3325-3334. , https://doi.org/10.1890/13-2261.1; Maglianesi, M.A., Blüthgen, N., Böhning-Gaese, K., Schleuning, M., Functional structure and specialization in three tropical plant–hummingbird interaction networks across an elevational gradient in Costa Rica (2015) Ecography, 38, pp. 1119-1128. , https://doi.org/10.1111/ecog.01538; Maglianesi, M.A., Maruyama, P.K., Temeles, E.J., Schleuning, M., Zanata, T.B., Sazima, M., Gutiérrez-Zamora, A., Dalsgaard, B., (2022) Data from: Behavioural and morphological traits influence sex-specific floral resource use by hummingbirds, , https://doi.org/10.5061/dryad.h18931zp7, Dryad Digital Repository; Maruyama, P.K., Justino, D.G., Oliveira, P.E., Does intraspecific behavioural variation of pollinator species influence pollination? A quantitative study with hummingbirds and a neotropical shrub (2016) Plant Biology, 18, pp. 913-919. , https://doi.org/10.1111/plb.12492; McGuire, J.A., Witt, C.C., Remsen, J.V., Jr., Corl, A., Rabosky, D.L., Altshuler, D.L., Dudley, R., Molecular phylogenetics and the diversification of hummingbirds (2014) Current Biology, 24, pp. 910-916. , https://doi.org/10.1016/j.cub.2014.03.016; Morisita, M., Measuring of interspecific association and similarity between communities (1959) Memoirs of the Faculty of Science, Kyushu University, Series E (Biol.), 3, pp. 65-80. , https://doi.org/10.18960/seitai.11.6_252_4; Ne'eman, G., Shavit, O., Shaltiel, L., Shmida, A., Foraging by male and female solitary bees with implications for pollination (2006) Journal of Insect Behavior, 19, pp. 383-401. , https://doi.org/10.1007/s10905-006-9030-7; Noske, R.A., Intersexual niche segregation among three bark-foraging birds of eucalypt forests (1986) Austral Ecology, 11, pp. 255-267. , https://doi.org/10.1111/j.1442-9993.1986.tb01396.x; Ollerton, J., Winfree, R., Tarrant, S., How many flowering plants are pollinated by animals? (2011) Oikos, 120, pp. 321-326. , https://doi.org/10.1111/j.1600-0706.2010.18644.x; Orme, D., Freckleton, R., Thomas, G., Petzoldt, T., Fritz, S., Isaac, N., Pearse, W., (2018) Caper: Comparative analyses of phylogenetics and evolution in R, , https://cran.r-project.org/web/packages/caper/vignettes/caper.pdf, R package version 1.0.1. Retrieved from; Ornelas, J.F., (1995) Radiation in the genus Amazilia: A comparative approach to understanding the diversification of hummingbirds, , A dissertation submitted to the Faculty of the Department of ecology and evolutionary biology., The University of Arizona; Ortiz-Crespo, F.I.A., New method to separate immature and adult hummingbirds (1972) The Auk, 89, pp. 851-857. , https://doi.org/10.2307/4084114; Ramírez-Burbano, M.B., Stiles, F.G., González, C., Amorim, F.W., Dalsgaard, B., Maruyama, P.K., The role of the endemic and critically endangered Colorful Puffleg Eriocnemis mirabilis in plant-hummingbird networks of the Colombian Andes (2017) Biotropica, 49, pp. 555-564. , https://doi.org/10.1111/btp.12442; Rech, A.R., Dalsgaard, B., Sandel, B., Sonne, J., Svenning, J.C., Holmes, N., Ollerton, J., The macroecology of animal versus wind pollination: Ecological factors are more important than historical climate stability (2016) Plant Ecology and Diversity, 9, pp. 253-262. , https://doi.org/10.1080/17550874.2016.1207722; Revell, L.J., phytools: An R package for phylogenetic comparative biology (and other things) (2012) Methods in Ecology and Evolution, 3, pp. 217-223. , https://doi.org/10.1111/j.2041-210X.2011.00169.x; Rico-Guevara, A., Araya-Salas, M., Bills as daggers? A test for sexually dimorphic weapons in a lekking hummingbird (2015) Behavioral Ecology, 26, pp. 21-29. , https://academic.oup.com/beheco/article/26/1/21/2262689, Retrieved from; Ritchie, A.D., Ruppel, R., Jha, S., Generalist behavior describes pollen foraging for perceived oligolectic and polylectic bees (2016) Environmental Entomology, 45, pp. 909-919. , https://doi.org/10.1093/ee/nvw032; Rodger, J.G., Bennett, J.M., Razanajatovo, M., Knight, T.M., van Kleunen, M., Ashman, T.-L., Steets, J.A., Ellis, A.G., Widespread vulnerability of flowering plant seed production to pollinator declines (2021) Science Advances, 7. , https://doi.org/10.1126/sciadv.abd3524; Rodrigues, R.C., Hasui, É., Camara Assis, J., Castro Pena, J.C., Muylaert, R.L., Rodrigues Tonetti, V., Martello, F., Ribeiro, M.C., Atlantic bird traits: A data set of bird morphological traits from the Atlantic forests of South America (2019) Ecology, 100. , https://doi.org/10.1002/ecy.2647; Rodríguez-Flores, C.I., Arizmendi Arriaga, M.C., The dynamics of hummingbird dominance and foraging strategies during the winter season in a highland community in Western Mexico (2016) Journal of Zoology, 299, pp. 262-274. , https://doi.org/10.1111/jzo.12360; Rombaut, L.M., Capp, E.J., Hughes, E.C., Varley, Z.K., Beckerman, A.P., Cooper, N., Thomas, G.H., The evolution of the traplining pollinator role in hummingbirds: Specialization is not an evolutionary dead end (2022) Proceedings of the Royal Society B: Biological Sciences, 289 (1967), p. 20212484. , https://doi.org/10.1098/rspb.2021.2484; Roswell, M., Dushoff, J., Winfree, R., Male and female bees show large differences in floral preference (2019) PLoS ONE, 14 (4). , https://doi.org/10.1371/journal.pone.0214909; Roubik, D.W., Moreno, J.E., (1991) Pollen and spores of Barro Colorado Island, , Missouri Botanical Garden Press; Sazima, I., Buzato, S., Sazima, M., The saw-billed hermit, Ramphodon naevius, and its flowers in southeastern Brazil (1995) Journal für Ornithologie, 136 (2), pp. 195-206. , https://doi.org/10.1007/BF01651241; Schuchmann, K.-L., Family Trochilidae (1999) Handbook of the birds of the world, vol. 5. Barn owls to hummingbirds, vol 5. Barn owls to hummingbirds, pp. 468-680. , https://academic.oup.com/auk/article/117/2/532/5561620, J. del Hoyo, A. Elliott, J. Sargatal, (Eds.),, Lynx, Retrieved from; Selander, R.K., Sexual dimorphism and differential niche utilization in birds (1966) Condor, 68, pp. 113-151. , https://doi.org/10.2307/1365712; Shine, R., Ecological causes for the evolution of sexual dimorphism: A review of the evidence (1989) The Quarterly Review of Biology, 64, pp. 419-461. , https://doi.org/10.1086/416458; Smith, G.P., Bronstein, J.L., Papaj, D.R., Sex differences in pollinator behavior: Patterns across species and consequences for the mutualism (2019) Journal of Animal Ecology, 88, pp. 971-985. , https://doi.org/10.1111/1365-2656.12988; Smith, G.P., Davidowitz, G., Alarcón, R., Papaj, D.R., Bronstein, J.L., Sex differences in the foraging behavior of a generalist hawkmoth (2021) Insect Science, 29, pp. 304-314. , https://doi.org/10.1111/1744-7917.12926; Souza, C.S., Maruyama, P.K., Santos, K.C., Varassin, I.G., Gross, C.L., Araujo, A.C., Plant-centred sampling estimates higher beta diversity of interactions than pollinator-based sampling across habitats (2021) New Phytologist, 230, pp. 2501-2512. , https://doi.org/10.1111/nph.17334; Stiles, F.G., Ecology, flowering phenology, and hummingbird pollination of some Costa Rican Heliconia species (1975) Ecology, 56, pp. 285-301. , https://doi.org/10.2307/1934961; Stiles, F.G., A new species of Emerald hummingbird (Trochilidae, Chlorostilbon) from the Sierra de Chiribiquete, Southeastern Colombia, with a review of the C. mellisugus complex (1996) Wilson Bulletin, 108, pp. 1-27. , https://www.jstor.org/stable/4163634, Retrieved from; Stiles, F.G., Phylogenetic constraints upon morphological and ecological adaptation in hummingbirds (Trochilidae): Why are there no hermits in the paramo? (2004) Ornitología Neotropical, 15, pp. 191-198. , https://sora.unm.edu/sites/default/files/journals/on/v015s/p0191-p0198.pdf, Retrieved from; Stiles, F.G., Boesman, P., Empress brilliant (Heliodoxa imperatrix) (2020) Handbook of the birds of the world alive, , https://doi.org/10.2173/bow.empbri1.01, J. del Hoyo, A. Elliott, J. Sargatal, D. A. Christie, E. de Juana, (Eds.),, Lynx Edicions; Temeles, E.J., Kress, W.J., Adaptation in a plant-hummingbird association (2003) Science, 300, pp. 630-633. , https://doi.org/10.1126/science.1080003; Temeles, E.J., Liang, J., Levey, M.C., Fan, Y.-L., Floral isolation and pollination in two hummingbird-pollinated plants: The roles of exploitation barriers and pollinator competition (2019) Evolutionary Ecology, 33, pp. 481-497. , https://doi.org/10.1007/s10682-019-09992-1; Temeles, E.J., Miller, J.S., Rifkin, J.L., Evolution of sexual dimorphism in bill size and shape of hermit hummingbirds (Phaethornithinae): A role for ecological causation (2010) Philosophical Transactions of the Royal Society, 365, pp. 1053-1063. , https://doi.org/10.1098/rstb.2009.0284; Temeles, E.J., Newman, J.T., Newman, J.H., Cho, S.Y., Mazzotta, A.R., Kress, W.J., Pollinator competition as a driver of floral divergence: An experimental test (2016) PLoS ONE, 11 (1). , https://doi.org/10.1371/journal.pone.0146431; Temeles, E.J., Pan, I.L., Brennan, J.L., Horwitt, J.N., Evidence for ecological causation of sexual dimorphism in a hummingbird (2000) Science, 289, pp. 441-443. , https://doi.org/10.1126/science.289.5478.441; Temeles, E.J., Rah, Y.J., Andicoechea, J., Byanova, K.L., Giller, G.S., Stolk, S.B., Kress, W.J., Pollinator-mediated selection in a specialized hummingbird–Heliconia system in the Eastern Caribbean (2013) Journal of Evolutionary Biology, 26 (2), pp. 347-356. , https://doi.org/10.1111/jeb.12053; Wolf, L.L., Stiles, F.G., Hainsworth, F.R., Ecological organization of a tropical, highland hummingbird community (1976) Journal of Animal Ecology, 45, pp. 349-379. , https://doi.org/10.2307/3879; Zhang, J., (2016), https://cran.r-project.org/web/packages/spaa/spaa.pdf, . Package ‘spaa’. Version 0.2.2, Species association analysis. Retrieved from</t>
  </si>
  <si>
    <t>Maglianesi, M.A.; Vicerrectoría de Investigación, Costa Rica; email: mmaglianesi@uned.ac.cr</t>
  </si>
  <si>
    <t>JAECA</t>
  </si>
  <si>
    <t>2-s2.0-85130823890</t>
  </si>
  <si>
    <t>Roa-Fuentes C.A., Heino J., Zeni J.O., Ferraz S., Cianciaruso M.V., Casatti L.</t>
  </si>
  <si>
    <t>36983373700;7005906596;55169321200;6507946980;8623837700;12784934200;</t>
  </si>
  <si>
    <t>Importance of local and landscape variables on multiple facets of stream fish biodiversity in a Neotropical agroecosystem</t>
  </si>
  <si>
    <t>Hydrobiologia</t>
  </si>
  <si>
    <t>10.1007/s10750-020-04396-7</t>
  </si>
  <si>
    <t>https://www.scopus.com/inward/record.uri?eid=2-s2.0-85090470127&amp;doi=10.1007%2fs10750-020-04396-7&amp;partnerID=40&amp;md5=7cb5dc30c5e52c1d416b0e4d1beb7068</t>
  </si>
  <si>
    <t>Department of Zoology and Botany, UNESP - São Paulo State University, 2265 Cristóvão Colombo Street, SP, São José do Rio Preto, 15054-000, Brazil; Escuela de Ciencias Biológicas, Universidad Pedagógica y Tecnológica de Colombia, UPTC, Avenida Central del Norte 39-115, Boyacá, Tunja, Colombia; Freshwater Centre, Finnish Environment Institute, Paavo Havaksen Tie 3, Oulu, 90570, Finland; Department of Ecology, UNESP - São Paulo State University, 1515 24A Avenue, SP, Rio Claro, 13506-900, Brazil; Forest Hydrology Laboratory (LHF), “Luiz de Queiroz” College of Agriculture, University of São Paulo, SP, Piracicaba, 13418-900, Brazil; Ecology Department, Biological Sciences Institute, Federal University of Goiás, CP 131, Goiás, Goiânia, 74001-970, Brazil</t>
  </si>
  <si>
    <t>Roa-Fuentes, C.A., Department of Zoology and Botany, UNESP - São Paulo State University, 2265 Cristóvão Colombo Street, SP, São José do Rio Preto, 15054-000, Brazil, Escuela de Ciencias Biológicas, Universidad Pedagógica y Tecnológica de Colombia, UPTC, Avenida Central del Norte 39-115, Boyacá, Tunja, Colombia; Heino, J., Freshwater Centre, Finnish Environment Institute, Paavo Havaksen Tie 3, Oulu, 90570, Finland; Zeni, J.O., Department of Zoology and Botany, UNESP - São Paulo State University, 2265 Cristóvão Colombo Street, SP, São José do Rio Preto, 15054-000, Brazil, Department of Ecology, UNESP - São Paulo State University, 1515 24A Avenue, SP, Rio Claro, 13506-900, Brazil; Ferraz, S., Forest Hydrology Laboratory (LHF), “Luiz de Queiroz” College of Agriculture, University of São Paulo, SP, Piracicaba, 13418-900, Brazil; Cianciaruso, M.V., Ecology Department, Biological Sciences Institute, Federal University of Goiás, CP 131, Goiás, Goiânia, 74001-970, Brazil; Casatti, L., Department of Zoology and Botany, UNESP - São Paulo State University, 2265 Cristóvão Colombo Street, SP, São José do Rio Preto, 15054-000, Brazil</t>
  </si>
  <si>
    <t>Few studies have considered the effects of environmental variables at different spatial scales on Neotropical stream biodiversity. Furthermore, scale-related studies mostly include only one facet of biodiversity. To determine the contribution of local and landscape variables to the variation in the taxonomic, functional and phylogenetic α-diversity of stream fish assemblages, we sampled 85 streams in the Upper Paraná River basin, Brazil. Local variables explained a substantial fraction of the variance in almost all biodiversity facets. Landscape variables (i.e., land-use and spatial variables) contributed little to the variation in the α-component of biodiversity. Our results thus highlight the importance of local features for maintaining stream fish biodiversity in agroecosystems. Probably, land-use were not significant because the study area was in a relatively homogeneous landscape severely impacted by anthropogenic activities. It is possible that insignificant effects of spatial structuring occurred because the ichthyofauna has already gone through a homogenization process and/or due to the spatial scale of our study. We suggest that even though local-scale restoration actions would influence biodiversity, we should not neglect landscape restoration because substantial improvements in the ecological integrity of streams are more likely to be accomplished with large-scale actions (e.g., re-establishment of the native riparian forest). © 2020, Springer Nature Switzerland AG.</t>
  </si>
  <si>
    <t>Functional diversity; Pasture; Phylogenetic diversity; Stream restoration; Sugarcane; Taxonomic diversity</t>
  </si>
  <si>
    <t>agricultural ecosystem; biodiversity; community structure; human activity; ichthyofauna; landscape structure; Neotropical Region; pasture; phylogenetics; restoration ecology; stream; sugar cane</t>
  </si>
  <si>
    <t>SGI-2908; The World Academy of Sciences, TWAS; Universidad Pedagógica y Tecnológica de Colombia, UPTC; Fundação de Amparo à Pesquisa do Estado de São Paulo, FAPESP: 2012/05983-0; The World Academy of Sciences, TWAS; Conselho Nacional de Desenvolvimento Científico e Tecnológico, CNPq: 190199/2011-3, 2018/06033-1, 301877/2017-3, 307796/2015-9</t>
  </si>
  <si>
    <t>We thank our colleagues from the Ichthyology Laboratory for their help during laboratory and fieldwork; UNESP campus São José do Rio Preto (IBILCE) and Finnish Environment Institute for facilities; ICMBio for the collecting license (SISBIO 5580-1/11435); landowners for permission to conduct research on their properties; Frederico T. S. Miranda and Márcia S. Morinaga for their help with land-use data; Francisco Langeani and Fernando R. Carvalho for their help with fish identification. We also appreciate the critical reading and suggestions from the two anonymous reviewers. This study received financial support from Fundação de Amparo à Pesquisa do Estado de São Paulo – FAPESP (2012/05983-0). CARF received a scholarship from The World Academy of Sciences and Conselho Nacional de Desenvolvimento Científico e Tecnológico (TWAS–CNPq Postgraduate Fellowship Program 190199/2011-3); JOZ is financially supported by FAPESP (2018/06033-1); LC and MVC are financially supported by CNPq (301877/2017-3 and 307796/2015-9, respectively); CARF receives research support from Universidad Pedagógica y Tecnológica de Colombia, UPTC (Research call: VIE 07-2020; Research project code: SGI-2908).</t>
  </si>
  <si>
    <t>Alexander, G.G., Allan, J.D., Ecological success in stream restoration: case studies from the Midwestern United States (2007) Environmental Management, 40, pp. 245-255. , PID: 17557171; Allan, J.D., Landscapes and riverscapes: the influence of land use on stream ecosystems (2004) Annual Review of Ecology, Evolution, and Systematics, 35, pp. 257-284; Allan, J.D., Erickson, D.L., Fay, J., The influence of catchment land use on stream integrity across multiple spatial scales (1997) Freshwater Biology, 37, pp. 149-161; Allen, T.H.F., Starr, T.B., (1982) Hierarchy: Perspectives for Ecological Complexity, , Chicago University Press, Chicago, IL; Altermatt, F., Diversity in riverine metacommunities: a network perspective (2013) Aquatic Ecology, 47, pp. 365-377; Angermeier, P.L., Karr, J.R., Fish communities along environmental gradients in a system of tropical streams (1983) Environmental Biology of Fishes, 9, pp. 117-135; Angermeier, P.L., Winston, M.R., Local vs. regional influences on local diversity in stream fish communities of Virginia (1998) Ecology, 79, pp. 911-927; Aquino, P.P.U., Colli, R.G., Headwater captures and the phylogenetic structure of freshwater fish assemblages: a case study in central Brazil (2017) Journal of Biogeography, 44, pp. 207-216; Balmford, A., Extinction filters and current resilience: the significance of past selection pressures for conservation biology (1996) Trends in Ecology &amp; Evolution, 11, pp. 193-196. , COI: 1:STN:280:DC%2BC3M7itFCgsw%3D%3D; Balmford, A., Bond, W., Trends in the state of nature and their implications for human well-being (2005) Ecology Letters, 8, pp. 1218-1234. , PID: 21352446; Barbosa, H.D.O., Borges, P.P., Dala-Corte, R.B., Martins, P.T.D.A., Teresa, F.B., Relative importance of local and landscape variables on fish assemblages in streams of Brazilian savanna (2019) Fisheries Management and Ecology, 26, pp. 119-130; Bengtsson, J., Applied (meta)community ecology: diversity and ecosystem services at the intersection of local and regional processes (2010) Community ecology, pp. 115-130. , Verhoef HA, Morin PJ, (eds), Oxford University Press, Oxford; Benone, N.L.C.G., Leal, L.L., de Santos, T.P., Mendes, J., Heinomontag, L.F.A., Unravelling patterns of taxonomic and functional diversity of Amazon stream fish. Aquatic Sciences 82 (2020) Article Number, p. 75; Betancur, R., Broughton, R.E., Carpenter, E.O.W., López, J.A., Li, C., Holcroft, N.I., Arcila, D., Sanciangco, M.J.C., The Tree of Life and a New Classification of Bony Fishes. PLOS Currents Tree of Life. Apr 18 (2013) Edition, p. 1; Beyer, H.L., (2004) Hawth’s Analysis Tools for Arcgis, , http://www.spatialecology.com/htools; Blanchet, F.G., Legendre, P., Borcard, D., Forward selection of explanatory variables (2008) Ecology, 89, pp. 2623-2632. , PID: 18831183; Borcard, D., Gillet, F., Legendre, P., (2011) Numerical Ecology with R, , Springer, New York; Bordignon, C.R., Casatti, L., Pérez-Mayorga, M.A., Teresa, F.B., Brejão, G.L., Fish complementarity is associated to forests in Amazonian streams (2015) Neotropical Ichthyology, 13, pp. 579-590; Boswell, M.G., Wells, M.C., Kirk, L.M., Ju, Z., Zhang, Z., Booth, R.E., Walter, R.B., Comparison of gene expression responses to hypoxia in viviparous (Xiphophorus) and oviparous (Oryzias) fishes using a medaka microarray (2009) Comparative Biochemistry and Physiology, Part C, 149, pp. 258-265; Brown, B.L., Swan, C.M., Dendritic network structure constrains metacommunity properties in riverine ecosystems (2010) Journal of Animal Ecology, 79, pp. 571-580. , COI: 1:STN:280:DC%2BC3c3nvVChsw%3D%3D, PID: 20180874; Carvalho, R.A., Tejerina-Garro, F.L., Environmental and spatial processes: what controls the functional structure of fish assemblages in tropical rivers and headwater streams? (2015) Ecology of Freshwater Fish, 24, pp. 317-328; Carvalho, R.A., Tejerina-Garro, F.L., The influence of environmental variables on the functional structure of headwater stream fish assemblages: a study of two tropical basins in Central Brazil (2015) Neotropical Ichthyology, 13, pp. 349-360; Casatti, L., Castro, R.M.C., Testing the ecomorphological hypothesis in a headwater riffles fish assemblage of the rio São Francisco, southeastern Brazil (2006) Neotropical Ichthyology, 4, pp. 203-214; Casatti, L., Ferreira, C.P., Carvalho, F.R., Grass-dominated stream sites exhibit low fish species diversity and dominance by guppies: an assessment of two tropical pasture river basins (2009) Hydrobiologia, 632, pp. 273-283; Casatti, L., Teresa, F.B., Gonçalves-Souza, T., Bessa, E., Manzotti, A.R., Gonçalves, C.S., Zeni, J.O., From forests to cattail: how does the riparian zone influence stream fish? (2012) Neotropical Ichthyology, 10, pp. 205-214; Casatti, L., Teresa, F.B., Zeni, J.O., Ribeiro, M.D., Brejão, G.L., Ceneviva-Bastos, M., More of the same: high functional redundancy in stream fish assemblages from tropical agroecosystems (2015) Environmental Management, 55, pp. 1300-1314. , PID: 25822887; Chapman, L.J., Kaufman, L.S., Chapman, C.A., McKenzie, F.E., Hypoxia tolerance in twelve species of east African cichlids: potential for low oxygen refugia in Lake Victoria (1995) Conservation Biology, 9, pp. 1274-1287. , PID: 34261244; Chase, J.M., Community assembly: when should history matter? (2003) Oecologia, 136, pp. 489-498. , PID: 12836009; Chen, W.J., Lavoué, S., Mayden, R.L., Evolutionary origin and early biogeography of otophysan fishes (Ostariophysi: Teleostei) (2013) Evolution, 67, pp. 2218-2239. , PID: 23888847; Cianfrani, C.M., Sullivan, S.M., Hession, W.C., Watzin, M.C., A multitaxonomic approach to understanding local- versus watershed-scale influences on stream biota in the Lake Champlain basin, Vermont, USA (2012) River Research and Applications, 28, pp. 973-988; Connormccoy, E.F.E.D., Species area relationships (2001) Encyclopedia of Biodiversity, Vol. 5. Academic Press, San. Diego, pp. 397-411; Cruz, B.B., Miranda, L.E., Cetra, M., Links between riparian landcover, instream environment and fish assemblages in headwater (2013) Ecology of Freshwater Fish, 22, pp. 607-616; Dala-Corte, R.B., Giam, X., Olden, J.D., Becker, F.G., Guimarães, T.F., Melo, A.S., Revealing the pathways by which agricultural land-use affects stream fish communities in South Brazilian grasslands (2016) Freshwater Biology, 61, pp. 1921-1934; Devictor, V., Julliard, R., Jiguet, F., Distribution of specialist and generalist species along spatial gradients of habitat disturbance and fragmentation (2008) Oikos, 117, pp. 507-514; Diana, M., Allan, J.D., Infante, D., The influence of physical habitat and land use on stream fish assemblages in Southeastern Michigan (2006) American Fisheries Society Symposium, 48, pp. 359-374; Díaz, S., Lavorel, S., de Bello, F., Quétier, F., Grigulis, K., Robson, T.M., Incorporating plant functional diversity effects in ecosystem service assessments (2007) Proceedings of the National Academy of Sciences of the United States of America, 104, pp. 20684-20689. , PID: 18093933; Dormann, C.F., Elith, J., Bacher, S., Buchmann, C., Carl, G., Carré, G., Marquéz, J.R.G., Lautenbach, S., Collinearity: a review of methods to deal with it and a simulation study evaluating their performance (2013) Ecography, 36, pp. 27-46; Dray, S., Dufour, A.B., The ade4 package: implementing the duality diagram for ecologists (2007) Journal of Statistical Software, 22, pp. 1-20; Faith, D.P., Threatened species and the potential loss of phylogenetic diversity: conservation scenarios based on estimated extinction probabilities and phylogenetic risk analysis (2008) Conservation Biology, 22, pp. 1461-1470. , PID: 18798854; Feld, C.K., Response of three lotic assemblages to riparian and catchment-scale land use: implications for designing catchment monitoring programmes (2013) Freshwater Biology, 58, pp. 715-729; Fitzpatrick, F.A., Scudder, B.C., Lenz, B.N., Sullivan, D.J., Effects of multi-scale environmental characteristics on agricultural stream biota in Eastern Wisconsin (2001) Journal of the American Water Resources Association, 37, pp. 1489-1507; Forest, F., Grenyer, R., Rouget, M., Davies, T.J., Cowling, R.M., Faith, D.P., Balmford, A., Savolainen, V., Preserving the evolutionary potential of floras in biodiversity hotspots (2007) Nature, 445, pp. 757-760. , COI: 1:CAS:528:DC%2BD2sXhslSqs7s%3D, PID: 17301791; Frissell, C.A., Liss, W.J., Wareen, C.E., Hurley, M.D., A hierarchical framework for stream habitat classification: viewing streams in a watershed context (1986) Environmental Management, 10, pp. 199-214; García-Girón, J., Heino, J., García-Criado, F., Fernández-Aláez, C., Alahuhta, J., Biotic interactions hold the key to understanding metacommunity organization (2020) Ecography; Geheber, A.D., Geheber, P.K., The effect of spatial scale on relative influences of assembly processes in temperate stream fish assemblages (2016) Ecology, 97, pp. 2691-2704. , PID: 27859111; Genner, M.J., Seehausen, O., Lunt, D.H., Joyce, D.A., Shaw, P.W., Carvalho, G.R., Turner, G.F., Age of cichlids: new dates for ancient lake fish radiations (2007) Molecular Biology and Evolution, 24, pp. 1269-1282. , COI: 1:CAS:528:DC%2BD2sXmtVOisLs%3D, PID: 17369195; Gerhard, P., Verdade, L.M., Stream fish diversity in an agricultural landscape of Southeastern Brazil (2016) Biodiversity in Agricultural Landscapes of Southeastern Brazil, pp. 206-224. , Gheler-Costa C, Lyra-Jorge MC, Verdade LM, (eds), De Gruyter Open, Berlin; Géry, J., The fresh-water fishes of South America (1969) Biogeography and Ecology in South America, pp. 828-848. , Fitkau EJ, (ed), Dr. W. Junk, The Hague; Goldenberg Vilar, A., van Dam, H., van Loon, E.E., Vonk, J.A., van Der Geest, H., Admiraal, W., Eutrophication decreases distance decay of similarity in diatom communities (2014) Freshwater Biology, 59, pp. 1522-1531; Gotelli, N., Entsminger, G., Swap algorithms in null model analysis (2003) Ecology, 84, pp. 532-535; Graham, J.B., (1997) Air-Breathing Fishes, , Academic Press, San Diego; Gustafson, E.J., Quantifying landscape spatial pattern: what is the state of the art? (1998) Ecosystems, 1, pp. 143-156; Harding, J.S., Benfield, E.F., Bolstad, P.V., Helfman, G.S., Jones, E.B.D., III, Stream biodiversity: The ghost of land use past (1998) Proceedings of the National Academy of Sciences of the United States of America, 95, pp. 14843-14847. , COI: 1:CAS:528:DyaK1cXotVGmur0%3D, PID: 9843977; Heino, J., The importance of metacommunity ecology for environmental assessment research in the freshwater realm (2013) Biological Reviews, 88, pp. 166-178. , PID: 22937892; Heino, J., Mykrä, H., Control of stream insect assemblages: roles of spatial configuration and local environmental factors (2008) Ecological Entomology, 33, pp. 614-622; Heino, J., Mykrä, H., Kotanen, J., Muotka, T., Ecological filters and variability in stream macroinvertebrate communities: do taxonomic and functional structure follow the same path? (2007) Ecography, 30, pp. 217-230; Heino, J., Mykrä, H., Kotanen, J., Weak relationships between landscape characteristics and multiple facets of stream macroinvertebrate biodiversity in a boreal drainage basin (2008) Landscape Ecology, 23, pp. 417-426; Heino, J., Melo, A.S., Bini, L.M., Reconceptualising the beta diversity-environmental heterogeneity relationship in running water systems (2015) Freshwater Biology, 60, pp. 223-235; Heino, J., Melo, A.S., Siqueira, T., Soininen, J., Valanko, S., Bini, L.M., Metacommunity organisation, spatial extent and dispersal in aquatic systems: patterns, processes and prospects (2015) Freshwater Biology, 60, pp. 845-869; Heino, J., Alahuhta, J., Ala-Hulkko, T., Antikainen, H., Bini, L.M., Bonada, N., Datry, T., Soininen, J., Integrating dispersal proxies in ecological and environmental research in the freshwater realm (2017) Environmental Reviews, 25, pp. 334-349; Hoeinghaus, D.J., Winemiller, K.O., Birnbaum, J.S., Local and regional determinants of stream fish assemblage structure: inferences based on taxonomic vs. functional groups (2007) Journal of Biogeography, 34, pp. 324-338; Hynes, H.B.N., The stream and its valley (1975) Verhandlungen der Internationalen Vereinigung für Theoretische und Angewandte Limnologie, 19, pp. 1-15; (1999) Diagnóstico Da situação Atual Dos Recursos hídricos E Estabelecimento De Diretrizes técnicas Para a elaboração Do Plano Da Bacia Hidrográfica Do São José Dos Dourados—minuta; Johnson, R.K., Furse, M.T., Hering, D., Sandin, L., Ecological relationships between stream communities and spatial scale: implications for designing catchment-level monitoring programmes (2007) Freshwater Biology, 52, pp. 939-958; Kembel, S.W., Cowan, P.D., Helmus, M.R., Cornwell, W.K., Morlon, H., Ackerly, D.D., Blomberg, S.P., Webb, C.O., Picante: R tools for integrating phylogenies and ecology (2010) Bioinformatics, 26, pp. 1463-1464. , COI: 1:CAS:528:DC%2BC3cXmsVGnsbw%3D, PID: 20395285; Lake, P.S., Bond, N., Reich, P., Linking ecological theory with stream restoration (2007) Freshwater Biology, 52, pp. 597-615; Lammert, M., Allan, J.D., Assessing biotic integrity of streams: effects of scale in measuring the influence of land use/cover and habitat structure on fish and macroinvertebrates (1999) Environmental Management, 23, pp. 257-270. , COI: 1:STN:280:DC%2BC2sjot1eitw%3D%3D, PID: 9852191; Lê, S., Josse, J., Husson, F., FactoMineR: an R package for multivariate analysis (2008) Journal of Statistical Software, 25, pp. 1-18; Legendre, P., Legendre, L.F.J., (2012) Numerical Ecology, , 3, Elsevier, Amsterdam; Legendre, P.D., Borcardblanchet, F.G., PCNM: MEM spatial eigenfunction and principal coordinate analyses (2013) R Package Version 2.1-2/R109, , http://R-Forge.R-project.org/projects/sedar/; Leitão, R.P., Zuanon, J., Mouillot, D., Leal, C.G., Hughes, R.M., Kaufmann, P.R., Villéger, S., Gardner, T.A., Disentangling the pathways of land use impacts on the functional structure of fish assemblages in Amazon streams (2018) Ecography, 41, pp. 219-232. , PID: 29910537; Li, Z., Wang, J., Liu, Z., Meng, X., Heino, J., Jiang, X., Xiong, X., Xie, Z., Different responses of taxonomic and functional structures of stream macroinvertebrate communities to local stressors and regional factors in a subtropical biodiversity hotspot (2019) Science of the Total Environment, 655, pp. 1288-1300. , COI: 1:CAS:528:DC%2BC1cXitlyhs7zM, PID: 30577121; Li, Z., Liu, Z., Heino, J., Jiang, X., Wang, J., Tang, T., Xie, Z., Discriminating the effects of local stressors from climatic factors and dispersal processes on multiple biodiversity dimensions of macroinvertebrate communities across subtropical drainage basins (2020) Science of the Total Environment, 711, p. 134750. , COI: 1:CAS:528:DC%2BC1MXitlWitLnN, PID: 31810670; Luck, G.W., Carter, A., Smallbone, L., Changes in bird functional diversity across multiple land uses: interpretations of functional redundancy depend on functional group identity (2013) PLOS ONE, 8. , COI: 1:CAS:528:DC%2BC3sXoslantr8%3D, PID: 23696844; Lyashevska, O., Farnsworth, K.D., How many dimensions of biodiversity do we need? (2012) Ecological Indicators, 18, pp. 485-492; Maddisonmaddison, W.P.D.R., Mesquite: A modular system for evolutionary analysis (2011) Version, 2, p. 75. , http://mesquiteproject.org; Mariguela, T.C., Alexandrou, M.A., Foresti, F., Oliveira, C., Historical biogeography and cryptic diversity in the Callichthyinae (Siluriformes, Callichthyidae) (2013) Journal of Zoological Systematics and Evolutionary Research, 51, pp. 308-315; McKinney, M.L., Lockwood, J.L., Biotic homogenization: a few winners replacing many losers in the next mass extinction (1999) Trends in Ecology &amp; Evolution, 14, pp. 450-453. , COI: 1:STN:280:DC%2BC2sbgvFGktw%3D%3D; Menezes, S., Baird, D.J., Soares, A.M.V.M., Beyond taxonomy: a review of macroinvertebrate trait-based community descriptors as tools for freshwater biomonitoring (2010) Journal of Applied Ecology, 47, pp. 711-719; Montoya-Burgos, J.I., Historical biogeography of the catfish genus Hypostomus (Siluriformes: Loricariidae), with implications on the diversification of Neotropical ichthyofauna (2003) Molecular Ecology, 12, pp. 1855-1867. , COI: 1:STN:280:DC%2BD3s3nvVartg%3D%3D, PID: 12803637; Mykrä, H., Heino, J., Muotka, T., Scale-related patterns in the spatial and environmental components of stream macroinvertebrate assemblage variation (2007) Global Ecology and Biogeography, 16, pp. 149-159; Nalon, M.A.I.S.A., Mattofranco, G.A.D.C., Meio físico e aspectos da vegetação (2008) Diretrizes Para conservação E restauração Da Biodiversidade No Estado De São Paulo., pp. 12-21. , In Rodrigues, R. R. &amp; V. L. R. Bononi (orgs); Nathans, L.L., Oswald, F.L., Nimon, K., Interpreting multiple linear regression: A guidebook of variable importance (2012) Practical Assessment, Research &amp; Evaluation, 17, pp. 1-19; Near, T.J., Eytan, R.I., Dornburg, A., Kuhn, K.L., Moore, J.A., Davis, M.P., Wainwright, P.C., Smith, W.L., Resolution of ray-finned fish phylogeny and timing of diversification (2012) Proceedings of the National Academy of Sciences, 109, pp. 13698-13703. , COI: 1:CAS:528:DC%2BC38XhsValu7fN; Nimon, K., Lewis, M., Kane, R., Haynes, R.M., An R package to compute commonality coefficients in multiple regression case: an introduction to the package and a practical example (2008) Behavior Research Methods, 40, pp. 457-466. , PID: 18522056; Oksanen, J.F.G., Blanchet, M., Friendly, R., Kindt, P., Legendre, D., McGlinn, P.R., Minchin, R.B., Szoecswagner, H., Vegan: Community ecology package (2015) R Package Version, 2, p. 10; Osborne, L.L., Kovacic, D.A., Riparian vegetated buffer strips in water-quality restoration and stream management (1993) Freshwater Biology, 29, pp. 243-258; Palmer, M.A., Menninger, H.L., Bernhard, E., River restoration, habitat heterogeneity and biodiversity: a failure of theory or practice? (2010) Freshwater Biology, 55, pp. 205-222; Paula, F.R., Gerhard, P., Wenger, S.J., Ferreira, A., Vettorazzi, C.A., Ferraz, S.F.B., Influence of forest cover on in-stream large wood in an agricultural landscape of southeastern Brazil: a multi-scale analysis (2013) Landscape Ecology, 28, pp. 13-27; Pavoine, S., Vallet, J., Dufour, A.B., Gachet, S., Daniel, H., On the challenge of treating various types of variables: application for improving the measurement of functional diversity (2009) Oikos, 118, pp. 391-402; Petchey, O.L., Gaston, K.J., Functional diversity (FD), species richness and community composition (2002) Ecology Letters, 5, pp. 402-411; Prunier, J.G., Colyn, M., Legendre, X., Nimon, K.F., Flamand, M.C., Multicollinearity in spatial genetics: separating the wheat from the chaff using commonality analyses (2015) Molecular Ecology, 24, pp. 263-283. , COI: 1:STN:280:DC%2BC2MzntFajtw%3D%3D, PID: 25495950; Pusey, B.J., Arthington, A.H., Importance of the riparian zone to the conservation and management of freshwater fish: a review (2003) Marine and Freshwater Research, 54, pp. 1-16; R: A language and environment for statistical computing (2020) R Foundation for Statistical Computing, Vienna, Austria, , http://www.R-project.org/, URL; Rahel, F.J., Homogenization of freshwater faunas (2002) Annual Review of Ecology, Evolution, and Systematics, 33, pp. 291-315; Ray-Mukherjee, J., Nimon, K., Mukherjee, S., Morris, D.W., Slotow, R., Hamer, M., Using commonality analysis in multiple regressions: a tool to decompose regression effects in the face of multicollinearity (2014) Methods in Ecology and Evolution, 5, pp. 320-328; Ribeiro, M.D., Teresa, F.B., Casatti, L., Use of functional traits to assess changes in stream fish assemblages across a habitat gradient (2016) Neotropical Ichthyology, 14; Roa-Fuentes, C.A., Casatti, L., Influence of environmental features at multiple scales and spatial structure on stream fish communities in a tropical agricultural region (2017) Journal of Freshwater Ecology, 32, pp. 281-295; Roa-Fuentes, C.A., Casatti, L., Romero, R.M., Phylogenetic signal and major ecological shifts in the ecomorphological structure of stream fish in two river basins in Brazil (2015) Neotropical Ichthyology, 13, pp. 165-178; Roa-Fuentes, C.A., Heino, J., Cianciaruso, M.V., Ferraz, S., Zeni, J.O., Casatti, L., Taxonomic, phylogenetic and functional β-diversity patterns of stream fish in tropical agroecosystems (2019) Freshwater Biology, 64, pp. 447-460; Roa-Fuentes, C.A.L., Casattizeni, J.O., Local and landscape environmental variables from 86 Neotropical streams, Upper Paraná River basin, Brazil (Version 1.0.0) [Data set] (2020) Zenodo, , http://doi.org/10.5281/zenodo.3976342; Roth, N.E., Allan, J.D., Erickson, D.L., Landscape influences on stream biotic integrity assessed at multiple spatial scales (1996) Landscape Ecology, 11, pp. 141-156; Rudorff, B.F.T., Aguiar, D.A., Silva, W.F., Sugawara, L.M., Adami, M., Moreira, M.A., Studies on the rapid expansion of sugarcane for ethanol production in São Paulo State (Brazil) using landsat data (2010) Remote Sensing, 2, pp. 1057-1076; Safi, K., Cianciaruso, M.V., Loyola, R.D., Brito, D., Armour-Marshall, K., Diniz-Filho, J.A.F., Understanding global patterns of mammalian functional and phylogenetic diversity (2011) Philosophical Transactions of the Royal Society B: Biological Sciences, 366, pp. 2536-2544; Saito, V.S., Siqueira, T., Fonseca-Gessner, A.A., Should phylogenetic and functional diversity metrics compose macroinvertebrate multimetric indices for stream biomonitoring? (2015) Hydrobiologia, 745, pp. 167-179; Saito, V.S., Soininen, J., Fonseca-Gessner, A.A., Siqueira, T., Dispersal traits drive the phylogenetic distance decay of similarity in Neotropical stream metacommunities (2015) Journal of Biogeography, 42, pp. 2101-2111; Santos, F.B., Ferreira, F.C., Esteves, K.E., Assessing the importance of the riparian zone for stream fish communities in a sugarcane dominated landscape (Piracicaba River Basin, Southeast Brazil) (2015) Environmental Biology of Fishes, 98, pp. 1895-1912; Scarabotti, P.A., López, J.A., Ghirardi, R., Parma, M.J., Morphological plasticity associated with environmental hypoxia in characiform fishes from Neotropical floodplain lakes (2011) Environmental Biology of Fishes, 92, pp. 391-402; Schlosser, I.J., Fish community structure and function along two habitat gradients in a headwater stream (1982) Ecological Monographs, 52, pp. 395-414; Sheldon, A.L., Species diversity and longitudinal succession in stream fishes (1968) Ecology, 49, pp. 193-198; Sheldon, F., Peterson, E.E., Boone, E.L., Sippel, S., Bunn, S.E., Harch, B.D., Identifying the spatial scale of land use that most strongly influences overall river ecosystem health score (2012) Ecological Applications, 22, pp. 2188-2203. , PID: 23387119; Silva, A.M., Casatti, L., Álvares, C.A., Leite, A.M., Martinelli, L.A., Durrant, S.F., Soil loss risk and habitat quality in streams of a mesoscale river basin (2007) Scientia Agricola, 64, pp. 336-343; Strayer, R., Beighley, E., Thompson, L.C., Brooks, S., Nilsson, C., Pinay, G., Naiman, R.J., Effects of land cover on stream ecosystems: roles of empirical models and scaling issues (2003) Ecosystems, 6, pp. 407-423; Sullivan, J.P., Muriel-Cunha, J., Lundberg, J.G., Phylogenetic relationships and molecular dating of the major groups of catfishes of the Neotropical superfamily Pimelodoidea (Teleostei, Siluriformes) (2013) Proceedings of the Academy of Natural Sciences of Philadelphia, 162, pp. 89-110; Surasinghe, T., Baldwin, R.F., Ghost of land-use past in the context of current land cover: evidence from salamander communities in streams of Blue Ridge and Piedmont ecoregions (2014) Canadian Journal of Zoology, 92, pp. 527-536; Swenson, N.G., (2014) Functional and Phylogenetic Ecology in R. Springer User! Series, , Springer, New York; Teresa, F.B., Casatti, L., Influence of forest cover and mesohabitat types on functional and taxonomic diversity of fish communities in Neotropical lowland streams (2012) Ecology of Freshwater Fish, 21, pp. 433-442; Tilman, D., Functional diversity (2001) Encyclopedia of Biodiversity, 3, pp. 109-120. , Academic Press, San Diego; Tucker, C.M., Cadotte, M.W., Carvalho, S.B., Davies, T.J., Ferrier, S., Fritz, S.A., Grenyer, R., Mazel, F., A guide to phylogenetic metrics for conservation, community ecology and macroecology (2016) Biological Reviews, 92, pp. 698-715. , PID: 26785932; Victor, M.A.M., Cavalli, A.C., Guillaumon, J.R., Filho, R.S., (2005) Cem anos de devastação - Revisitada 30 anos depois, , Ministério do Meio Ambiente, Brasília; Wahl, C.M., Neils, A., Hooper, D., Impacts of land use at the catchment scale constrain the habitat benefits of stream riparian buffers (2013) Freshwater Biology, 58, pp. 2310-2324. , COI: 1:CAS:528:DC%2BC3sXhsF2gs7bE; Wang, L., Lyons, J., Rasmussen, P., Seelbach, P., Simon, T., Wiley, M., Kanehl, P., Stewart, P.M., Watershed, reach, and riparian influences on stream fish assemblages in the Northern lakes and forest ecoregion, U.S.A (2003) Canadian Journal of Fisheries and Aquatic Sciences, 60, pp. 491-505; Warton, D.I., Hui, F.K.C., The arcsine is asinine: the analysis of proportions in ecology (2011) Ecology, 92, pp. 3-10. , PID: 21560670; Webb, C.O., Exploring the phylogenetic structure of ecological communities: an example for rain forest trees (2000) The American Naturalist, 156, pp. 145-155. , PID: 10856198; Webb, C.O., Ackerly, D.D., McPeek, M.A., Donoghue, M.J., Phylogenies and community ecology (2002) Annual Review of Ecology, Evolution, and Systematics, 33, pp. 475-505; Webb, C.O., Ackerly, D.D., Kembel, S., Phylocom: software for the analysis of phylogenetic community structure and character evolution (2011) User’s manual, version, 4, p. 2; Zeni, J.O., Casatti, L., The influence of habitat homogenization on the trophic structure of fish fauna in tropical streams (2014) Hydrobiologia, 726, pp. 259-270; Zeni, J.O., Hoeinghaus, D.J., Casatti, L., Effects of pasture conversion to sugarcane for biofuels production on stream fish assemblages in tropical agroecosystems (2017) Freshwater Biology, 62, pp. 2026-2038. , COI: 1:CAS:528:DC%2BC2sXhvVSktrzI; Zeni, J.O., Pérez-Mayorga, M.A., Roa-Fuentes, C.A., Brejão, G.L., Casatti, L., How deforestation drives stream habitat changes and the functional structure of fish assemblages in different tropical regions (2019) Aquatic Conservation: Marine and Freshwater Ecosystems, 29, pp. 1238-1252</t>
  </si>
  <si>
    <t>Roa-Fuentes, C.A.; Department of Zoology and Botany, 2265 Cristóvão Colombo Street, SP, Brazil; email: camilo.roa@gmail.com</t>
  </si>
  <si>
    <t>HYDRB</t>
  </si>
  <si>
    <t>2-s2.0-85090470127</t>
  </si>
  <si>
    <t>Revista Cubana de Medicina Militar</t>
  </si>
  <si>
    <t>Editorial Ciencias Medicas</t>
  </si>
  <si>
    <t>Rev. Cuba. Med. Mil.</t>
  </si>
  <si>
    <t>Rivera-Niquepa J.D., Rojas-Lozano D., De Oliveira-De Jesus P.M., Yusta J.M.</t>
  </si>
  <si>
    <t>57215496979;57217068709;8953335500;7801494757;</t>
  </si>
  <si>
    <t>Decomposition Analysis of the Aggregate Carbon Intensity (ACI) of the Power Sector in Colombia—A Multi-Temporal Analysis</t>
  </si>
  <si>
    <t>https://www.scopus.com/inward/record.uri?eid=2-s2.0-85140832070&amp;doi=10.3390%2fsu142013634&amp;partnerID=40&amp;md5=36e04ae5b7bcde07f898b48eb96a06e2</t>
  </si>
  <si>
    <t>Department of Electrical and Electronic Engineering, Los Andes University, Bogotá, 111711, Colombia; Department of Electromechanical Engineering, Universidad Pedagógica y Tecnológica de Colombia, Duitama, 150461, Colombia; Department of Electrical Engineering, University of Zaragoza, Zaragoza, 50009, Spain</t>
  </si>
  <si>
    <t>Rivera-Niquepa, J.D., Department of Electrical and Electronic Engineering, Los Andes University, Bogotá, 111711, Colombia, Department of Electromechanical Engineering, Universidad Pedagógica y Tecnológica de Colombia, Duitama, 150461, Colombia; Rojas-Lozano, D., Department of Electrical and Electronic Engineering, Los Andes University, Bogotá, 111711, Colombia; De Oliveira-De Jesus, P.M., Department of Electrical and Electronic Engineering, Los Andes University, Bogotá, 111711, Colombia; Yusta, J.M., Department of Electrical Engineering, University of Zaragoza, Zaragoza, 50009, Spain</t>
  </si>
  <si>
    <t>This paper presents the application of the Logarithmic Mean Divisia Index Decomposition Analysis (LMDI) to the aggregate carbon intensity (ACI) of the power sector in Colombia in the period 1990–2020, with the aim of identifying the main drivers influencing the ACI change. The analysis performed identifies the main drivers among: carbon intensity, generation efficiency, and contribution of fossil generation at the specific and total level of electricity production. The analysis is performed at the aggregate and disaggregated level of fossil fuels. Due to the highly variable behavior of the ACI, a multi-temporal decomposition is performed in the eight presidential administrations in the period of analysis. For each period, the main drivers are identified and the energy policy implications and their effects on the operation and management of the power sector are analyzed. The results show that the main driver is the fossil share of total energy production. Important effects on thermal generation efficiency and fossil energy mix were also identified in some analysis periods. The need for effective long-term policies and regulation in relation to the factors influencing the ACI was identified. It is recommended to accelerate the diversification of the energy mix of the power sector and the permanent monitoring of the behavior of the drivers. © 2022 by the authors.</t>
  </si>
  <si>
    <t>carbon; decomposition analysis; energy policy; fossil fuel; long-term change; power generation; Colombia</t>
  </si>
  <si>
    <t>Kementerian Sains, Teknologi dan Inovasi, MOSTI</t>
  </si>
  <si>
    <t>Chow, W., Dawson, R., Glavovic, B., Haasnoot, M., Pelling, M., Solecki, W., (2022) IPCC Sixth Assessment Report (AR6): Climate Change 2022-Impacts, Adaptation and Vulnerability: Factsheet Human Settlements, , https://www.ipcc.ch/report/ar6/wg2/, Available online; Eckstein, D., Künzel, V., Schäfer, L., (2021) Global Climate Risk Index 2021, pp. 2000-2019. , Germanwatch, Bonn, Germany; Howland, F., Le Coq, J.F., Disaster risk management, or adaptation to climate change? The elaboration of climate policies related to agriculture in Colombia (2022) Geoforum, 131, pp. 163-172; Caceres, A.L., Jaramillo, P., Matthews, H.S., Samaras, C., Nijssen, B., Hydropower under climate uncertainty: Characterizing the usable capacity of Brazilian, Colombian and Peruvian power plants under climate scenarios (2021) Energy Sustain. Dev, 61, pp. 217-229; Pineda, A.A.L., Rojas, O.A.V., Jonathan, M., Sujitha, S., Evaluation of climate change adaptation in the energy generation sector in Colombia via a composite index—A monitoring tool for government policies and actions (2019) J. Environ. Manag, 250, p. 109453. , 31551200; (2016), https://www.minambiente.gov.co/cambio-climatico-y-gestion-del-riesgo/plan-nacional-de-adaptacion-al-cambio-climatico/, Available online; Nascimento, L., (2022) Monitoring Climate Mitigation Efforts of 60 Countries plus the EU–Covering 92% of the Global Greenhouse Gas Emissions, , https://ccpi.org/download/climate-change-performance-index-2022-2/, Available online; Ideam, P., Mads, C., Dnp, F., (2016) Inventario Nacional y Departamental de Gases Efecto Invernadero-Colombia, , Tercera Comunicación Nacional de Cambio Climático, Bogotá, DC, Colombia; Gobierno de Colombia, G., (2021) BUR3—Tercer Informe Bienal de Actualización de Cambio Climático de Colombia, , Tercera Comunicación Nacional de Cambio Climático, Bogotá, DC, Colombia; Espinasa, R., Gutiérrez, M., Sucre, C., Anaya, F., (2017) Dossier Energético: Colombia, , https://publications.iadb.org/es/publicacion/dossier-energetico-colombia, Available online; Laverde-Rojas, H., Guevara-Fletcher, D.A., Camacho-Murillo, A., Economic growth, economic complexity, and carbon dioxide emissions: The case of Colombia (2021) Heliyon, 7, p. e07188; Garces, E., Tomei, J., Franco, C.J., Dyner, I., Lessons from last mile electrification in Colombia: Examining the policy framework and outcomes for sustainability (2021) Energy Res. Soc. Sci, 79, p. 102156; Patiño, L.I., Alcántara, V., Padilla, E., Driving forces of CO2 emissions and energy intensity in Colombia (2021) Energy Policy, 151, p. 112130; Perez, A., Garcia-Rendon, J.J., Integration of non-conventional renewable energy and spot price of electricity: A counterfactual analysis for Colombia (2021) Renew. Energy, 167, pp. 146-161; Delgado, R., Wild, T.B., Arguello, R., Clarke, L., Romero, G., Options for Colombia’s mid-century deep decarbonization strategy (2020) Energy Strategy Rev, 32, p. 100525; Gutiérrez, A.S., Morejón, M.B., Eras, J.J.C., Ulloa, M.C., Martínez, F.J.R., Rueda-Bayona, J.G., Data supporting the forecast of electricity generation capacity from non-conventional renewable energy sources in Colombia (2020) Data Brief, 28, p. 104949. , 31886371; Pupo-Roncallo, O., Campillo, J., Ingham, D., Hughes, K., Pourkashanian, M., Renewable energy production and demand dataset for the energy system of Colombia (2020) Data Brief, 28, p. 105084; Arango-Aramburo, S., Turner, S.W., Daenzer, K., Ríos-Ocampo, J.P., Hejazi, M.I., Kober, T., Álvarez-Espinosa, A.C., van der Zwaan, B., Climate impacts on hydropower in Colombia: A multi-model assessment of power sector adaptation pathways (2019) Energy Policy, 128, pp. 179-188; Valderrama, M.E., Monroy, Á.I.C., Behrentz, E., Challenges in greenhouse gas mitigation in developing countries: A case study of the Colombian transport sector (2019) Energy Policy, 124, pp. 111-122; Pupo-Roncallo, O., Campillo, J., Ingham, D., Hughes, K., Pourkashanian, M., Large scale integration of renewable energy sources (RES) in the future Colombian energy system (2019) Energy, 186, p. 115805; Nieves, J., Aristizábal, A., Dyner, I., Báez, O., Ospina, D., Energy demand and greenhouse gas emissions analysis in Colombia: A LEAP model application (2019) Energy, 169, pp. 380-397; Román, R., Cansino, J.M., Rodas, J.A., Analysis of the main drivers of CO2 emissions changes in Colombia (1990–2012) and its political implications (2018) Renew. Energy, 116, pp. 402-411; Román-Collado, R., Cansino, J.M., Botia, C., How far is Colombia from decoupling? Two-level decomposition analysis of energy consumption changes (2018) Energy, 148, pp. 687-700; Martínez, C.I.P., Piña, W.H.A., Regional analysis across Colombian departments: A non-parametric study of energy use (2016) J. Clean. Prod, 115, pp. 130-138; Calderón, S., Alvarez, A.C., Loboguerrero, A.M., Arango, S., Calvin, K., Kober, T., Daenzer, K., Fisher-Vanden, K., Achieving CO2 reductions in Colombia: Effects of carbon taxes and abatement targets (2016) Energy Econ, 56, pp. 575-586; Ang, B.W., LMDI decomposition approach: A guide for implementation (2015) Energy Policy, 86, pp. 233-238; Ang, B.W., Zhang, F.Q., A survey of index decomposition analysis in energy and environmental studies (2000) Energy, 25, pp. 1149-1176; Xu, X., Ang, B.W., Index decomposition analysis applied to CO2 emission studies (2013) Ecol. Econ, 93, pp. 313-329; Staff, I.E.A., (2019) CO2 Emissions from Fuel Combustion, , https://www.iea.org/data-and-statistics/data-tools/greenhouse-gas-emissions-from-energy-data-explorer, Organization for Economic, Paris, France, Available online; Ma, L., Chong, C., Zhang, X., Liu, P., Li, W., Li, Z., Ni, W., LMDI decomposition of energy-related CO2 emissions based on energy and CO2 allocation Sankey diagrams: The method and an application to China (2018) Sustainability, 10; He, Y., Xing, Y., Zeng, X., Ji, Y., Hou, H., Zhang, Y., Zhu, Z., Factors influencing carbon emissions from China’s electricity industry: Analysis using the combination of LMDI and K-means clustering (2022) Environ. Impact Assess. Rev, 93, p. 106724; Alajmi, R.G., Factors that impact greenhouse gas emissions in Saudi Arabia: Decomposition analysis using LMDI (2021) Energy Policy, 156, p. 112454; Liu, M., Zhang, X., Zhang, M., Feng, Y., Liu, Y., Wen, J., Liu, L., Influencing factors of carbon emissions in transportation industry based on CD function and LMDI decomposition model: China as an example (2021) Environ. Impact Assess. Rev, 90, p. 106623; De Oliveira-De Jesus, P.M., Galvis, J.J., Rojas-Lozano, D., Yusta, J.M., Multitemporal LMDI index decomposition analysis to explain the changes of ACI by the power sector in Latin America and the Caribbean between 1990–2017 (2020) Energies, 13; Isik, M., Kaplan, P.O., Understanding Technology, Fuel, Market and Policy Drivers for New York State’s Power Sector Transformation (2020) Sustainability, 13; Kim, H., Kim, M., Kim, H., Park, S., Decomposition analysis of CO2 emission from electricity generation: Comparison of OECD countries before and after the financial crisis (2020) Energies, 13; De Oliveira-De Jesus, P.M., Effect of generation capacity factors on carbon emission intensity of electricity of Latin America &amp; the Caribbean, a temporal IDA-LMDI analysis (2019) Renew. Sustain. Energy Rev, 101, pp. 516-526; Liu, N., Ma, Z., Kang, J., Su, B., A multi-region multi-sector decomposition and attribution analysis of aggregate carbon intensity in China from 2000 to 2015 (2019) Energy Policy, 129, pp. 410-421; Chong, C.H., Tan, W.X., Ting, Z.J., Liu, P., Ma, L., Li, Z., Ni, W., The driving factors of energy-related CO2 emission growth in Malaysia: The LMDI decomposition method based on energy allocation analysis (2019) Renew. Sustain. Energy Rev, 115, p. 109356; Liao, C., Wang, S., Fang, J., Zheng, H., Liu, J., Zhang, Y., Driving forces of provincial-level CO2 emissions in China’s power sector based on LMDI method (2019) Energy Procedia, 158, pp. 3859-3864; Zhu, B., Su, B., Li, Y., Input-output and structural decomposition analysis of India’s carbon emissions and intensity, 2007/08–2013/14 (2018) Appl. Energy, 230, pp. 1545-1556; Mousavi, B., Lopez, N.S.A., Biona, J.B.M., Chiu, A.S., Blesl, M., Driving forces of Iran’s CO2 emissions from energy consumption: An LMDI decomposition approach (2017) Appl. Energy, 206, pp. 804-814; Chong, C., Liu, P., Ma, L., Li, Z., Ni, W., Li, X., Song, S., LMDI decomposition of energy consumption in Guangdong Province, China, based on an energy allocation diagram (2017) Energy, 133, pp. 525-544; Wang, P., Wang, C., Hu, Y., Liu, Z., Analysis of energy consumption in Hunan Province (China) using a LMDI method based LEAP model (2017) Energy Procedia, 142, pp. 3160-3169; Jiang, J., Ye, B., Xie, D., Tang, J., Provincial-level carbon emission drivers and emission reduction strategies in China: Combining multi-layer LMDI decomposition with hierarchical clustering (2017) J. Clean. Prod, 169, pp. 178-190; Jiang, X.T., Li, R., Decoupling and decomposition analysis of carbon emissions from electric output in the United States (2017) Sustainability, 9; Zhao, Y., Li, H., Zhang, Z., Zhang, Y., Wang, S., Liu, Y., Decomposition and scenario analysis of CO2 emissions in China’s power industry: Based on LMDI method (2017) Nat. Hazards, 86, pp. 645-668; Achour, H., Belloumi, M., Decomposing the influencing factors of energy consumption in Tunisian transportation sector using the LMDI method (2016) Transp. Policy, 52, pp. 64-71; Zhang, W., Li, K., Zhou, D., Zhang, W., Gao, H., Decomposition of intensity of energy-related CO2 emission in Chinese provinces using the LMDI method (2016) Energy Policy, 92, pp. 369-381; Sumabat, A.K., Lopez, N.S., Yu, K.D., Hao, H., Li, R., Geng, Y., Chiu, A.S., Decomposition analysis of Philippine CO2 emissions from fuel combustion and electricity generation (2016) Appl. Energy, 164, pp. 795-804; Torrie, R.D., Stone, C., Layzell, D.B., Understanding energy systems change in Canada: 1. Decomposition of total energy intensity (2016) Energy Econ, 56, pp. 101-106; Karmellos, M., Kopidou, D., Diakoulaki, D., A decomposition analysis of the driving factors of CO2 (Carbon dioxide) emissions from the power sector in the European Union countries (2016) Energy, 94, pp. 680-692; Yang, L., Lin, B., Carbon dioxide-emission in Chinas power industry: Evidence and policy implications (2016) Renew. Sustain. Energy Rev, 60, pp. 258-267; Tian, Z.H., Yang, Z.L., Scenarios of carbon emissions from the power sector in Guangdong province (2016) Sustainability, 8; Ang, B.W., Su, B., Carbon emission intensity in electricity production: A global analysis (2016) Energy Policy, 94, pp. 56-63; Ang, B., Goh, T., Carbon intensity of electricity in ASEAN: Drivers, performance and outlook (2016) Energy Policy, 98, pp. 170-179; Andrés, L., Padilla, E., Energy intensity in road freight transport of heavy goods vehicles in Spain (2015) Energy Policy, 85, pp. 309-321; Cansino, J.M., Sánchez-Braza, A., Rodríguez-Arévalo, M.L., Driving forces of Spain’s CO2 emissions: A LMDI decomposition approach (2015) Renew. Sustain. Energy Rev, 48, pp. 749-759; Chong, C., Ma, L., Li, Z., Ni, W., Song, S., Logarithmic mean Divisia index (LMDI) decomposition of coal consumption in China based on the energy allocation diagram of coal flows (2015) Energy, 85, pp. 366-378; Moutinho, V., Moreira, A.C., Silva, P.M., The driving forces of change in energy-related CO2 emissions in Eastern, Western, Northern and Southern Europe: The LMDI approach to decomposition analysis (2015) Renew. Sustain. Energy Rev, 50, pp. 1485-1499; Zhou, G., Chung, W., Zhang, Y., Carbon dioxide emissions and energy efficiency analysis of China’s regional thermal electricity generation (2014) J. Clean. Prod, 83, pp. 173-184</t>
  </si>
  <si>
    <t>Rivera-Niquepa, J.D.; Department of Electrical and Electronic Engineering, Colombia; email: jd.rivera@uniandes.edu.co</t>
  </si>
  <si>
    <t>2-s2.0-85140832070</t>
  </si>
  <si>
    <t>Montiel-Jarillo G., Morales-Urrea D.A., Contreras E.M., López-Córdoba A., Gómez-Pachón E.Y., Carrera J., Suárez-Ojeda M.E.</t>
  </si>
  <si>
    <t>57192988806;57201974491;7006198906;55915687700;55770188400;7004569887;15763588400;</t>
  </si>
  <si>
    <t>https://www.scopus.com/inward/record.uri?eid=2-s2.0-85139943391&amp;doi=10.3390%2fpolym14193938&amp;partnerID=40&amp;md5=4937d00da24a4a4b694781af276f92bb</t>
  </si>
  <si>
    <t>GENOCOV Research Group, Department of Chemical, Biological and Environmental Engineering, School of Engineering, Universitat Autònoma de Barcelona, Escola d’Enginyeria. Edifici Q Campus UAB, Bellaterra, Barcelona, 08193, Spain; División Catalizadores y Superficies, Instituto de Investigaciones en Ciencia y Tecnología de Materiales, INTEMA, CONICET, Av. Colón 10850, Mar del Plata, 7600, Argentina; Escuela de Administración de Empresas Agropecuarias, Facultad Seccional Duitama, Universidad Pedagógica y Tecnológica de Colombia, Carrera 18 con Calle 22, Duitama, 150461, Colombia; Grupo de Investigación en Diseño, Escuela de Diseño Industrial, Universidad Pedagógica y Tecnológica de Colombia-UPTC, Duitama, 150461, Colombia</t>
  </si>
  <si>
    <t>Montiel-Jarillo, G., GENOCOV Research Group, Department of Chemical, Biological and Environmental Engineering, School of Engineering, Universitat Autònoma de Barcelona, Escola d’Enginyeria. Edifici Q Campus UAB, Bellaterra, Barcelona, 08193, Spain; Morales-Urrea, D.A., División Catalizadores y Superficies, Instituto de Investigaciones en Ciencia y Tecnología de Materiales, INTEMA, CONICET, Av. Colón 10850, Mar del Plata, 7600, Argentina; Contreras, E.M., División Catalizadores y Superficies, Instituto de Investigaciones en Ciencia y Tecnología de Materiales, INTEMA, CONICET, Av. Colón 10850, Mar del Plata, 7600, Argentina; López-Córdoba, A., Escuela de Administración de Empresas Agropecuarias, Facultad Seccional Duitama, Universidad Pedagógica y Tecnológica de Colombia, Carrera 18 con Calle 22, Duitama, 150461, Colombia; Gómez-Pachón, E.Y., Grupo de Investigación en Diseño, Escuela de Diseño Industrial, Universidad Pedagógica y Tecnológica de Colombia-UPTC, Duitama, 150461, Colombia; Carrera, J., GENOCOV Research Group, Department of Chemical, Biological and Environmental Engineering, School of Engineering, Universitat Autònoma de Barcelona, Escola d’Enginyeria. Edifici Q Campus UAB, Bellaterra, Barcelona, 08193, Spain; Suárez-Ojeda, M.E., GENOCOV Research Group, Department of Chemical, Biological and Environmental Engineering, School of Engineering, Universitat Autònoma de Barcelona, Escola d’Enginyeria. Edifici Q Campus UAB, Bellaterra, Barcelona, 08193, Spain</t>
  </si>
  <si>
    <t>The use of mixed microbial cultures (MMC) and organic wastes and wastewaters as feed sources is considered an appealing approach to reduce the current polyhydroxyalkanoates (PHAs) production costs. However, this method entails an additional hurdle to the PHAs downstream processing (recovery and purification). In the current work, the effect of a sodium hypochlorite (NaClO) pre-treatment coupled with dimethyl carbonate (DMC) or chloroform (CF) as extraction solvents on the PHAs recovery efficiency (RE) from MMC was evaluated. MMC were harvested from a sequencing batch reactor (SBR) fed with a synthetic prefermented olive mill wastewaster. Two different carbon-sources (acetic acid and acetic/propionic acids) were employed during the batch accumulation of polyhydroxybutyrate (PHB) and poly(3-hydroxybutyrate-co-3-hydroxyvalerate) (PHBV) from MMC. Obtained PHAs were characterized by 1H and 13C nuclear magnetic resonance, gel-permeation chromatography, differential scanning calorimetry, and thermal gravimetric analysis. The results showed that when a NaClO pre-treatment is not added, the use of DMC allows to obtain higher RE of both biopolymers (PHB and PHBV), in comparison with CF. In contrast, the use of CF as extraction solvent required a pre-treatment step to improve the PHB and PHBV recovery. In all cases, RE values were higher for PHBV than for PHB. © 2022 by the authors.</t>
  </si>
  <si>
    <t>chloroform; dimethyl carbonate; extraction; mixed microbial cultures; polyhydroxyalkanoates; sodium hypochlorite</t>
  </si>
  <si>
    <t>Differential scanning calorimetry; Gel permeation chromatography; Hydrometallurgy; Organic solvents; Purification; Recovery; Size exclusion chromatography; Sodium; Sodium compounds; Solvent extraction; Thermogravimetric analysis; 'current; As extraction; Dimethyl carbonate; Extraction solvents; Mixed microbial culture; Organic wastes; Polyhydroxyalkanoates; Polyhydroxybutyrate; Pre-treatments; Recovery efficiency; Chlorine compounds</t>
  </si>
  <si>
    <t>110986575000, 865-2019; Consejo Nacional de Investigaciones Científicas y Técnicas, CONICET; Consejo Nacional de Ciencia y Tecnología, CONACYT; CYTED Ciencia y Tecnología para el Desarrollo, CYTED; Gobernación de Boyacá</t>
  </si>
  <si>
    <t>This research was funded by: TRITON thematic network (316RT0508) from the Programa Iberoamericano de Ciencia y Tecnología para el Desarrollo (CYTED); Minciencias, and the Gobernación de Boyacá through the PATRIMONIO AUTÓNOMO FONDO NACIONAL DE FINANCIAMIENTO PARA LA CIENCIA, LA TECNOLOGÍA Y LA INNOVACIÓN FRANCISCO JOSÉ DE CALDAS (project 110986575000- Conv. 865-2019); Consejo Nacional de Ciencia y Tecnología de México (CONACyT) and Consejo Nacional de Investigaciones Científicas y Técnicas (CONICET) de Argentina.</t>
  </si>
  <si>
    <t>Kurian, N.S., Das, B., Comparative Analysis of Various Extraction Processes Based on Economy, Eco-Friendly, Purity and Recovery of Polyhydroxyalkanoate: A Review (2021) Int. J. Biol. Macromol, 183, pp. 1881-1890; Samaniego, K., Matos, A., Sánchez-Safont, E., Candal, M.V., Lagaron, J.M., Cabedo, L., Gamez-Perez, J., Role of Plasticizers on PHB/Bio-TPE Blends Compatibilized by Reactive Extrusion (2022) Materials, 15; Adeleye, A.T., Odoh, C.K., Enudi, O.C., Banjoko, O.O., Osiboye, O.O., Toluwalope Odediran, E., Louis, H., Sustainable Synthesis and Applications of Polyhydroxyalkanoates (PHAs) from Biomass (2020) Process Biochem, 96, pp. 174-193; Kalia, V.C., Ray, S., Patel, S.K.S., Singh, M., Singh, G.P., The Dawn of Novel Biotechnological Applications of Polyhydroxyalkanoates (2019) Biotechnological Applications of Polyhydroxyalkanoates, pp. 1-11. , Springer, Singapore; Chavan, S., Yadav, B., Tyagi, R.D., Drogui, P., A Review on Production of Polyhydroxyalkanoate (PHA) Biopolyesters by Thermophilic Microbes Using Waste Feedstocks (2021) Bioresour. Technol, 341, p. 125900; Gholami, A., Mohkam, M., Rasoul-Amini, S., Ghasemi, Y., Industrial Production of Polyhydroxyalkanoates by Bacteria: Opportunities and Challenges (2016) Minerva Biotechnol, 28, pp. 59-74; Pagliano, G., Galletti, P., Samorì, C., Zaghini, A., Torri, C., Recovery of Polyhydroxyalkanoates From Single and Mixed Microbial Cultures: A Review (2021) Front. Bioeng. Biotechnol, 9, p. 624021; Koller, M., Established and Advanced Approaches for Recovery of Microbial Polyhydroxyalkanoate (PHA) Biopolyesters from Surrounding Microbial Biomass (2020) EuroBiotech J, 4, pp. 113-126; Pérez-Rivero, C., López-Gómez, J.P., Roy, I., A Sustainable Approach for the Downstream Processing of Bacterial Polyhydroxyalkanoates: State-of-the-Art and Latest Developments (2019) Biochem. Eng. J, 150, p. 107283; Rodrigues, A.M., Franca, R.D.G., Dionísio, M., Sevrin, C., Grandfils, C., Reis, M.A.M., Lourenço, N.D., Polyhydroxyalkanoates from a Mixed Microbial Culture: Extraction Optimization and Polymer Characterization (2022) Polymers, 14. , 35683828; Lorini, L., Martinelli, A., Pavan, P., Majone, M., Valentino, F., Downstream Processing and Characterization of Polyhydroxyalkanoates (PHAs) Produced by Mixed Microbial Culture (MMC) and Organic Urban Waste as Substrate (2021) Biomass Convers. Biorefin, 11, pp. 693-703; Colombo, B., Pereira, J., Martins, M., Torres-Acosta, M.A., Dias, A.C.R.V., Lemos, P.C., Ventura, S.P.M., Adani, F., Recovering PHA from Mixed Microbial Biomass: Using Non-Ionic Surfactants as a Pretreatment Step (2020) Sep. Purif. Technol, 253, p. 117521; Samorì, C., Abbondanzi, F., Galletti, P., Giorgini, L., Mazzocchetti, L., Torri, C., Tagliavini, E., Extraction of Polyhydroxyalkanoates from Mixed Microbial Cultures: Impact on Polymer Quality and Recovery (2015) Bioresour. Technol, 189, pp. 195-202; Patel, M., Gapes, D.J., Newman, R.H., Dare, P.H., Physico-Chemical Properties of Polyhydroxyalkanoate Produced by Mixed-Culture Nitrogen-Fixing Bacteria (2009) Appl. Microbiol. Biotechnol, 82, pp. 545-555; Madkour, M.H., Heinrich, D., Alghamdi, M.A., Shabbaj, I.I., Steinbüchel, A., PHA Recovery from Biomass (2013) Biomacromolecules, 14, pp. 2963-2972. , 23875914; Elhami, V., van de Beek, N., Wang, L., Picken, S.J., Tamis, J., Sousa, J.A.B., Hempenius, M.A., Schuur, B., Extraction of Low Molecular Weight Polyhydroxyalkanoates from Mixed Microbial Cultures Using Bio-Based Solvents (2022) Sep. Purif. Technol, 299, p. 121773; Montiel-Jarillo, G., Suárez-Ojeda, M.E., Carrera, J., Production of PHB-Co-PHV from Synthetic Fermented Olive-Mill-Wastewater Containing Polyphenols (2022) J. Water Process. Eng; Montiel-Jarillo, G., Carrera, J., Suárez-Ojeda, M.E., Enrichment of a Mixed Microbial Culture for Polyhydroxyalkanoates Production: Effect of PH and N and P Concentrations (2017) Sci. Total Environ, 583, pp. 300-307. , 28117150; Mannina, G., Presti, D., Montiel-Jarillo, G., Suárez-Ojeda, M.E., Bioplastic Recovery from Wastewater: A New Protocol for Polyhydroxyalkanoates (PHA) Extraction from Mixed Microbial Cultures (2019) Bioresour. Technol, 282, pp. 361-369; Samorì, C., Basaglia, M., Casella, S., Favaro, L., Galletti, P., Giorgini, L., Marchi, D., Tagliavini, E., Dimethyl Carbonate and Switchable Anionic Surfactants: Two Effective Tools for the Extraction of Polyhydroxyalkanoates from Microbial Biomass (2015) Green Chem, 17, pp. 1047-1056; Arcos-Hernández, M.V., Laycock, B., Donose, B.C., Pratt, S., Halley, P., Al-Luaibi, S., Werker, A., Lant, P.A., Physicochemical and Mechanical Properties of Mixed Culture Polyhydroxyalkanoate (PHBV) (2013) Eur. Polym. J, 49, pp. 904-913; Dai, Y., Lambert, L., Yuan, Z., Keller, J., Characterisation of Polyhydroxyalkanoate Copolymers with Controllable Four-Monomer Composition (2008) J. Biotechnol, 134, pp. 137-145; Rosengart, A., Cesário, M.T., de Almeida, M.C.M.D., Raposo, R.S., Espert, A., de Apodaca, E.D., da Fonseca, M.M.R., Efficient P(3HB) Extraction from Burkholderia Sacchari Cells Using Non-Chlorinated Solvents (2015) Biochem. Eng. J, 103, pp. 39-46; Montano-Herrera, L., Laycock, B., Werker, A., Pratt, S., The Evolution of Polymer Composition during PHA Accumulation: The Significance of Reducing Equivalents (2017) Bioengineering, 4; Woraittinun, N., Suwannasilp, B.B., Polyhydroxyalkanoate Production from Different Carbon Substrates Using Sludge from a Wastewater Treatment Plant: Microbial Communities, Polymer Compositions, and Thermal Characteristics (2017) Environ. Prog. Sustain. Energy, 36, pp. 1754-1764; Colombo, B., Sciarria, T.P., Reis, M., Scaglia, B., Adani, F., Polyhydroxyalkanoates (PHAs) Production from Fermented Cheese Whey by Using a Mixed Microbial Culture (2016) Bioresour. Technol, 218, pp. 692-699. , 27420156; Duque, A.F., Oliveira, C.S.S., Carmo, I.T.D., Gouveia, A.R., Pardelha, F., Ramos, A.M., Reis, M.A.M., Response of a Three-Stage Process for PHA Production by Mixed Microbial Cultures to Feedstock Shift: Impact on Polymer Composition (2014) New Biotechnol, 31, pp. 276-288. , 24211366; Morgan-Sagastume, F., Karlsson, A., Johansson, P., Pratt, S., Boon, N., Lant, P., Werker, A., Production of Polyhydroxyalkanoates in Open, Mixed Cultures from a Waste Sludge Stream Containing High Levels of Soluble Organics, Nitrogen and Phosphorus (2010) Water Res, 44, pp. 5196-5211. , 20638096; de Souza Reis, G.A., Michels, M.H.A., Fajardo, G.L., Lamot, I., de Best, J.H., Optimization of Green Extraction and Purification of PHA Produced by Mixed Microbial Cultures from Sludge (2020) Water, 12; Abbasi, M., Coats, E.R., McDonald, A.G., Green Solvent Extraction and Properties Characterization of Poly(3-Hydroxybutyrate-Co-3-Hydroxyvalerate) Biosynthesized by Mixed Microbial Consortia Fed Fermented Dairy Manure (2022) Bioresour. Technol. Rep, 18, p. 101065; Sindhu, R., Binod, P., Pandey, A., Microbial Poly-3-Hydroxybutyrate and Related Copolymers (2015) Industrial Biorefineries and White Biotechnology, pp. 575-605. , Elsevier, Amsterdam, The Netherlands; Ivanova, G., Serafim, L.S., Lemos, P.C., Ramos, A.M., Reis, M.A.M., Cabrita, E.J., Influence of Feeding Strategies of Mixed Microbial Cultures on the Chemical Composition and Microstructure of Copolyesters P(3HB-Co-3HV) Analyzed by NMR and Statistical Analysis (2009) Magn. Reson. Chem, 47, pp. 497-504; Irorere, V.U., Bagheriasl, S., Blevins, M., Kwiecień, I., Stamboulis, A., Radecka, I., Electrospun Fibres of Polyhydroxybutyrate Synthesized by Ralstonia Eutropha from Different Carbon Sources (2014) Int. J. Polym. Sci, 2014, p. 705359; Žagar, E., Kržan, A., Adamus, G., Kowalczuk, M., Sequence Distribution in Microbial Poly(3-Hydroxybutyrate-Co-3-Hydroxyvalerate) Co-Polyesters Determined by NMR and MS (2006) Biomacromolecules, 7, pp. 2210-2216; Doi, Y., Kunioka, M., Nakamura, Y., Soga, K., Nuclear Magnetic Resonance Studies on Poly (β-hydroxybutyrate) and a Copolyester of P-Hydroxybutyrate and P-Hydroxyvalerate Isolated from Alcaligenes Eutrophus H16 (1986) Macromolecules, 19, pp. 2860-2864; Kamiya, N., Yamamoto, Y., Inoue, Y., ChiijB, R., Yoshiharu Doi, J., Microstructure of Bacterially Synthesized Poly (3-Hydroxybutyrate-Co-3-Hydroxyvalerate) (1989) Macromolecules, 22, pp. 1676-1682; Laycock, B., Halley, P., Pratt, S., Werker, A., Lant, P., The Chemomechanical Properties of Microbial Polyhydroxyalkanoates (2013) Prog. Polym. Sci, 38, pp. 536-583; Pederson, E.N., McChalicher, C.W.J., Srienc, F., Bacterial Synthesis of PHA Block Copolymers (2006) Biomacromolecules, 7, pp. 1904-1911. , 16768413; Liu, Z., Wang, Y., He, N., Huang, J., Zhu, K., Shao, W., Wang, H., Li, Q., Optimization of Polyhydroxybutyrate (PHB) Production by Excess Activated Sludge and Microbial Community Analysis (2011) J. Hazard. Mater, 185, pp. 8-16; Fiorese, M.L., Freitas, F., Pais, J., Ramos, A.M., de Aragão, G.M.F., Reis, M.A.M., Recovery of Polyhydroxybutyrate (PHB) from Cupriavidus Necator Biomass by Solvent Extraction with 1,2-Propylene Carbonate (2009) Eng. Life Sci, 9, pp. 454-461; Gobi, K., Vadivelu, V.M., Polyhydroxyalkanoate Recovery and Effect of in Situ Extracellular Polymeric Substances Removal from Aerobic Granules (2015) Bioresour. Technol, 189, pp. 169-176; López-Abelairas, M., García-Torreiro, M., Lú-Chau, T., Lema, J.M., Steinbüchel, A., Comparison of Several Methods for the Separation of Poly(3-Hydroxybutyrate) from Cupriavidus Necator H16 Cultures (2015) Biochem. Eng. J, 93, pp. 250-259; Yabueng, N., Napathorn, S.C., Toward Non-Toxic and Simple Recovery Process of Poly(3-Hydroxybutyrate) Using the Green Solvent 1,3-Dioxolane (2018) Process Biochem, 69, pp. 197-207; Bengtsson, S., Pisco, A.R., Johansson, P., Lemos, P.C., Reis, M.A.M., Molecular Weight and Thermal Properties of Polyhydroxyalkanoates Produced from Fermented Sugar Molasses by Open Mixed Cultures (2010) J. Biotechnol, 147, pp. 172-179. , 20380854; Gahlawat, G., Soni, S.K., Valorization of Waste Glycerol for the Production of Poly (3-Hydroxybutyrate) and Poly (3-Hydroxybutyrate-Co-3-Hydroxyvalerate) Copolymer by Cupriavidus Necator and Extraction in a Sustainable Manner (2017) Bioresour. Technol, 243, pp. 492-501. , 28692918</t>
  </si>
  <si>
    <t>Suárez-Ojeda, M.E.; GENOCOV Research Group, Escola d’Enginyeria. Edifici Q Campus UAB, Bellaterra, Spain; email: mariaeugenia.suarez@uab.cat</t>
  </si>
  <si>
    <t>Morales-Urrea</t>
  </si>
  <si>
    <t>2-s2.0-85139943391</t>
  </si>
  <si>
    <t>Kaushik D., Thomas M.J.</t>
  </si>
  <si>
    <t>57215657226;57712600200;</t>
  </si>
  <si>
    <t>Design of Pulse Forming Systems for Pulsed Electromagnetic Manufacturing Applications</t>
  </si>
  <si>
    <t>IEEE Transactions on Plasma Science</t>
  </si>
  <si>
    <t>10.1109/TPS.2022.3204106</t>
  </si>
  <si>
    <t>https://www.scopus.com/inward/record.uri?eid=2-s2.0-85139447204&amp;doi=10.1109%2fTPS.2022.3204106&amp;partnerID=40&amp;md5=fbb9918f7d1c316b778196ce3fe98d3b</t>
  </si>
  <si>
    <t>Indian Institute of Science, Pulsed Power Laboratory, Department of Electrical Engineering, Bengaluru, 560012, India</t>
  </si>
  <si>
    <t>Kaushik, D., Indian Institute of Science, Pulsed Power Laboratory, Department of Electrical Engineering, Bengaluru, 560012, India; Thomas, M.J., Indian Institute of Science, Pulsed Power Laboratory, Department of Electrical Engineering, Bengaluru, 560012, India</t>
  </si>
  <si>
    <t>Electromagnetic (EM) manufacturing techniques are currently being used to manufacture several industrial components with both tubular and sheet metal workpieces. The deformation behavior of the workpiece in an EM manufacturing process is governed by the spatial distribution and the temporal behavior of the magnetic pressure acting on it. This article considers the specific inverse problem of pulsed power source design from the output objective temporal force waveform required for final mechanical deformation in the workpiece. It presents a novel method using direct transcription formulation to calculate the necessary input needed to generate the desired temporal variation in the magnetic pressure on the workpiece. The required controlling parameters for the rise time control, the peak pressure control, and the fall time control are identified. A model waveform has been proposed for the temporal variations of the EM force on the workpiece, followed by the technique to synthesize the tooling coil current using direct collocation methods. The suitable pulsed power circuit topology is then identified, and a curve fitting method is proposed to exactly achieve the desired temporal features of the force profile. Without loss of generality, the technique is experimentally validated for the free-forming process of sheet metal using a uniform pressure tooling coil (UPTC). © 1973-2012 IEEE.</t>
  </si>
  <si>
    <t>Circuit synthesis; direct collocation methods; electromagnetic (EM) manufacturing; pulse forming systems; tooling coils</t>
  </si>
  <si>
    <t>Circuit simulation; Curve fitting; Deformation; Integrated circuits; Inverse problems; Metal forming; Numerical models; Timing circuits; Circuit synthesis; Direct collocation methods; Electromagnetic manufacturing; Electromagnetics; Force; Forming systems; Integrated circuit modeling; Manufacturing; Pulse forming system; Tooling coil; Sheet metal</t>
  </si>
  <si>
    <t>Shanthala, K., Sreenivasa, T.N., Review on electromagnetic welding of dissimilar materials (2016) Frontiers Mech. Eng., 11 (4), pp. 363-373. , Dec; Kamal, M., Shang, J., Cheng, V., Hatkevich, S., Daehn, G.S., Agile manufacturing of a micro-embossed case by a two-step electromagnetic forming process (2007) J. Mater. Process. Technol., 190 (1-3), pp. 41-50. , nos. Jul; Cui, X., Qiu, D., Jiang, L., Yu, H., Du, Z., Xiao, A., Electromagnetic sheet forming by uniform pressure using flat spiral coil (2019) Materials, 12 (12), p. 1963. , Jun; Kamal, M., Daehn, G.S., A uniform pressure electromagnetic actuator for forming flat sheets (2007) J. Manuf. Sci. Eng., 129 (2), pp. 369-379. , Oct; Kinsey, B., Nassiri, A., Analytical model and experimental investigation of electromagnetic tube compression with axi-symmetric coil and field shaper (2017) CIRP Ann, 66 (1), pp. 273-276; Shahsavari, S., Sarfi, H., Study of the system characteristics on the performance of the sheet metal electromagnetic forming (2017) Int. J. Elect. Electron. Eng. Telecommun., 6 (1), pp. 1-11; Avrillaud, G., Mazars, G., Cantergiani, E., Beguet, F., Cuq-Lelandais, J.-P., Deroy, J., Examples of how increased formability through high strain rates can be used in electro-hydraulic forming and electromagnetic forming industrial applications J. Manuf. Mater. Process., 5 (3), p. 96. , Sep. 2021; Verleysen, P., Peirs, J., Van Slycken, J., Faes, K., Duchene, L., Effect of strain rate on the forming behaviour of sheet metals (2011) J. Mater. Process. Technol., 211 (8), pp. 1457-1464. , Aug; Psyk, V., Linnemann, M., Sebastiani, G., Electromagnetic pulse forming Mechanics of Materials in Modern Manufacturing Methods and Processing Techniques, pp. 111-142. , Jan. 2020; Psyk, V., Risch, D., Kinsey, B.L., Electromagnetic forming—A review (2011) J. Mater. Process. Technol., 211 (5), pp. 787-829; Shotri, R., Faes, K., Racineux, G., De, A., Analytical estimation of electromagnetic pressure, flyer impact velocity, and welded joint length in magnetic pulse welding (2022) Metals, 12 (2), p. 276. , Feb; Loncke, K., (2009) An exploratory study into the feasibility of magnetic pulse welding, , M.S. thesis, Dept. Mech. Construct. Prod., Fac. Eng., Ghent Univ., Ghent, Belgium; Chai, R., Savvaris, A., Tsourdos, A., Chai, S., Overview of trajectory optimization techniques Design of Trajectory Optimization Approach for Space Maneuver Vehicle Skip Entry Problems, p. 2022. , Singapore: Springer; (2012) Simulation of the Ballistic Perforation of Aluminum Plates With Abaqus/Explicit, 3DS SIMULIA Examples, Abaqus Technology Brief, , https://www.3ds.com/fileadmin/PRODUCTS-SERVICES/SIMULIA/RESOURCES/aero-ballistic-perforation-alumnium-plates-12.pdf, Dassault Systems, Vélizy-Villacoublay, France, Online; Rajak, A.K., Kore, S.D., Numerical simulation and experimental study on electromagnetic crimping of aluminium terminal to copper wire strands (2018) Electr. Power Syst. Res., 163, pp. 744-753. , Oct; Correia, J.P.M., Siddiqui, M.A., Ahzi, S., Belouettar, S., Davies, R., A simple model to simulate electromagnetic sheet free bulging process (2008) Int. J. Mech. Sci., 50 (10-11), pp. 1466-1475. , nos. Oct; Jia, W., Xiaoqing, Z., Double-exponential expression of lightning current waveforms (2006) Proc. 4th Asia–Pacific Conf. Environ. Electromagn., pp. 320-323. , Aug; Kaushik, D., Thomas, M.J., Design and optimization of pulse forming networks for electromagnetic manufacturing systems (2021) Proc. IEEE Pulsed Power Conf. (PPC), pp. 1-5. , Dec; Conn, A.R., Toint, P.L., Gould, N.I.M., Methods for nonlinear constraints in optimization calculations (1996) Rutherford Appleton Lab, , Oxfordshire, U.K., Tech. Rep. RAL-TR-96-042; Kelly, M., An introduction to trajectory optimization: How to do your own direct collocation (2017) SIAM Rev, 59 (4), pp. 849-904. , Jan; John Betts, T., (2009) Practical Methods for Optimal Control Using Nonlinear Programming, , 2nd ed. Philadelphia, PA, USA: SIAM; Clementson, J., Rahbarnia, K., Grulke, O., Klinger, T., Design of A, B, and C pulse forming networks using the VINPFN application (2014) IEEE Trans. Power Electron., 29 (11), pp. 5673-5679. , Nov; Morad, F., (2019) Non-linear curve fitting, , Ph.D. dissertation, Division Appl. Math., School Educ., Culture Commun., Malardalen Univ., Västerås, Sweden; Hennig, P., Kiefel, M., Quasi-newton methods—A new direction (2013) J. Mach. Learn. Res., 14 (1), pp. 834-865. , Mar</t>
  </si>
  <si>
    <t>Kaushik, D.; Indian Institute of Science, India; email: kaushikd2309@gmail.com</t>
  </si>
  <si>
    <t>Institute of Electrical and Electronics Engineers Inc.</t>
  </si>
  <si>
    <t>ITPSB</t>
  </si>
  <si>
    <t>IEEE Trans Plasma Sci</t>
  </si>
  <si>
    <t>2-s2.0-85139447204</t>
  </si>
  <si>
    <t>Torres F., Abaunza R.A.M., Ortegón V.A.I., Rodríguez L.J.V.</t>
  </si>
  <si>
    <t>57915690200;57914419500;57915472600;57218159197;</t>
  </si>
  <si>
    <t>Ocular adverse effects related to the administration of parenteral bisphosphonates: Experience of the family doctor [Efectos adversos oculares relacionados con la administración de bifosfonatos parenterales: experiencia del médico de familia]</t>
  </si>
  <si>
    <t>Semergen</t>
  </si>
  <si>
    <t>https://www.scopus.com/inward/record.uri?eid=2-s2.0-85139231954&amp;doi=10.1016%2fj.semerg.2022.101826&amp;partnerID=40&amp;md5=5020aec8b0689ae0cd2aa4e6c277477d</t>
  </si>
  <si>
    <t>Medicina Familiar y Comunitaria, Universidad Pedagógica y Tecnológica de Colombia, Tunja, Colombia; Medicina Interna y Reumatología, Hospital Universitario San Rafael, Tunja, Colombia; Hospital Universitario San Rafael, Tunja, Colombia; Epidemiología, Hospital Universitario San Rafael, Tunja, Colombia</t>
  </si>
  <si>
    <t>Torres, F., Medicina Familiar y Comunitaria, Universidad Pedagógica y Tecnológica de Colombia, Tunja, Colombia; Abaunza, R.A.M., Medicina Interna y Reumatología, Hospital Universitario San Rafael, Tunja, Colombia; Ortegón, V.A.I., Hospital Universitario San Rafael, Tunja, Colombia; Rodríguez, L.J.V., Epidemiología, Hospital Universitario San Rafael, Tunja, Colombia</t>
  </si>
  <si>
    <t>bisphosphonic acid derivative; bone density conservation agent; human; Bone Density Conservation Agents; Diphosphonates; Humans</t>
  </si>
  <si>
    <t>Bone Density Conservation Agents; Diphosphonates</t>
  </si>
  <si>
    <t>Sankó Posada, A.A., González Castañeda, A.P., Vargas Rodríguez, L.J., Gordillo Navas, G.C., Prevalencia de factores de riesgo en pacientes mayores de 50 años con fracturas clásicas de fragilidad atendidos en un hospital de tercer nivel de complejidad en Boyacá (2021) Rev Colomb Reumatol, 28, pp. 104-110. , https://www.sciencedirect.com/science/article/pii/S0121812320301316, [consultado 7 Abr 2022]. Disponible en:; Cremers, S., Drake, M.T., Ebetino, F.H., Bilezikian, J.P., Russell, R.G.G., Pharmacology of bisphosphonates (2019) Br J Clin Pharmacol, 85, pp. 1052-1062. , https://pubmed.ncbi.nlm.nih.gov/30650219, [consultado 7 Abr 2022] Disponible en: /; Nagano, Y., Matsui, H., Shimokawa, O., Hirayama, A., Nakamura, Y., Tamura, M., Bisphosphonate-induced gastrointestinal mucosal injury is mediated by mitochondrial superoxide production and lipid peroxidation (2012) J Clin Biochem Nutr, 51, pp. 196-203. , https://pubmed.ncbi.nlm.nih.gov/23170047, [consultado 7 Abr 2022] Disponible en: /; Loke, Y.K., Jeevanantham, V., Singh, S., Bisphosphonates and atrial fibrillation: Systematic review and meta-analysis: Systematic review and meta-analysis (2009) Drug Saf, 32, pp. 219-228. , https://pubmed.ncbi.nlm.nih.gov/19338379, [consultado 7 Abr 2022] Disponible en: /; McKague, M., Jorgenson, D., Buxton, K.A., Ocular side effects of bisphosphonates: A case report and literature review (2010) Can Fam Physician, 56, pp. 1015-1017. , https://pubmed.ncbi.nlm.nih.gov/20944044, [consultado 7 Abr 2022] Disponible en: /; Jin, X., Shou, Z., Shao, Y., Bian, P., Zoledronate-induced acute anterior uveitis: a three-case report and brief review of literature (2021) Arch Osteoporos, 16, p. 104. , https://pubmed.ncbi.nlm.nih.gov/34180015, [consultado 7 Abr 2022] Disponible en: /; Gendelman, O., Tripto-Shkolnik, L., Vered, I., Lidar, M., Bisphosphonates related ocular side effects: A case series and review of literature (2021) Ocul Immunol Inflamm, pp. 1-5. , https://pubmed.ncbi.nlm.nih.gov/34014797, [consultado 7 Abr 2022] Disponible en: /; Etminan, M., Forooghian, F., Maberley, D., Inflammatory ocular adverse events with the use of oral bisphosphonates: A retrospective cohort study (2012) CMAJ, 184, pp. E431-E434. , https://pubmed.ncbi.nlm.nih.gov/22470169, [consultado 7 Abr 2022] Disponible en: /; Kennedy, T., Sellar, P.W., Vaideanu-Collins, D., Ng, J., Two case reports of zoledronic acid-induced uveitis (2018) Age Ageing, 47. , https://pubmed.ncbi.nlm.nih.gov/29718071, [consultado 7 Abr 2022] Disponible en: /; Pazianas, M., Clark, E.M., Eiken, P.A., Brixen, K., Abrahamsen, B., Inflammatory eye reactions in patients treated with bisphosphonates and other osteoporosis medications: Cohort analysis using a national prescription database (2013) J Bone Miner Res, 28, pp. 455-463</t>
  </si>
  <si>
    <t>Rodríguez, L.J.V.; Epidemiología, Colombia; email: lejovaro@gmail.com</t>
  </si>
  <si>
    <t>Ediciones Doyma, S.L.</t>
  </si>
  <si>
    <t>English; Spanish</t>
  </si>
  <si>
    <t>2-s2.0-85139231954</t>
  </si>
  <si>
    <t>García-Delgado H., Velandia F., Bermúdez M.A., Audemard F.</t>
  </si>
  <si>
    <t>57205317930;8353650300;7005616490;18233677800;</t>
  </si>
  <si>
    <t>International Journal of Earth Sciences</t>
  </si>
  <si>
    <t>https://www.scopus.com/inward/record.uri?eid=2-s2.0-85134569538&amp;doi=10.1007%2fs00531-022-02227-9&amp;partnerID=40&amp;md5=fbaa2c7de85dadedcdd68a82b2b475e8</t>
  </si>
  <si>
    <t>Department of Earth and Environmental Sciences, Syracuse University, Syracuse, NY, United States; Escuela de Geología, Universidad Industrial de Santander, Bucaramanga, Colombia; Escuela de Ingeniería Geológica, Universidad Pedagógica y Tecnológica de Colombia, Sogamoso, Colombia; Fundación Venezolana de Investigaciones Sismológicas, El Llanito, Caracas, Venezuela</t>
  </si>
  <si>
    <t>García-Delgado, H., Department of Earth and Environmental Sciences, Syracuse University, Syracuse, NY, United States; Velandia, F., Escuela de Geología, Universidad Industrial de Santander, Bucaramanga, Colombia; Bermúdez, M.A., Department of Earth and Environmental Sciences, Syracuse University, Syracuse, NY, United States, Escuela de Ingeniería Geológica, Universidad Pedagógica y Tecnológica de Colombia, Sogamoso, Colombia; Audemard, F., Fundación Venezolana de Investigaciones Sismológicas, El Llanito, Caracas, Venezuela</t>
  </si>
  <si>
    <t>Understanding the present-day crustal stress field is fundamental to comprehending active deformation in complex intraplate settings. This is especially true in the Colombian North Andean Block (C-NAB), where the Nazca, Caribbean, and South American plates interact. Our main goals of this study are: (1) to improve our understanding of seismotectonics of the C-NAB, (2) to test the hypothesis that slab geometry controls intraplate stresses, and (3) to evaluate the coherence between crustal stresses and strain field data obtained from GPS data. We show that south of the slab tear that separates the Nazca Plate from a northern plate (Caribbean Plate? Coiba Microplate?), a maximum horizontal compression (SHmax) trending N83°E is associated with a regional strike-slip faulting regime. In this region, the SHmax responds to the oblique subduction of the Nazca Plate, thus favoring the northeastern escape of the C-NAB. Oppositely, north of the slab tear, clockwise rotation in the SHmax to an NW–SE direction (N111°E) is associated with a regional thrust-faulting tectonic regime. Overall, the correspondence between SHmax and subducting slabs underscores relations between plate geometry, plate motion, and intraplate stresses. Finally, significant angular differences between the SHmax and horizontal shortening obtained from GPS displacements are important north of the slab tear and the western forearc region. We hypothesize that north of the slab tear, strain accumulation is enhanced due to the coupling between the upper plate and flat-slab subduction, causing clockwise rigid body rotation of the C-NAB. © 2022, Geologische Vereinigung e.V. (GV).</t>
  </si>
  <si>
    <t>Flat slab; Focal mechanisms; Neotectonics; Northern Andes; Stress tensor</t>
  </si>
  <si>
    <t>deformation; GPS; Nazca plate; neotectonics; seismicity; seismotectonics; slab; stress field; Ica; Nazca; Peru</t>
  </si>
  <si>
    <t>We thank Nicolás Villamizar for helping with the strain field computation in SSPX. Discussions with John Jairo Gallego and Benjamín Guerrero enriched this paper. The handling editor, Ulrich Riller, and two anonymous reviewers offered insightful comments on the manuscript. We are also obliged to Bruce Wilkinson for reviewing the English text and the corrections that improved this manuscript.</t>
  </si>
  <si>
    <t>Acosta, J., Velandia, F., Osorio, J., Strike-slip deformation within the Colombian Andes (2007) Geol Soc London Spec Publ, 272, pp. 303-319; Alvarado, A., Audin, L., Nocquet, J.M., Partitioning of oblique convergence in the Northern Andes subduction zone: migration history and the present-day boundary of the North Andean Sliver in Ecuador (2016) Tectonics, 35, pp. 1048-1065; Alvarez-Gómez, J.A., FMC—Earthquake focal mechanisms data management, cluster and classification (2019) Softw X, 9, pp. 299-307; Amaya, S., Zuluaga, C.A., Bernet, M., New fission-track age constraints on the exhumation of the central Santander Massif: Implications for the tectonic evolution of the Northern Andes, Colombia (2017) Lithos, 282-283, pp. 388-402; Angelier, J., From orientation to magnitudes in paleostress determinations using fault slip data (1989) J Struct Geol, 11, pp. 37-50; Angelier, J., Mechler, P., Sur une méthode graphique de recherche des contraintes principales également utilisables en tectonique et en séismologie: la méthode des diedres droits (1977) Bull La Société Géologique Fr, 19, pp. 1309-1318; Arcila, M., Muñoz-Martín, A., Integrated Perspective of the Present–Day Stress and Strain Regime in Colombia from Analysis of Earthquake Focal Mechanisms and Geodetic Data (2020) Publicacio. Servicio Geológico Colombiano, pp. 1-21. , https://doi.org/10.2307/j.ctvw1d575.21, Gómez J, Pinilla-Pachón AO, The Geology of Colombia; Audemard, F.A., Morpho-structural expression of active thrust fault systems in the humid tropical foothills of Colombia and Venezuela (1999) Zeitschrift Für Geomorphol, 118, pp. 227-244; Audemard, F., Audemard, F., Structure of the Mérida Andes, Venezuela: relations with the south America-Caribbean geodynamic interaction (2002) Tectonophysics, 345, pp. 299-327; Audemard, F.A., Castilla, R., Present-day stress tensors along the southern Caribbean plate boundary zone from inversion of focal mechanism solutions: a successful trial (2016) J South Am Earth Sci, 71, pp. 309-319; Audemard, M.F.A., Mora-Páez, H., Fonseca, P.H.A., Net right-lateral slip of the Eastern Frontal Fault System, North Andes Sliver, northwestern South America (2021) J South Am Earth Sci; Audemard, F.A., Néotectonique, Sismotectonique et Aléa Sismique du Nordouest du Vénézuéla (Système de failles d’Oca-Ancón). PhD Thesis (1993) Universite Montpellier, p. II; Bakker, J.G.M., Kleinendorst, T.W., Geirnaert, W., Tectonic and sedimentary history of a late Cenozoic intramontane basin (the Pitalito Basin, Colombia) (1989) Basin Res, 2, pp. 161-187; Boinet, T., Bourgois, J., Mendoza, H., La Falla de Bucaramanga (Colombia), su función durante la Orogenia Andina (1989) Geología Norandina, 11, pp. 3-10; Bott, M.H.P., The mechanics of oblique slip faulting (1959) Geol Mag, 96, pp. 109-117; Cardozo, N., Allmendinger, R.W., SSPX: a program to compute strain from displacement/velocity data (2009) Comput Geosci, 35, pp. 1343-1357; Chiarabba, C., De Gori, P., Faccenna, C., Subduction system and flat slab beneath the Eastern Cordillera of Colombia (2016) Geochem Geophys Geosystems, 17, pp. 16-27; Chicangana, G., The romeral fault system: a shear and deformed extinct subduction zone between oceanic and continental lithospheres in Northwestern South America (2005) Earth Sci Res J, 9, pp. 51-66; Colmenares, L., Zoback, M.D., Stress field and seismotectonics of northern South America (2003) Geology, 31, pp. 721-724; Corredor, F., Seismic strain rates and distributed continental deformation in the northern Andes and three-dimensional seismotectonics of northwestern South America (2003) Tectonophysics, 372, pp. 147-166; Cortés, M., Angelier, J., Current states of stress in the northern Andes as indicated by focal mechanisms of earthquakes (2005) Tectonophysics, 403 (1-4), p. 29. , 58, S0040195105000971; Cortés, M., Angelier, J., Colletta, B., Paleostress evolution of the northern Andes (Eastern Cordillera of Colombia): Implications on plate kinematics of the South Caribbean region (2005) Tectonics, 24, pp. 1-27; Delvaux, D., Barth, A., African stress pattern from formal inversion of focal mechanism data (2010) Tectonophysics, 482, pp. 105-128; Delvaux, D., Sperner, B., New aspects of tectonic stress inversion with reference to the TENSOR program (2003) Geol Soc London Spec Publ, 212, pp. 75-100; Delvaux, D., Moeys, R., Stapel, G., Paleostress reconstructions and geodynamics of the Baikal region, Central Asia, Part 2. Cenozoic rifting (1997) Tectonophysics, 282, pp. 1-38; Dewey, J., Seismicity and tectonics of Western Venezuela (1972) Bull Seismol Soc Am, 62, pp. 1711-1751; Dicelis, G., Assumpção, M., Kellogg, J., Estimating the 2008 Quetame (Colombia) earthquake source parameters from seismic data and InSAR measurements (2016) J South Am Earth Sci, 72, pp. 250-265; Diederix, H., Gómez, H., Khobzi, J., Singer, A., Indicios neotectónicos de la Falla de Ibagué en el sector Ibagué-Piedras, Departamento del Tolima, Colombia (1987) Rev CIAF, 11, pp. 242-252; Diederix, H., Audemard, F., Osorio, J., Modelado morfotectónico de la Falla transcurrente de Ibagué, Colombia (2006) Rev La Asoc Geológica Argentina, 61, pp. 492-503; Diederix, H., Hernández, C., Torres, E., Resultados preliminares del primer estudio paleosismológico a lo largo de la Falla de Bucaramanga, Colombia (2009) Ing Investig y Desarro, 9, pp. 18-23; Diederix, H., Bohórquez-Orozco, O., Gómez-Hurtado, E., Paleoseismologic trenching confirms recent Holocene activity of the major Algeciras fault system in southern Colombia (2021) J South Am Earth Sci; Diederix, H., Bohórquez, O., Mora-Páez, H., The Algeciras Fault System of the Upper Magdalena Valley, Huila Department (2020) The Geology of Colombia. Servicio Geológico Colombiano, pp. 423-452. , Gómez J, Pinilla-Pachón AO; Dimate, C., Rivera, L., Taboada, A., The 19 January 1995 Tauramena (Colombia) earthquake: geometry and stress regime (2003) Tectonophysics, 363, pp. 159-180; Duque-Caro, H., The Choco block in the northwestern corner of South America: structural, tectonostratigraphic, and paleogeographic implications (1990) J South Am Earth Sci, 3, pp. 71-84; Ego, F., Sébrier, M., Lavenu, A., Quaternary state of stress in the Northern Andes and the restraining bend model for the Ecuadorian Andes (1996) Tectonophysics, 259, pp. 101-116; Espurt, N., Funiciello, F., Martinod, J., Flat subduction dynamics and deformation of the South American plate: Insights from analog modeling (2008) Tectonics, 27, pp. 1-19; Farris, D.W., Jaramillo, C., Bayona, G., Fracturing of the Panamanian Isthmus during initial collision with: South America (2011) Geology, 39, pp. 1007-1010; Freymueller, J.T., Kellogg, J.N., Vega, V., Plate motions in the north Andean region (1993) J Geophys Res, 98, pp. 853-863; Frohlich, C., Triangle diagrams: ternary graphs to display similarity and diversity of earthquake focal mechanisms (1992) Phys Earth Planet Inter, 75, pp. 193-198; García, H., Jiménez, G., Transverse zones controlling the structural evolution of the Zipaquira Anticline (Eastern Cordillera, Colombia): regional implications (2016) J South Am Earth Sci, 69, pp. 243-258; Geological Survey of Colombia (2022) Catálogo Mecanismo Focal y Tensor Momento., , http://bdrsnc.sgc.gov.co/sismologia1/sismologia/focal_seiscomp_3/index.html, Accesed June 3 2022; Gómez, J., Schobbenhaus, C., Montes, N.E., Geological Map of South America 2019. Scale 1:5 000 000. Commission for the Geological Map of the World (CGMW), Colombian Geological Survey, and Geological Survey of Brazil (2019) Paris, , 10.32685/; González, J.L., Shen, Z., Mauz, B., New constraints on Holocene uplift rates for the Baudó mountain range, northwestern Colombia (2014) J South Am Earth Sci, 52, pp. 194-202; Gudmundsson, A., (2011) Rock Fractures in Geological Processes, , Cambridge University Press, New York; Gutscher, M.A., Malavieille, J., Lallemand, S., Collot, J.Y., Tectonic segmentation of the North Andean margin: impact of the Carnegie Ridge collision (1999) Earth Planet Sci Lett, 168, pp. 255-270; Gutscher, M.A., Spakman, W., Bijwaard, H., Engdahl, E.R., Geodynamics of flat subduction: seismicity and tomographic constraints from the Andean margin (2000) Tectonics, 19, pp. 814-833; Hayes, G.P., Moore, G.L., Portner, D.E., Slab2, a comprehensive subduction zone geometry model (2018) Science; Heidbach, O., Ben-Avraham, Z., Stress evolution and seismic hazard of the Dead Sea Fault System (2007) Earth Planet Sci Lett, 257, pp. 299-312; Heidbach, O., Tingay, M., Barth, A., Global crustal stress pattern based on the World Stress Map database release 2008 (2010) Tectonophysics, 482, pp. 3-15; Heidbach, O., Rajabi, M., Cui, X., The World Stress Map database release 2016: crustal stress pattern across scales (2018) Tectonophysics, 744, pp. 484-498; (2005) Estudio de microzonificación sísmica de Santiago de Cali, , Subproyecto de sismotectónica, Internal technical report, INGEOMINAS, Bogotá; Jiménez, G., Rico, J., Bayona, G., Analysis of curved folds and fault/fold terminations in the southern Upper Magdalena Valley of Colombia (2012) J South Am Earth Sci, 39, pp. 184-201; Jiménez, G., Speranza, F., Faccenna, C., Paleomagnetism and magnetic fabric of the Eastern Cordillera of Colombia: evidence for oblique convergence and nonrotational reactivation of a Mesozoic intracontinental rift (2014) Tectonics, 33, pp. 2233-2260; Jiménez, G., García-Delgado, H., Geissman, J.W., Magnetostratigraphy and magnetic properties of the Jurassic to Lower Cretaceous Girón Group (northern Andes, Colombia) (2021) Geosphere, 17, pp. 1-25; Jiménez, G., Geissman, J.W., Bayona, G., Unraveling tectonic inversion and wrench deformation in the Eastern Cordillera (Northern Andes) with paleomagnetic and AMS data (2022) Tectonophysics; Lalinde, C.P., Toro, G.E., Velásquez, A., Audemard, F., Large-magnitude late Holocene seismic activity in the Pereira-Armenia region, Colombia (2011) Geological Criteria for Evaluating Seismicity Revisited: Forty Years of Paleoseismic Investigations and the Natural Record of past Earthquakes, pp. 79-89. , Audemard F, Michetti AM, McCalpin JP; León, S., Cardona, A., Parra, M., Transition from collisional to subduction-related regimes: an example from Neogene Panama-Nazca-South America interactions (2018) Tectonics, 37, pp. 119-139; López, M.C.C., Audemard, F., Evidence of Holocene compression at Tuluá, along the western foothills of the Central Cordillera of Colombia (2011) Audemard F, pp. 91-107. , Michetti AM, McCalpin JP, (eds), Forty Years of Paleoseismic Investigations and the Natural Record of Past Earthquakes. Geological Society of America, Geological Criteria for Evaluating Seismicity Revisited; López, M., Moreno-Sánchez, M., Audemard, F.A., Deformación tectónica reciente en los pie de montes de las cordilleras Central y Occidental, Valle Del Cauca, Colombia (2009) Bol Geol, 31, pp. 11-29; Lund, B., Townend, J., Calculating horizontal stress orientations with full or partial knowledge of the tectonic stress tensor (2007) Geophys J Int, 170, pp. 1328-1335; MacDonald, W.D., Estrada, J.J., Sierra, G.M., Gonzalez, H., Late Cenozoic tectonics and paleomagnetism of North Cauca Basin intrusions, Colombian Andes: dual rotation modes (1996) Tectonophysics, 261, pp. 277-289; Malavé, G., Suárez, G., Intermediate-depth seismicity in northern Colombia and western Venezuela and its relationship to Caribbean plate subduction (1995) Tectonics, 14, pp. 617-628; Marrett, R., Peacock, D., Strain and Stress (1999) J Struct Geol, 21, pp. 1057-1063; Martinod, J., Gérault, M., Husson, L., Regard, V., Widening of the Andes: an interplay between subduction dynamics and crustal wedge tectonics (2020) Earth-Science Rev, 204; McCaffrey, R., Qamar, A.I., King, R.W., Fault locking, block rotation and crustal deformation in the Pacific Northwest (2007) Geophys J Int, 169, pp. 1315-1340; Meletti, C., Galadini, F., Valensise, G., A seismic source zone model for the seismic hazard assessment of the Italian territory (2008) Tectonophysics, 450, pp. 85-108; Montes, C., Restrepo-Pace, P., Hatcher, R., Three-dimensional structure and kinematics of the piedras-girardot fold belt: Surface expression of transpressional deformation in the Northern Andes (2003) The Circum-Gulf of Mexico and the Caribbean: Hydrocarbon Habitats, Basin Formation, and Plate Tectonics, 79, pp. 849-873. , Bartolini C, Buffler RT, Blickwede J, AAPG Memoir; Montes, N., Velandia, F., Osorio, J., Interpretación morfotectónica de la falla de Ibagué para su caracterización paleosismológica (2005) Boletín Geol, 27, pp. 95-114; Montes, C., Bayona, G., Cardona, A., Arc-continent collision and orocline formation: closing of the Central American seaway (2012) J Geophys Res Solid Earth, 117, pp. 1-25; Montes, C., Rodriguez-Corcho, A.F., Bayona, G., Continental margin response to multiple arc-continent collisions: The northern Andes-Caribbean margin (2019) Earth-Science Rev, 198; Mora, A., Parra, M., Strecker, M.R., The eastern foothills of the Eastern Cordillera of Colombia: an example of multiple factors controlling structural styles and active tectonics (2010) Bull Geol Soc Am, 122, pp. 1846-1864; Mora-Páez, H., Kellogg, J.N., Freymueller, J.T., Crustal deformation in the northern Andes—a new GPS velocity field (2019) J South Am Earth Sci; Neuwerth, R., Suter, F., Guzman, C.A., Gorin, G.E., Soft-sediment deformation in a tectonically active area: the Plio-Pleistocene Zarzal Formation in the Cauca Valley (Western Colombia) (2006) Sediment Geol, 186, pp. 67-88; Noriega-Londoño, S., Bermúdez, M.A., Marín-Cerón, M.I., Earthquake ground deformation using DInSAR analysis and instrumental seismicity: The 2019 M 6.0 Mesetas Earthquake, Meta, Colombia (2021) Boletín La Soc Geológica Mex, 73, pp. 1-18; Ollarves, R.J., Audemard, F.A., López, M.C., Morphotectonic criteria for the identification of active blind thrust faulting in alluvial environments: case studies from Venezuela and Colombia (2006) Zeitschrift Fur Geomorphol Suppl, 145, pp. 81-103; Osorio, J., Montes, N., Velandia, F., Paleosismología de la Falla de Ibagué. Publicaciones Especiales (2008) INGEOMINAS, 29, pp. 1-242; París, G., Machette, M.N., Dart, R.L., Haller, K.M., Map and Database of Quaternary Faults and Folds in Colombia and Its Offshore Regions. Open-File Report 2000–284 (2000) USGS; París, G., Romero, R., Fallas Activas En Colombia (1994) Bol Geol, 34, pp. 3-26; Parra, M., Mora, A., Jaramillo, C., Tectonic controls on Cenozoic foreland basin development in the north-eastern Andes (2010) Colombia Basin Res; Pennington, W.D., Subduction of the Eastern Panama Basin and Seismotectonics of Northwestern South America (1981) J Geophys Res, 86, pp. 10753-10770; Pérez-Consuegra, N., Ott, R.F., Hoke, G.D., Neogene variations in slab geometry drive topographic change and drainage reorganization in the Northern Andes of Colombia (2021) Glob Planet Change; Piedrahita, V.A., Molina-Garza, R.S., Sierra, G.M., Duque-Trujillo, J.F., Paleomagnetism and magnetic fabrics of Mio-Pliocene hypabyssal rocks of the Combia event, Colombia: tectonic implications (2017) Stud Geophys Geod, 61, pp. 772-800; Rovida, A., Tibaldi, A., Propagation of strike-slip faults across Holocene volcano-sedimentary deposits, Pasto, Colombia (2005) J Struct Geol, 27, pp. 1838-1855; Siravo, G., Faccenna, C., Gérault, M., Slab flattening and the rise of the Eastern Cordillera, Colombia (2019) Earth Planet Sci Lett, 512, pp. 100-110; Siravo, G., Fellin, M.G., Faccenna, C., Transpression and the build-up of the Cordillera: the example of the Bucaramanga fault (Eastern Cordillera, Colombia) (2019) J Geol Soc London, 177, pp. 14-30; Soumaya, A., Ben Ayed, N., Rajabi, M., Active faulting geometry and stress pattern near complex strike-slip systems along the Maghreb Region: constraints on active convergence in the Western Mediterranean (2018) Tectonics, 37, pp. 3148-3173; Suter, F., Sartori, M., Neuwerth, R., Gorin, G., Structural imprints at the front of the Chocó-Panamá indenter: field data from the North Cauca Valley Basin, Central Colombia (2008) Tectonophysics, 460, pp. 134-157; Syracuse, E.M., Maceira, M., Prieto, G.A., Multiple plates subducting beneath Colombia, as illuminated by seismicity and velocity from the joint inversion of seismic and gravity data (2016) Earth Planet Sci Lett, 444, pp. 139-149; Taboada, A., Rivera, L.A., Fuenzalida, A., Geodynamics of the northern Andes: subductions and intracontinental deformation (Colombia) (2000) Tectonics, 19, pp. 787-813; Tesón, E., Mora, A., Silva, A., Relationship of Mesozoic graben development, stress, shortening magnitude, and structural style in the Eastern Cordillera of the Colombian Andes (2013) Geol Soc London Spec Publ, 377, pp. 257-283; Tibaldi, A., Romero, J., Morphometry of late Pleistocene-Holocene faulting and volcanotectonic relationship in the southern Andes of Colombia (2000) Tectonics, 19, pp. 358-377; Toro, A., Osorio, J., Determinación de los tensores de esfuerzos actuales para diferentes regiones del territorio colombiano calculados a partir de mecanismos focales de sismos mayores (2002) INGEOMINAS – Internal Report, pp. 1-229; Townend, J., Zoback, M.D., Stress, strain, and mountain building in central Japan (2006) J Geophys Res Solid Earth, 111, pp. 1-11; Trenkamp, R., Kellogg, J.N., Freymueller, J.T., Mora, H.P., Wide plate margin deformation, southern Central America and northwestern South America, CASA GPS observations (2002) J South Am Earth Sci, 15, pp. 157-171; Trenkamp, R., Mora, H., Salcedo, E., Kellogg, J., Possible rapid strain accumulation rates near Cali, Colombia, Determined From Gps Measurements (1996–2003) (2004) Earth Sci Res J, 8, pp. 25-33; Twiss, R.J., Unruh, J.R., Analysis of fault slip inversions: do they constrain stress or strain rate? (1998) J Geophys Res Solid Earth, 103, pp. 12205-12222; van der Hilst, R.D., Mann, W.P., Tectonic implications of tomographic images of subducted lithosphere beneath northwestern South America (1994) Geology, 22, pp. 451-454; Vargas, C.A., Mann, P., Tearing and breaking off of subducted slabs as the result of collision of the Panama Arc-Indenter with Northwestern South America (2013) Bull Seismol Soc Am, 103, pp. 2025-2046; Velandia, F., Bermúdez, M.A., The transpressive southern termination of the Bucaramanga fault (Colombia): Insights from geological mapping, stress tensors, and fractal analysis (2018) J Struct Geol, 115, pp. 190-207; Velandia, F., Acosta, J., Terraza, R., Villegas, H., The current tectonic motion of the Northern Andes along the Algeciras Fault System in SW Colombia (2005) Tectonophysics, 399, pp. 313-329; Velandia, F., García-Delgado, H., Zuluaga, C.A., Present-day structural frame of the Santander Massif and Pamplona Wedge: the interaction of the Northern Andes (2020) J Struct Geol; Velandia, F., Bermúdez, M.A., Kohn, B., Cenozoic exhumation patterns in the northern Andes: constraints from the southern Bucaramanga Fault, Eastern Cordillera (2021) Colombia J South Am Earth Sci, 111; Veloza, G., Taylor, M., Mora, A., Gosse, J., Active mountain building along the eastern Colombian Subandes: a folding history from deformed terraces across the Tame anticline, Llanos Basin (2015) Bull Geol Soc Am, 127, pp. 1155-1173; Vergara, H., (1996) Rasgos y actividad neotectónica de la Falla de Algeciras. Memorias VII Congreso Colombiano de Geología, pp. 491-500; Vinasco, C., The Romeral shear zone. In: Cediel F, Shaw R (eds) Geology and tectonics of Northwestern South America: The Pacific-Caribbean-Andean junction. Front (2019) Earth Sci, pp. 833-876. , https://doi.org/10.1007/978-3-319-76132-9_12; Wagner, L.S., Jaramillo, J.S., Ramírez-Hoyos, L.F., Transient slab flattening beneath Colombia (2017) Geophys Res Lett, 44, pp. 6616-6623; Wallace, L.M., Beavan, J., McCaffrey, R., Darby, D., Subduction zone coupling and tectonic block rotations in the North Island, New Zealand (2004) J Geophys Res Solid Earth, 109, pp. 1-21; Willemann, R.J., Storchak, D.A., Data collection at the International seismological centre (2001) Seis Res Lett, 72, pp. 440-453; Ziegler, M., Heidbach, O., (2019) Manual of the Matlab Script Stress2grid V1.1; Zoback, M.L., First-and second-order patterns of stress in the lithosphere: the World Stress Map Project (1992) J Geophys Res</t>
  </si>
  <si>
    <t>García-Delgado, H.; Department of Earth and Environmental Sciences, United States; email: helbertgarciad@gmail.com</t>
  </si>
  <si>
    <t>IJESF</t>
  </si>
  <si>
    <t>2-s2.0-85134569538</t>
  </si>
  <si>
    <t>Martinez-Ovalle S.A., Sajo-Bohus L., Sajo-Castelli A.M.</t>
  </si>
  <si>
    <t>54583883900;56283475800;39362341200;</t>
  </si>
  <si>
    <t>Linac natW target close-in geometry photoneutron study by nuclear track distribution function</t>
  </si>
  <si>
    <t>Applied Radiation and Isotopes</t>
  </si>
  <si>
    <t>https://www.scopus.com/inward/record.uri?eid=2-s2.0-85134304411&amp;doi=10.1016%2fj.apradiso.2022.110360&amp;partnerID=40&amp;md5=083f53e19c007b4ab1980c7fbbaaf83d</t>
  </si>
  <si>
    <t>Universidad Pedagógica y Tecnológica de Colombia, Boyacá, Tunja, CP 150003, Colombia; Universidad Simón Bolívar, Baruta Ap.do 89000, Caracas, YV-1080a, Venezuela; Numerical Algorithms Group Ltd, 30 St Giles, Oxford, OX1 3LE, United Kingdom; Centro de Cancerología de Boyacá, Boyacá, Tunja, CP 150003, Colombia</t>
  </si>
  <si>
    <t>Martinez-Ovalle, S.A., Universidad Pedagógica y Tecnológica de Colombia, Boyacá, Tunja, CP 150003, Colombia, Centro de Cancerología de Boyacá, Boyacá, Tunja, CP 150003, Colombia; Sajo-Bohus, L., Universidad Simón Bolívar, Baruta Ap.do 89000, Caracas, YV-1080a, Venezuela; Sajo-Castelli, A.M., Numerical Algorithms Group Ltd, 30 St Giles, Oxford, OX1 3LE, United Kingdom</t>
  </si>
  <si>
    <t>During electron beam stopping on natW target in a linear accelerator, photonuclear (γ, xn) reactions occur; the tungsten converter provides a non-negligible neutron yield with an energy spectrum that significantly depends on surrounding mass nuclei. Reduction of the neutron radiation field is convenient to limit the side-effects that accompany the tumor or cancer radiotherapy. A close-in irradiation geometry is proposed to improve therapy effectiveness. The convenience of the proposed experimental arrangement is assessed using Monte Carlo simulation and experimental results based on nuclear track-etch methodology. Photoneutron yield for two energy groups (thermal and epithermal) are determined experimentally via boron (98%) converter and cadmium-filter employing a passive detector (poly allyl di-glicol carbonate polimer). Etched track diameter histograms are described by distribution functions to determine the ratio between thermal and higher energy neutrons. New insights are given into therapy beam quality and radiotherapy dose delivery based on bar histograms unfolding. © 2022</t>
  </si>
  <si>
    <t>Boron converter; Close-in target geometry; Histogram unfolding; PADC; Photoneutron; Radiotherapy</t>
  </si>
  <si>
    <t>Boron; Distribution functions; Geometry; Graphic methods; Intelligent systems; Linear accelerators; Monte Carlo methods; Radiation effects; Boron converter; Close-in target geometry; Distribution-functions; Electron-beam; Histogram unfolding; Nuclear tracks; PADC; Photoneutron; Thermal; Unfoldings; Radiotherapy; boron; computer simulation; magnetic and electromagnetic equipment; Monte Carlo method; neutron; Boron; Computer Simulation; Monte Carlo Method; Neutrons; Particle Accelerators</t>
  </si>
  <si>
    <t>boron, 7440-42-8; Boron</t>
  </si>
  <si>
    <t>We would like to acknowledge Dra Maria Eugenia Morales who kindly supplied track analysis equipment and the Centro de Cancerologia de Boyacá which provided the LINAC irradiation facility. In particular, one of the authors (L. S–B) acknowledges the financial support provided during his visit by the UPTC of Tunja, Colombia.</t>
  </si>
  <si>
    <t>Boukerdja, L., Seghour, A., Dendene, O., Ali, A., Slamene, H., Application of CR-39™ SSNTD with a boron converter for the characterization of the external neutron beam of a powder diffractometer (2014) J. Radioanal. Nucl. Chem., 302, pp. 1159-1165; Castillo, R., Dávila, J., Sajo-Bohus, L., Estimate of photoneutrons generated by 6-18 MV X-ray beams for radiotherapy techniques (2014) Proc. Sci., 194, pp. 1-6; Cavallaro, S., Note: fast neutron efficiency in CR-39 nuclear track detectors (2015) Rev. Sci. Instrum., 86; Cinausero, M., Sajo-Castelli, A.M., Sajo-Bohus, L., Palfalvi, J., Espinosa, G., PADC-NTM applied in ⁷Li+ Pb at 31 MeV reaction products study (2020) J. Nucl. Phys. Mater. Sci., Radiat. Appl., 7, pp. 109-115; Durrani, S.A., Bull, R.K., (2013) Solid State Nuclear Track Detection: Principles, Methods and Applications, , Elsevier; Espinosa, E., Golzarri, J.I., Raya-Arredondo, R., Cruz-Galindo, S., Sajo-Bohus, L., Neutron detection of the Triga Mark III reactor, using nuclear track methodology (2015) AIP Conf. Proc., 1671; Jiménez, J.S., Lagos, M.D., Martinez-Ovalle, S.A., A Monte Carlo study of the photon spectrum due to the different materials used in the construction of flattening filters of LINAC (2017) Comput. Math. Methods Med., , 3621631; Konefał, A., Undesirable radioisotopes induced by therapeutic beams from medical linear accelerators (2011) Radioisotopes-Applications in Bio-Medical Science, pp. 127-150. , N. Singh IntechOpen; Lima-Flores, A., Palomino-Merino, R., Espinosa, E., Castano, V.M., Guzman-Gatica, L., Espinosa, G., Analysis and characterization of neutron scattering of a Linear Accelerator (LINAC) on medical applications (2017) J. Nucl. Phys. Mater. Sci., Radiat. Appl., 5, pp. 65-78; Lounis-Mokrani, Z., Badreddine, A., Mebhah, D., Imatoukene, D., Fromm, M., Allab, M., Determination of the proton latent track dimensions in CR-39 detectors using small angle neutron scattering (2008) Radiat. Meas., 43, pp. S41-S47; Martínez‐Ovalle, S.A., Barquero, R., Gómez‐Ros, J.M., Lallena, A.M., Neutron dosimetry in organs of an adult human phantom using linacs with multileaf collimator in radiotherapy treatments (2012) Med. Phys., 39, pp. 2854-2866; Mauri, G., Messi, F., Kanaki, K., Hall-Wilton, R., Karnickis, E., Khaplanov, A., Piscitelli, F., Fast neutron sensitivity of neutron detectors based on boron-10 converter layers (2018) J. Instrum., 13; (1984) Neutron Contamination from Medical Electron Accelerators: Recommendations of the National Council on Radiation Protection and Measurements, 60. , Ncrp Reprt Bethesda, MD, USA; Ovalle, S.A., Neutron dose equivalent in tissue due to linacs of clinical use (2013) Front. In Radiat. Oncol., IntechOpen., pp. 91-112. , T. Kataria; Pálfalvi, J.K., Sajó-Bohus, L., Balaskó, M., Balásházy, I., Neutron field mapping and dosimetry by CR-39 for radiography and other applications (2001) Radiat. Meas., 34, pp. 471-475; Pelowitz, D.B., MCNPXTM User's Manual, version 2.5. 0. LA-CP-05e0369 (2005), Los Alamos National Laboratory; Sajo-Bohus, L., Greaves, E.D., Pálfalvi, J.K., Boron studies in interdisciplinary fields employing nuclear track detectors (NTDs) (2011) Radioisotopes - Applications in Bio-Medical Science, p. 173. , N. Singh InTech; Shende, R., Gupta, G., Dhoble, S.J., Patel, G., Dassharma, A., Proposing a novel graphical method to determine effective bremsstrahlung focal spot size and shape of the therapeutic beam from a linear accelerator in radiation therapy (2021) Nucl. Instrum. Methods Phys. Res. A, 1012; Thoennessen, M., The Discovery of Isotopes (2016), Springer Switzerland; Vega-Carrillo, H.R., Martinez-Ovalle, S.A., Lallena, A.M., Mercado, G.A., Benites-Rengifo, J.L., Neutron and photon spectra in LINACs (2012) Appl. Radiat. Isot., 71, pp. 75-80; Zamani, M., Charalambous, S., The response of CR-39 to gamma radiation (1984) Nucl. Tracks Radiat. Meas., 8 (1-4), pp. 183-185</t>
  </si>
  <si>
    <t>Martinez-Ovalle, S.A.; Universidad Pedagógica y Tecnológica de Colombia, Boyacá, Colombia; email: s.agustin.martinez@uptc.edu.co</t>
  </si>
  <si>
    <t>ARISE</t>
  </si>
  <si>
    <t>2-s2.0-85134304411</t>
  </si>
  <si>
    <t>Parra-Montaño J.D., Mateus-Rincon K.C., Aranguren-Borrás J.V., Medrano-Robayo M., Figueredo-López A., González-Amaya L.M., Vega-Valderrama J.D., González-Bautista L.F., Becerra-Embus A.L., Aponte-Rubio Y., Alfonso-González H., Buitrago S.P., Garzón-Ospina D.</t>
  </si>
  <si>
    <t>57709999400;57710765500;57711275100;57711275200;57710511800;57709999500;57711275300;57709999600;57711531200;57709751700;57710765600;55608772200;35490326100;</t>
  </si>
  <si>
    <t>https://www.scopus.com/inward/record.uri?eid=2-s2.0-85130697935&amp;doi=10.1007%2fs00251-022-01266-5&amp;partnerID=40&amp;md5=7469cdd2cf4784372baf9b6cbc8f7ad9</t>
  </si>
  <si>
    <t>Lab of the Genetics I Course, Biology Program at the School of Biological Sciences, Universidad Pedagógica Y Tecnológica de Colombia - UPTC, Boyacá, Tunja, Colombia; PGAME - Population Genetics And Molecular Evolution, Fundación Scient, Boyacá, Tunja, Colombia; GEBIMOL, School of Biological Sciences, Universidad Pedagógica Y Tecnológica de Colombia - UPTC, Boyacá, Tunja, Colombia; GEO, School of Biological Sciences, Universidad Pedagógica Y Tecnológica de Colombia - UPTC, Boyacá, Tunja, Colombia</t>
  </si>
  <si>
    <t>Parra-Montaño, J.D., Lab of the Genetics I Course, Biology Program at the School of Biological Sciences, Universidad Pedagógica Y Tecnológica de Colombia - UPTC, Boyacá, Tunja, Colombia; Mateus-Rincon, K.C., Lab of the Genetics I Course, Biology Program at the School of Biological Sciences, Universidad Pedagógica Y Tecnológica de Colombia - UPTC, Boyacá, Tunja, Colombia; Aranguren-Borrás, J.V., Lab of the Genetics I Course, Biology Program at the School of Biological Sciences, Universidad Pedagógica Y Tecnológica de Colombia - UPTC, Boyacá, Tunja, Colombia; Medrano-Robayo, M., Lab of the Genetics I Course, Biology Program at the School of Biological Sciences, Universidad Pedagógica Y Tecnológica de Colombia - UPTC, Boyacá, Tunja, Colombia; Figueredo-López, A., Lab of the Genetics I Course, Biology Program at the School of Biological Sciences, Universidad Pedagógica Y Tecnológica de Colombia - UPTC, Boyacá, Tunja, Colombia; González-Amaya, L.M., Lab of the Genetics I Course, Biology Program at the School of Biological Sciences, Universidad Pedagógica Y Tecnológica de Colombia - UPTC, Boyacá, Tunja, Colombia; Vega-Valderrama, J.D., Lab of the Genetics I Course, Biology Program at the School of Biological Sciences, Universidad Pedagógica Y Tecnológica de Colombia - UPTC, Boyacá, Tunja, Colombia; González-Bautista, L.F., Lab of the Genetics I Course, Biology Program at the School of Biological Sciences, Universidad Pedagógica Y Tecnológica de Colombia - UPTC, Boyacá, Tunja, Colombia; Becerra-Embus, A.L., Lab of the Genetics I Course, Biology Program at the School of Biological Sciences, Universidad Pedagógica Y Tecnológica de Colombia - UPTC, Boyacá, Tunja, Colombia; Aponte-Rubio, Y., Lab of the Genetics I Course, Biology Program at the School of Biological Sciences, Universidad Pedagógica Y Tecnológica de Colombia - UPTC, Boyacá, Tunja, Colombia; Alfonso-González, H., Lab of the Genetics I Course, Biology Program at the School of Biological Sciences, Universidad Pedagógica Y Tecnológica de Colombia - UPTC, Boyacá, Tunja, Colombia; Buitrago, S.P., PGAME - Population Genetics And Molecular Evolution, Fundación Scient, Boyacá, Tunja, Colombia, GEBIMOL, School of Biological Sciences, Universidad Pedagógica Y Tecnológica de Colombia - UPTC, Boyacá, Tunja, Colombia, GEO, School of Biological Sciences, Universidad Pedagógica Y Tecnológica de Colombia - UPTC, Boyacá, Tunja, Colombia; Garzón-Ospina, D., PGAME - Population Genetics And Molecular Evolution, Fundación Scient, Boyacá, Tunja, Colombia, GEBIMOL, School of Biological Sciences, Universidad Pedagógica Y Tecnológica de Colombia - UPTC, Boyacá, Tunja, Colombia, GEO, School of Biological Sciences, Universidad Pedagógica Y Tecnológica de Colombia - UPTC, Boyacá, Tunja, Colombia</t>
  </si>
  <si>
    <t>Immunoglobulin G (IgG) is an essential antibody in adaptive immunity; a differential expansion of the gene encoding the Fc region (IGHG) of this antibody has been observed in mammals. Like humans, animal biomedical models, such as mice and macaques, have four functional genes encoding 4 IgG subclasses; however, the data for New World monkeys (NWM) seems contentious. Some publications argue for the existence of a single-copy gene for IgG Fc; however, a recent paper has suggested the presence of IgG subclasses in some NWM species. Here, we evaluated the genetic distances and phylogenetic relationships in NWM to assess the presence of IgG subclasses using the sequences of IGHG genes from 13 NWM species recovered from genomic data and lab PCR and cloning-based procedures available in GenBank. The results show that several sequences do not cluster into the expected taxon, probably due to cross-contamination during laboratory procedures, and consequently, they appear to be wrongly assigned. Additionally, several sequences reported as subclasses were shown to be 100% identical in the CH domains. The data presented here suggests that there is not enough evidence to establish the presence of IgG subclasses in NWM. © 2022, The Author(s), under exclusive licence to Springer-Verlag GmbH Germany, part of Springer Nature.</t>
  </si>
  <si>
    <t>IgG subclasses; IGHG; Immunoglobulin G; New world monkeys</t>
  </si>
  <si>
    <t>immunoglobulin G; immunoglobulin G; amino acid substitution; Aotus nancymaae; Article; Cebus albifrons; Cebus capucinus; DNA sequence; gene duplication; gene sequence; genetic distance; laboratory test; nonhuman; phylogenetic tree; phylogeny; Platyrrhini; Pongo abelii; pseudogene; animal; genetics; human; mammal; mouse; phylogeny; Animals; Humans; Immunoglobulin G; Mammals; Mice; Phylogeny; Platyrrhini</t>
  </si>
  <si>
    <t>immunoglobulin G, 97794-27-9, 308067-58-5; Immunoglobulin G</t>
  </si>
  <si>
    <t>Bournazos, S., Ravetch, J.V., Diversification of IgG effector functions (2017) Int Immunol, 29, pp. 303-310. , COI: 1:CAS:528:DC%2BC1cXhsVKrt70%3D; Brusco, A., Carbonara, A.O., Crovella, S., Bottaro, A., Primate immunoglobulin heavy chain constant gamma genes: an hypothesis of their evolution (1998) Hum Evol, 13, pp. 49-56; Capra, J.D., Tucker, P.W., Human immunoglobulin heavy chain genes (1989) J Biol Chem, 264, pp. 12745-12748. , COI: 1:CAS:528:DyaL1MXlt1OktLc%3D; Fahey, J.L., Wunderlich, J., Mishell, R., The immunoglobulins of mice. I. Four major classes of immunoglobulins: 7s Gamma-2-, 7s Gamma-1-, Gamma-1a (Beta-2a)-, and 18s Gamma-1m-Globulins (1964) J Exp Med, 120, pp. 223-242. , COI: 1:CAS:528:DyaF2cXkvVKqurc%3D; Garzon-Ospina, D., Buitrago, S.P., Igh locus structure and evolution in Platyrrhines: new insights from a genomic perspective (2020) Immunogenetics, 72, pp. 165-179; Garzón-Ospina, D., Buitrago, S.P., Immunoglobulin heavy constant gamma gene evolution is modulated by both the divergent and birth-and-death evolutionary models (2021) Biorxiv 2021.08.12.456010; Grey, H.M., Hirst, J.W., Cohn, M., A new mouse immunoglobulin: IgG3 (1971) J Exp Med, 133, pp. 289-304. , COI: 1:CAS:528:DyaE3MXnsVaqug%3D%3D; Huelsenbeck, J.P., Ronquist, F., Nielsen, R., Bollback, J.P., Bayesian inference of phylogeny and its impact on evolutionary biology (2001) Science, 294, pp. 2310-2314. , COI: 1:CAS:528:DC%2BD3MXptFGkt7k%3D; Kondrashov, F.A., Kondrashov, A.S., Role of selection in fixation of gene duplications (2006) J Theor Biol, 239, pp. 141-151. , COI: 1:CAS:528:DC%2BD28XitVGhu78%3D; Krakauer, D.C., Nowak, M.A., Evolutionary preservation of redundant duplicated genes (1999) Semin Cell Dev Biol, 10, pp. 555-559. , COI: 1:CAS:528:DyaK1MXnvFOmsbs%3D; Kumar, S., Stecher, G., Suleski, M., Hedges, S.B., TimeTree: a resource for timelines, timetrees, and divergence times (2017) Mol Biol Evol, 34, pp. 1812-1819. , COI: 1:CAS:528:DC%2BC1cXitFOmtrfI; Lynch, M., Conery, J.S., The evolutionary fate and consequences of duplicate genes (2000) Science, 290, pp. 1151-1155. , COI: 1:CAS:528:DC%2BD3cXotVChsb8%3D; Nguyen, D.C., Sanghvi, R., Scinicariello, F., Pulit-Penaloza, J., Hill, N., Attanasio, R., Cynomolgus and pigtail macaque IgG subclasses: characterization of IGHG genes and computational analysis of IgG/Fc receptor binding affinity (2014) Immunogenetics, 66, pp. 361-377. , COI: 1:CAS:528:DC%2BC2cXnvF2mu7o%3D; Olivieri, D.N., Gambon Deza, F., Immunoglobulin genes in Primates (2018) Mol Immunol, 101, pp. 353-363. , COI: 1:CAS:528:DC%2BC1cXhtlKlsrzP; Posada, D., jModelTest: phylogenetic model averaging (2008) Mol Biol Evol, 25, pp. 1253-1256. , COI: 1:CAS:528:DC%2BD1cXotlKgsb4%3D; Ramesh, A., Darko, S., Hua, A., Overman, G., Ransier, A., Francica, J.R., Trama, A., Kepler, T.B., Structure and diversity of the rhesus macaque immunoglobulin loci through multiple de novo genome assemblies (2017) Front Immunol, 8, p. 1407; Schroeder, H.W., Jr., Cavacini, L., Structure and function of immunoglobulins (2010) J Allergy Clin Immunol, 125, pp. S41-S52; Sun, Y., Liu, Z., Ren, L., Wei, Z., Wang, P., Li, N., Zhao, Y., Immunoglobulin genes and diversity: what we have learned from domestic animals (2012) J Anim Sci Biotechnol, 3, p. 18. , COI: 1:CAS:528:DC%2BC3sXivFGksLc%3D; Tamura, K., Stecher, G., Kumar, S., MEGA11: Molecular Evolutionary Genetics Analysis Version 11 (2021) Mol Biol Evol, 38, pp. 3022-3027. , COI: 1:CAS:528:DC%2BB3MXitlCktrfN; Trifinopoulos, J., Nguyen, L.-T., von Haeseler, A., Minh, B.Q., W-IQ-TREE: a fast online phylogenetic tool for maximum likelihood analysis (2016) Nucleic Acids Res, 44, pp. W232-W235. , COI: 1:CAS:528:DC%2BC2sXhtV2isbfN; Vidarsson, G., Dekkers, G., Rispens, T., IgG subclasses and allotypes: from structure to effector functions (2014) Front Immunol, 5, p. 520; Yepes-Perez, Y., Rodriguez-Obediente, K., Camargo, A., Diaz-Arevalo, D., Patarroyo, M.E., Patarroyo, M.A., Molecular characterisation of parvorder Platyrrhini IgG sub-classes (2021) Mol Immunol, 139, pp. 23-31. , COI: 1:CAS:528:DC%2BB3MXhvVKms7nL</t>
  </si>
  <si>
    <t>Garzón-Ospina, D.; PGAME - Population Genetics And Molecular Evolution, Boyacá, Colombia; email: degarzon@gmail.com</t>
  </si>
  <si>
    <t>IMNGB</t>
  </si>
  <si>
    <t>2-s2.0-85130697935</t>
  </si>
  <si>
    <t>Manjarres-Hernández E.H., Morillo-Coronado A.C.</t>
  </si>
  <si>
    <t>57217164726;57209509524;</t>
  </si>
  <si>
    <t>Genetic Resources and Crop Evolution</t>
  </si>
  <si>
    <t>https://www.scopus.com/inward/record.uri?eid=2-s2.0-85128167784&amp;doi=10.1007%2fs10722-022-01383-w&amp;partnerID=40&amp;md5=b8379848add1107b9c7036794baca97e</t>
  </si>
  <si>
    <t>Grupo CIDE Competitividad Innovación y Desarrollo Empresarial, Facultad de Ciencias Agropecuarias, Universidad Pedagógica y Tecnológica de Colombia, Tunja, Colombia</t>
  </si>
  <si>
    <t>Manjarres-Hernández, E.H., Grupo CIDE Competitividad Innovación y Desarrollo Empresarial, Facultad de Ciencias Agropecuarias, Universidad Pedagógica y Tecnológica de Colombia, Tunja, Colombia; Morillo-Coronado, A.C., Grupo CIDE Competitividad Innovación y Desarrollo Empresarial, Facultad de Ciencias Agropecuarias, Universidad Pedagógica y Tecnológica de Colombia, Tunja, Colombia</t>
  </si>
  <si>
    <t>Chenopodium quinoa Willd. is a species of great interest for global food security because of its ability to adapt to different environmental conditions and its nutritional quality. In Colombia, there are few studies on the genetic diversity of quinoa, and there are no certified seed or registered varieties. Therefore, farmers plant a mixture of genotypes, which is why maximum yield and production are not achieved. The objective of this research was to characterize the genetic diversity in Colombian quinoa crops, for which 30 accessions were evaluated using 27 microsatellite markers. A total of 144 alleles were obtained, with a range of 2–7 alleles per locus (mean = 5.33). The average Polymorphic Information Content (PIC) was 0.60, where QAAT100 (0.80), QAAT112 (0.78), QAAT076 (0.78) and QCA088 (0.77) were the most informative. The expected heterozygosity index (He = 0.69) showed high genetic diversity for the analyzed individuals. Three population groups were detected (K1, K2, K3), whose genetic distances were less than 0.33. The individuals were not grouped according to their geographical origin. The low rates of genetic differentiation in the populations may have been due to the lack of certified seeds, to non-directional selection, and to constant exchange of seeds between farmers in the main producing areas of the Andean region. This study provided preliminary information for the high genetic diversity in Colombian quinoa that can be used for the development of genetic improvement programs for this species. © 2022, The Author(s), under exclusive licence to Springer Nature B.V.</t>
  </si>
  <si>
    <t>Chenopodium quinoa; Genetic diversity; Genetic improvement; Microsatellites</t>
  </si>
  <si>
    <t>environmental conditions; food security; genetic differentiation; heterozygosity; reproductive behavior; yield response; Colombia</t>
  </si>
  <si>
    <t>To the “Patrimonio Autónomo Fondo Nacional de Financiamiento para la Ciencia, la Tecnología y la Innovación Francisco José de Caldas- MinCiencias. Cód. 63924”, to the CIDE group Competitiveness, Innovation, and Business Development of the Faculty of Agricultural Sciences of the UPTC.</t>
  </si>
  <si>
    <t>Ahmadi, S.H., Solgi, S., Sepaskhah, A.R., Quinoa: A super or pseudo-super crop? Evidences from evapotranspiration, root growth, crop coefficients, and water productivity in a hot and semi-arid area under three planting densities (2019) Agric Water Manag, 225, p. 105784; Bonifacio, A., Improvement of Quinoa (Chenopodium quinoa Willd.) and Qañawa (Chenopodium pallidicaule Aellen) in the context of climate change in the high Andes (2019) Cienc Investig Agraria, 46 (2), pp. 113-124; Christensen, S.A., Pratt, D.B., Pratt, C., Nelson, P.T., Stevens, M.R., Jellen, E.N., Coleman, C.E., Maughan, P.J., Assessment of genetic diversity in the USDA and CIP-FAO international nursery collections of quinoa (Chenopodium quinoa Willd.) using microsatellite markers (2007) Plant Genet Resour, 5 (2), pp. 82-95; Del Castillo, C., Winkel, T., Mahy, G., Bizoux, J.P., Genetic structure of quinoa (Chenopodium quinoa Willd.) from the Bolivian altiplano as revealed by RAPD markers (2007) Genet Resour Crop Evol, 54 (4), pp. 897-905; Dellaporta, S.L., Wood, J., Hicks, J.B., A plant DNA minipreparation: version II (1983) Plant Mol Biol Rep, 1 (4), pp. 19-21. , COI: 1:CAS:528:DyaL2cXksFWhtrk%3D; El-Harty, E.H., Ghazy, A., Alateeq, T.K., Al-Faifi, S.A., Khan, M.A., Afzal, M., Alghamdi, S.S., Migdadi, H.M., Morphological and molecular characterization of quinoa genotypes (2021) Agriculture, 11, p. 286; Fuentes, F., Maughan, P.J., Jellen, E.R., Diversidad genética y recursos geneticos para el mejoramiento de la quinoa (Chenopodium quinoa Willd.) (2009) Rev Geogr Valpso, 42, pp. 20-33; Fuentes, F.F., Bazile, D., Bhargava, A., Martínez, E.A., Implications of farmers’ seed exchanges for on-farm conservation of quinoa, as revealed by its genetic diversity in Chile (2012) J Agric Sci, 150 (6), pp. 702-716; García, M., Zurita, A., Stechauner, R., Roa, D., Jacobsen, S.E., Quinoa (Chenopodium quinoa Willd.) and its relationship with agroclimatic characteristics: a colombian perspective (2020) Chil J Agric Res, 80 (2), pp. 290-302; García, M., Roa, D.F., Stechauner, R., García, F., Bazile, D., Plazas, N., Effect of temperature on the growth and development of quinoa plants (Chenopodium quinoa Willd.): a review on a global scale (2020) Sylwan, 164 (5), pp. 1-23; Iftikhar, M., Muscolo, A., Ahmed, M., Asghar, M.A., Al-Dakheel, A.J., Agro-morphological, yield and quality traits and interrelationship with yield stability in quinoa (Chenopodium quinoa Willd.) genotypes under saline marginal environment (2020) Plants, 9 (12), pp. 1-18; Infante, R., Albesiano, S., Arrieta, L., Gómez, N., Morphological characterization of varieties of Chenopodium quinoa cultivated in the department of Boyacá, Colombia (2018) Rev UDCA Actual Divulg Cient, 21 (2), pp. 329-339; Jaikishun, S., Li, W., Yang, Z., Song, S., Quinoa: in perspective of global challenges (2019) Agronomy, 9 (4), pp. 1-15; Jarvis, D.E., Kopp, O.R., Jellen, E.N., Mallory, M.A., Pattee, J., Bonifacio, A., Coleman, C.E., Maughan, P.J., Simple sequence repeat marker development and genetic mapping in quinoa (Chenopodium quinoa Willd.) (2008) J Genet, 87 (1), pp. 39-51; Maliro, M.F., Njala, A.L., Agronomic performance and strategies of promoting quinoa (Chenopodium quinoa Willd.) in Malawi (2019) Cienc Investig Agraria, 46 (2), pp. 82-99; Maliro, M.F.A., Abang, M.M., Mukankusi, C., Lungaho, M., Fenta, B., Wanderi, S., Kapa, R., Bazile, D., (2021) Prospects for quinoa adaptation and utilization in Eastern and Southern Africa: technological, institutional and policy considerations, , FAO, Addis Ababa; Manjarres, E.H., Morillo, A.C., Ojeda, Z.Z., Cárdenas, A., Arias, D.M., Characterization of the yield components and selection of materials for breeding programs of quinoa (Chenopodium quinoa Willd.) (2021) Euphytica, 217 (6), pp. 1-15; Manjarres, E.H., Arias, D.M., Morillo, A.C., Ojeda, Z.Z., Cárdenas, A., Phenotypic characterization of quinoa (Chenopodium quinoa Willd.) for the selection of promising materials for breeding programs (2021) Plant, 10 (1339), pp. 1-16; Mason, S.L., Stevens, M.R., Jellen, E.N., Bonifacio, A., Fairbanks, D.J., Coleman, C.E., McCarty, R.R., Maughan, P.J., Development and use of microsatellite markers for germplasm characterization in quinoa (Chenopodium quinoa Willd.) (2005) Crop Sci, 45 (4), pp. 1618-1630; Mestanza, C.A., Zambrano, K., Pinargote, J., Veliz, D., Vásconez, G., Fernández, N., Olmos, E., Evaluación agronómica de genotipos de quinua (Chenopodium quinoa Willd.) en condiciones agroclimáticas en la zona de mocache (2019) Cienc Tecnol, 12 (1), pp. 19-30; Morillo, A.C., Manjarres, E.H., Morillo, Y., Molecular characterization of Chenopodium quinoa Willd. using inter-simple sequence repeat (ISSR) markers (2017) Afr J Biotechnol, 16 (10), pp. 483-489; Morillo, A.C., Manjarres, E.H., Reyes, W.L., Morillo, Y., Molecular characterization of intrapopulation genetic diversity in Chenopodium quinoa (Chenopodiaceae) (2020) Genet Mol Res, 19 (4), pp. 1-13; Murphy, K.M., Matanguihan, J.B., Fuentes, F.F., Gómez, L.R., Jellen, E.N., Maughan, P.J., Jarvis, D.E., Quinoa breeding and genomics (2018) Plant Breed Rev, 42, pp. 257-320; Peterson, A.J., Murphy, K.M., Quinoa cultivation for temperate North America: considerations and areas for investigation (2015) Quinoa improvement and sustainable production, pp. 173-192. , Murphy K, Matanguihan J, (eds), Wiley, Hoboken; Pritchard, J.K., Stephens, M., Donnelly, P., Inference of population structure using multilocus genotype data (2000) Genetics, 155, pp. 945-959. , COI: 1:STN:280:DC%2BD3cvislKrtA%3D%3D; Rodríguez, J.P., Rahman, H., Thushar, S., Singh, R.K., Healthy and resilient cereals and pseudo-cereals for marginal agriculture: molecular advances for improving nutrient bioavailability (2020) Front Genet, 11 (49), pp. 1-29; Romero, M., Mujica, A., Pineda, E., Ccamapaza, Y., Zavalla, N., Genetic identity based on simple sequence repeat (SSR) markers for quinoa (Chenopodium quinoa Willd.) (2019) Cienc Investig Agraria, 46 (2), pp. 166-178; Salazar, J., De Lourdes, M., Gutiérrez, B., Torres, A.F., Molecular characterization of Ecuadorian quinoa (Chenopodium quinoa Willd.) diversity: implications for conservation and breeding (2019) Euphytica; Vega, A., Miranda, M., Vergara, J., Uribe, E., Puente, L., Martínez, E.A., Nutrition facts and functional potential of quinoa (Chenopodium quinoa Willd.) an ancient Andean grain: a review (2010) J Sci Food Agric, 90 (15), pp. 2541-2547; Vilcacundo, R., Hernández, B., Nutritional and biological value of quinoa (Chenopodium quinoa Willd.) (2017) Curr Opin Food Sci, 14, pp. 1-6; Wang, M.X., Wu, X.T., Zou, J.W., Zhang, J., Wang, X.Y., Chang, X., Song, W.N., Nie, X.J., Genome-wide microsatellite characterization and marker development in Chenopodium quinoa (2019) Ann Appl Biol, 175 (3), pp. 415-423; Winkel, T., Aguirre, M.G., Arizio, C.M., Aschero, C.A., Babot, M.D.P., Benoit, L., Discontinuities in quinoa biodiversity in the dry Andes: an 18-century perspective based on allelic genotyping (2018) PLoS ONE, 13 (12); Zhang, T., Gu, M., Liu, Y., Lv, Y., Zhou, L., Lu, H., Zhao, H., Development of novel InDel markers and genetic diversity in Chenopodium quinoa through whole-genome re-sequencing (2017) BMC Genom, 18 (1), pp. 1-15</t>
  </si>
  <si>
    <t>Manjarres-Hernández, E.H.; Grupo CIDE Competitividad Innovación y Desarrollo Empresarial, Colombia; email: elsa.manjarres@uptc.edu.co</t>
  </si>
  <si>
    <t>Springer Science and Business Media B.V.</t>
  </si>
  <si>
    <t>GRCEE</t>
  </si>
  <si>
    <t>Genet. Resour. Crop. Evol.</t>
  </si>
  <si>
    <t>2-s2.0-85128167784</t>
  </si>
  <si>
    <t>Mancipe S., Castillo J.-C., Brijaldo M.H., López V.P., Rojas H., Macías M.A., Portilla J., Romanelli G.P., Martínez J.J., Luque R.</t>
  </si>
  <si>
    <t>55184040100;27967485800;52263325400;57219603261;23025604300;25121882000;8341447300;7005511248;7404312604;26643003700;</t>
  </si>
  <si>
    <t>ACS Sustainable Chemistry and Engineering</t>
  </si>
  <si>
    <t>https://www.scopus.com/inward/record.uri?eid=2-s2.0-85138072611&amp;doi=10.1021%2facssuschemeng.2c03209&amp;partnerID=40&amp;md5=d448753628d4c1484d385c6500b48127</t>
  </si>
  <si>
    <t>Escuela de Ciencias Química-Grupo de Catálisis, Universidad Pedagógica y Tecnológica de Colombia, Avenida Central del Norte 39-115, Tunja, 150003, Colombia; Escuela de Ciencias Administrativas y Economicas-Grupo de Investigacion de Farmacia y Medio Ambiente, Universidad Pedagógica y Tecnológica de Colombia, Avenida Central del Norte 39-115, Tunja, 150003, Colombia; Crystallography and Chemistry of Materials, Department of Chemistry, Universidad de Los Andes, Carrera 1 No. 18A-10, Bogotá, 111711, Colombia; Bioorganic Compounds Research Group, Department of Chemistry, Universidad de Los Andes, Carrera 1 No. 18A-10, Bogotá, 111711, Colombia; Centro de Investigación y Desarrollo en Ciencias Aplicadas Dr. Jorge J. Ronco, Universidad Nacional de la Plata, Calle 47 No 257, La Plata, B1900AJK, Argentina; Centro de Investigación en Sanidad Vegetal (CISaV), Cátedra de Química Orgánica, Facultad de Ciencias Agrarias y Forestales, Universidad Nacional de la Plata, Calles 60 y 119 S/N, La Plata, B1904AAN, Argentina; Departamento de Química Orgánica, Grupo FQM-383, Universidad de Córdoba, Campus Universitario de Rabanales, Edificio Marie Curie (C3), Córdoba, E-14014, Spain; Peoples Friendship University of Russia, RUDN University, 6 Miklukho Maklaya Street, Moscow, 117198, Russian Federation</t>
  </si>
  <si>
    <t>Mancipe, S., Escuela de Ciencias Química-Grupo de Catálisis, Universidad Pedagógica y Tecnológica de Colombia, Avenida Central del Norte 39-115, Tunja, 150003, Colombia; Castillo, J.-C., Escuela de Ciencias Química-Grupo de Catálisis, Universidad Pedagógica y Tecnológica de Colombia, Avenida Central del Norte 39-115, Tunja, 150003, Colombia; Brijaldo, M.H., Escuela de Ciencias Administrativas y Economicas-Grupo de Investigacion de Farmacia y Medio Ambiente, Universidad Pedagógica y Tecnológica de Colombia, Avenida Central del Norte 39-115, Tunja, 150003, Colombia; López, V.P., Escuela de Ciencias Química-Grupo de Catálisis, Universidad Pedagógica y Tecnológica de Colombia, Avenida Central del Norte 39-115, Tunja, 150003, Colombia; Rojas, H., Escuela de Ciencias Química-Grupo de Catálisis, Universidad Pedagógica y Tecnológica de Colombia, Avenida Central del Norte 39-115, Tunja, 150003, Colombia; Macías, M.A., Crystallography and Chemistry of Materials, Department of Chemistry, Universidad de Los Andes, Carrera 1 No. 18A-10, Bogotá, 111711, Colombia; Portilla, J., Bioorganic Compounds Research Group, Department of Chemistry, Universidad de Los Andes, Carrera 1 No. 18A-10, Bogotá, 111711, Colombia; Romanelli, G.P., Centro de Investigación y Desarrollo en Ciencias Aplicadas Dr. Jorge J. Ronco, Universidad Nacional de la Plata, Calle 47 No 257, La Plata, B1900AJK, Argentina, Centro de Investigación en Sanidad Vegetal (CISaV), Cátedra de Química Orgánica, Facultad de Ciencias Agrarias y Forestales, Universidad Nacional de la Plata, Calles 60 y 119 S/N, La Plata, B1904AAN, Argentina; Martínez, J.J., Escuela de Ciencias Química-Grupo de Catálisis, Universidad Pedagógica y Tecnológica de Colombia, Avenida Central del Norte 39-115, Tunja, 150003, Colombia; Luque, R., Departamento de Química Orgánica, Grupo FQM-383, Universidad de Córdoba, Campus Universitario de Rabanales, Edificio Marie Curie (C3), Córdoba, E-14014, Spain, Peoples Friendship University of Russia, RUDN University, 6 Miklukho Maklaya Street, Moscow, 117198, Russian Federation</t>
  </si>
  <si>
    <t>5-Hydroxymethylfurfural (HMF) is a well-known platform chemical derivative from biomass. Herein, we described the application of boric acid deposited on hydrotalcite as a catalyst in the Knoevenagel reaction of HMF derivatives and active methylene compounds to afford new HMF derivatives containing an acrylonitrile moiety under solvent-free conditions. The boric acid incorporation method on hydrotalcite conditioned the yields obtained because the aluminum substitution by boron atoms can modify the acidity of these solids. The Knoevenagel adduct structure (3a) was studied and confirmed by X-ray crystallography. This protocol synthesis features operational simplicity, short reaction times, high yields, good to excellent (E)-isomer selectivity, and low catalyst loading. Remarkably, the catalyst could be simply recovered and reused up to five cycles without appreciable loss of catalytic activity. © 2022 American Chemical Society. All rights reserved.</t>
  </si>
  <si>
    <t>active methylene; boric acid; HMF; hydrotalcite; solvent free</t>
  </si>
  <si>
    <t>Boride coatings; Catalyst activity; Catalyst selectivity; X ray crystallography; 5 hydroxymethyl furfurals; Active methylene; Active methylene compounds; Catalyzed synthesis; Hydrotalcites; Knoevenagel condensation; Knoevenagel reaction; Platform chemicals; Solvent free; ]+ catalyst; Boric acid</t>
  </si>
  <si>
    <t>RUDN University</t>
  </si>
  <si>
    <t>The authors acknowledge the Universidad Pedagógica y Tecnológica de Colombia and Universidad de los Andes for the financial support. J.J.M. thanks the Vicerrectoria de Investigaciones-UPTC for the financial support. M.A.M. and J.P. thank the support of the Departamento de Química and Facultad de Ciencias at the Universidad de los Andes, Colombia (projects FAPA-P18.160422.043 and INV-2019-84-1800, respectively). Moreover, G.R. is grateful to CONICET (PIP 0111), Agencia Nacional de Promoción Científica y Técnica ANPCyT (0157), and UNLP. This publication was also supported by the RUDN University Strategic Academic Leadership Program (R.L.).</t>
  </si>
  <si>
    <t>Zhang, Y., Guan, W., Song, H., Wei, Y., Jin, P., Li, B., Yan, C., Yan, Y., Coupled acid and base UiO-66-type MOFs supported on g-C3N4as a bi-functional catalyst for one-pot production of 5-HMF from glucose (2020) Microporous Mesoporous Mater., 305, p. 110328; Cherubini, F., The biorefinery concept: Using biomass instead of oil for producing energy and chemicals (2010) Energy Convers. Manage., 51, pp. 1412-1421; An, J., Sun, G., Xia, H., Aerobic Oxidation of 5-Hydroxymethylfurfural to High-Yield 5-Hydroxymethyl-2-furancarboxylic Acid by Poly(vinylpyrrolidone)-Capped Ag Nanoparticle Catalysts (2019) ACS Sustainable Chem. Eng., 7, pp. 6696-6706; Bender, M.T., Choi, K.-S., Electrochemical Oxidation of HMF via Hydrogen Atom Transfer and Hydride Transfer on NiOOH and the Impact of NiOOH Composition (2022) ChemSusChem, 15, p. e202200675; Marianou, A.A., Michailof, C.M., Pineda, A., Iliopoulou, E.F., Triantafyllidis, K.S., Lappas, A.A., Effect of Lewis and Bronsted acidity on glucose conversion to 5-HMF and lactic acid in aqueous and organic media (2018) Appl. Catal., A, 555, pp. 75-87; Martínez, J.J., Silva, D.F., Aguilera, E.X., Rojas, H.A., Brijaldo, M.H., Passos, F.B., Romanelli, G.P., Dehydration of Glucose to 5-Hydroxymethylfurfural Using LaOCl/Nb2O5Catalysts in Hot Compressed Water Conditions (2017) Catal. Lett., 147, pp. 1765-1774; Pardo Cuervo, O.H., Romanelli, G.P., Cubillos, J.A., Rojas, H.A., Martínez, J.J., Selective Catalytic Dehydration of Xylose to Furfural and Fructose and Glucose to 5-Hydroximethylfurfural (HMF) Using Preyssler Heteropolyacid (2020) ChemistrySelect, 5, pp. 4186-4193; Yang, W., Tang, X., Li, W., Luo, X., Zhang, C., Shen, C., Fast and continuous synthesis of 2,5-furandicarboxylic acid in a micropacked-bed reactor (2022) Chem. Eng. J., 442, p. 136110; Zhang, W., Li, X., Liu, S., Qiu, J., An, J., Yao, J., Zuo, S., Li, C., Photocatalytic Oxidation of 5-Hydroxymethylfurfural over Interfacial-Enhanced Ag/TiO2under Visible Light Irradiation (2022) ChemSusChem, 15, p. e202102158; Zhang, D., Dumont, M.-J., Advances in polymer precursors and bio-based polymers synthesized from 5-hydroxymethylfurfural (2017) J. Polym. Sci., Part A: Polym. Chem., 55, pp. 1478-1492; Esteves, L.M., Brijaldo, M.H., Oliveira, E.G., Martinez, J.J., Rojas, H., Caytuero, A., Passos, F.B., Effect of support on selective 5-hydroxymethylfurfural hydrogenation towards 2,5-dimethylfuran over copper catalysts (2020) Fuel, 270, p. 117524; Sun, S., Lu, X., Meng, X., Ji, P., Controlling morphology and catalysis capability of Sn/Ce porous coordination polymers by cerium coordination for catalytic conversion of glucose to 5-hydroxymethylfurfural (2020) J. Taiwan Inst. Chem. Eng., 108, pp. 102-113; Candu, N., El Fergani, M., Verziu, M., Cojocaru, B., Jurca, B., Apostol, N., Teodorescu, C., Coman, S.M., Efficient glucose dehydration to HMF onto Nb-BEA catalysts (2019) Catal. Today, 325, pp. 109-116; Rani, P., Srivastava, R., Multi-functional metal-organic framework and metal-organic framework-zeolite nanocomposite for the synthesis of carbohydrate derived chemicals via one-pot cascade reaction (2019) J. Colloid Interface Sci., 557, pp. 144-155; Páez, A., Rojas, H.A., Portilla, O., Sathicq, G., Afonso, C.A.M., Romanelli, G.P., Martínez, J.J., Preyssler Heteropolyacids in the Self-Etherification of 5-Hydroxymethylfurfural to 5,5′-[Oxybis(methylene)]bis-2-furfural under Mild Reaction Conditions (2017) ChemCatChem, 9, pp. 3322-3329; Portilla-Zuñiga, O.M., Sathicq, Á.G., Martínez, J.J., Fernandes, S.A., Rezende, T.R.M., Romanelli, G.P., Synthesis of Biginelli adducts using a Preyssler heteropolyacid in silica matrix from biomass building block (2018) Sustainable Chem. Pharm., 10, pp. 50-55; Martínez, J.J., Páez, L.A., Gutiérrez, L.F., Cuervo, O.H.P., Rojas, H.A., Romanelli, G.P., Portilla, J., Becerra, D., Obtaining Protoanemonin through Selective Oxidation of D-Fructose and 5-(Hydroxymethyl)furfural in a Self-catalysed Reaction (2020) Asian J. Org. Chem., 9, pp. 2184-2190; Hernández, W.Y., Lauwaert, J., Van Der Voort, P., Verberckmoes, A., Recent advances on the utilization of layered double hydroxides (LDHs) and related heterogeneous catalysts in a lignocellulosic-feedstock biorefinery scheme (2017) Green Chem., 19, pp. 5269-5302; Zhang, J., Dong, K., Luo, W., Guan, H., Selective Transfer Hydrogenation of Furfural into Furfuryl Alcohol on Zr-Containing Catalysts Using Lower Alcohols as Hydrogen Donors (2018) ACS Omega, 3, pp. 6206-6216; Sheldrick, G.M., Crystal structure refinement with SHELXL (2015) Acta Crystallogr., Sect. C: Struct. Chem., 71, pp. 3-8; Mancipe, S., Tzompantzi, F., Rojas, H., Gómez, R., Photocatalytic degradation of phenol using MgAlSn hydrotalcite-like compounds (2016) Appl. Clay Sci., 129, pp. 71-78; Walia, M., Sharma, U., Agnihotri, V.K., Singh, B., Silica-supported boric acid assisted conversion of mono- and poly-saccharides to 5-hydroxymethylfurfural in ionic liquid (2014) RSC Adv., 4, pp. 14414-14418; Bhattacharyya, A., Hall, D.B., New triborate-pillared hydrotalcites (1992) Inorg. Chem., 31, pp. 3869-3870; Deng, L., Shi, Z., Peng, X., Zhou, S., Magnetic calcinated cobalt ferrite/magnesium aluminum hydrotalcite composite for enhanced adsorption of methyl orange (2016) J. Alloys Compd., 688, pp. 101-112; Bechara, R., D'Huysser, A., Fournier, M., Forni, L., Fornasari, G., Trifirò, F., Vaccari, A., Synthesis and Characterization of Boron Hydrotalcite-Like Compounds as Catalyst for Gas-Phase Transposition of Cyclohexanone-Oxime (2002) Catal. Lett., 82, pp. 59-67; Cavani, F., Trifirò, F., Vaccari, A., Hydrotalcite-type anionic clays: Preparation, properties and applications (1991) Catal. Today, 11, pp. 173-301; Zhang, F., Du, N., Zhang, R., Hou, W., Mechanochemical synthesis of Fe3O4@(Mg-Al-OH LDH) magnetic composite (2012) Powder Technol., 228, pp. 250-253; Del Arco, M., Gutiérrez, S., Martín, C., Rives, V., Rocha, J., Effect of the Mg:Al Ratio on Borate (or Silicate)/Nitrate Exchange in Hydrotalcite (2000) J. Solid State Chem., 151, pp. 272-280; Carriazo, D., Martín, C., Rives, V., Thermal Evolution of a MgAl Hydrotalcite-Like Material Intercalated with Hexaniobate (2006) Eur. J. Inorg. Chem., 2006, pp. 4608-4615; Bhojaraj, Harley, P., Rajamathi, M., Cannizzaro reactions over calcined hydrotalcite (2019) Appl. Clay Sci., 174, pp. 86-89; Kloprogge, J.T., Wharton, D., Hickey, L., Frost, R.L., Infrared and Raman study of interlayer anions CO32-, NO3-, SO42-and ClO4-in Mg/Al-hydrotalcite (2002) Am. Mineral., 87, pp. 623-629; Ay, A.N., Zümreoglu-Karan, B., Temel, A., Mafra, L., Layered double hydroxides with interlayer borate anions: A critical evaluation of synthesis methodology and pH-independent orientations in nano-galleries (2011) Appl. Clay Sci., 51, pp. 308-316; Intharapat, P., Nakason, C., Kongnoo, A., Preparation of boric acid supported natural rubber as a reactive flame retardant and its properties (2016) Polym. Degrad. Stab., 128, pp. 217-227; Sasaki, K., Toshiyuki, K., Guo, B., Ideta, K., Hayashi, Y., Hirajima, T., Miyawaki, J., Calcination effect of borate-bearing hydroxyapatite on the mobility of borate (2018) J. Hazard. Mater., 344, pp. 90-97; Li, L., Ma, S., Liu, X., Yue, Y., Hui, J., Xu, R., Bao, Y., Rocha, J., Synthesis and Characterization of Tetraborate Pillared Hydrotalcite (1996) Chem. Mater., 8, pp. 204-208; Giraud, F., Geantet, C., Guilhaume, N., Loridant, S., Gros, S., Porcheron, L., Kanniche, M., Bianchi, D., Individual amounts of Lewis and Brønsted acid sites on metal oxides from NH3adsorption equilibrium: Case of TiO2based solids (2021) Catal. Today, 373, pp. 69-79; Rodríguez-González, L., Hermes, F., Bertmer, M., Rodríguez-Castellón, E., Jiménez-López, A., Simon, U., The acid properties of H-ZSM-5 as studied by NH3-TPD and 27Al-MAS-NMR spectroscopy (2007) Appl. Catal., A, 328, pp. 174-182; Ramesh, S., Devred, F., Van Den Biggelaar, L., Debecker, D.P., Hydrotalcites Promoted by NaAlO2as Strongly Basic Catalysts with Record Activity in Glycerol Carbonate Synthesis (2018) ChemCatChem, 10, pp. 1398-1405; Köck, E.-M., Kogler, M., Bielz, T., Klötzer, B., Penner, S., In Situ FT-IR Spectroscopic Study of CO2and CO Adsorption on Y2O3, ZrO2, and Yttria-Stabilized ZrO2 (2013) J. Phys. Chem. C, 117, pp. 17666-17673; Du, H., Williams, C.T., Ebner, A.D., Ritter, J.A., In Situ FTIR Spectroscopic Analysis of Carbonate Transformations during Adsorption and Desorption of CO2in K-Promoted HTlc (2010) Chem. Mater., 22, pp. 3519-3526; Hu, K., Lv, Y., Ye, F., Chen, T., Zhao, S., Boric-Acid-Functionalized Covalent Organic Framework for Specific Enrichment and Direct Detection of cis-Diol-Containing Compounds by Matrix-Assisted Laser Desorption/Ionization Time-of-Flight Mass Spectrometry (2019) Anal. Chem., 91, pp. 6353-6362; Valente, J., Lima, E., Toledo, J., Cortes-Jacome, M., Lartundo-Rojas, L., Montiel, R., Prince, J., Comprehending the Thermal Decomposition and Reconstruction Process of Sol-Gel MgAl Layered Double Hydroxides (2010) J. Phys. Chem. C, 114, pp. 2089-2099; Wu, X., Tan, X., Yang, S., Wen, T., Guo, H., Wang, X., Xu, A., Coexistence of adsorption and coagulation processes of both arsenate and NOM from contaminated groundwater by nanocrystallined Mg/Al layered double hydroxides (2013) Water Res., 47, pp. 4159-4168; Brazovskaya, E.Y., Golubeva, O.Y., Study of the effect of isomorphic substitutions in the framework of zeolites with a Beta structure on their porosity and sorption characteristics (2017) Glass Phys. Chem., 43, pp. 357-362; Serrano-Sterling, C., Becerra, D., Portilla, J., Rojas, H., Macías, M., Castillo, J.-C., Synthesis, biological evaluation and X-ray crystallographic analysis of novel (E)-2-cyano-3-(het)arylacrylamides as potential anticancer agents (2021) J. Mol. Struct., 1244, p. 130944; Tigreros, A., Castillo, J.-C., Portilla, J., Cyanide chemosensors based on 3-dicyanovinylpyrazolo[1,5-a]pyrimidines: Effects of peripheral 4-anisyl group substitution on the photophysical properties (2020) Talanta, 215, p. 120905; Sinhamahapatra, A., Pal, P., Tarafdar, A., Bajaj, H.C., Panda, A.B., Mesoporous Borated Zirconia: A Solid Acid-Base Bifunctional Catalyst (2013) ChemCatChem, 5, pp. 331-338; Andivelu, I., Muralidharan, S., Maruthamuthu, S., A Systematic Study on Knoevenagel Reaction and Nazarov Cyclization of Less Reactive Carbonyl Compounds Using Rare Earth Triflates and Its Applications (2011) J. Korean Chem. Soc., 55, pp. 1000-1006</t>
  </si>
  <si>
    <t>Mancipe, S.; Escuela de Ciencias Química-Grupo de Catálisis, Avenida Central del Norte 39-115, Colombia; email: sonia.mancipe@uptc.edu.co</t>
  </si>
  <si>
    <t>Luque</t>
  </si>
  <si>
    <t>American Chemical Society</t>
  </si>
  <si>
    <t>ACS Sustainable Chem. Eng.</t>
  </si>
  <si>
    <t>2-s2.0-85138072611</t>
  </si>
  <si>
    <t>Caycho-Rodríguez T., Vilca L.W., Cervigni M., Gallegos M., Martino P., Calandra M., Rey Anacona C.A., López-Calle C., Moreta-Herrera R., Chacón-Andrade E.R., Lobos-Rivera M.E., del Carpio P., Quintero Y., Robles E., Panza Lombardo M., Gamarra Recalde O., Buschiazzo Figares A., White M., Burgos-Videla C.</t>
  </si>
  <si>
    <t>55768989500;56518305300;55588165300;12240778200;55588403500;57219705240;33568324200;57207779361;57200502218;57216201812;57222023834;57222029064;57222015090;57222012126;57222032289;57222011308;57222013425;57206244967;57217256050;</t>
  </si>
  <si>
    <t>https://www.scopus.com/inward/record.uri?eid=2-s2.0-85139005218&amp;doi=10.3389%2ffpsyg.2022.974133&amp;partnerID=40&amp;md5=66e1b9c86027aa0c7fa8b2035f611934</t>
  </si>
  <si>
    <t>Facultad de Ciencias de la Salud, Universidad Privada del Norte, Lima, Peru; South American Center for Education and Research in Public Health, Universidad Norbert Wiener, Lima, Peru; Facultad de Psicología, Universidad Nacional de Rosario, Rosario, Argentina; Centro de Investigación en Neurociencias de Rosario, Facultad de Psicología, Universidad Nacional de Rosario, Rosario, Argentina; Laboratorio de Cognición y Emoción, Facultad de Psicología, Universidad Nacional de Rosario, Rosario, Argentina; Consejo Nacional de Investigaciones Científicas y Técnicas, Buenos Aires, Argentina; Facultad de Ciencias de la Salud, Universidad Católica del Maule, Talca, Chile; Pontificia Universidade Católica de Minas Gerais, Belo Horizonte, Brazil; Facultad de Psicología, Universidad Pedagógica y Tecnológica de Colombia, Tunja, Colombia; Facultad de Psicología, Universidad de Cuenca, Cuenca, Ecuador; Escuela de Psicología, Pontificia Universidad Católica del Ecuador, Ambato, Ecuador; Escuela de Psicología, Facultad de Ciencias Sociales, Universidad Tecnológica de El Salvador, San Salvador, El Salvador; Universidad de Guanajuato, Guanajuato, Mexico; Facultad de Ciencias del Comportamiento, Universidad Autónoma del Estado de México, Toluca, Mexico; Facultad de Ciencias de la Salud, Universidad Nacional del Este, Ciudad del Este, Paraguay; Facultad de Ciencias de la Salud, Universidad Católica de Asunción, Asunción, Paraguay; Centro de Estudios Adlerianos, Montevideo, Uruguay; Facultad de Ciencias Humanas y Educación, Universidad Peruana Unión, Lima, Peru; Instituto de Investigación en Ciencias Sociales y Educación, Universidad de Atacama, Copiapó, Chile</t>
  </si>
  <si>
    <t>Caycho-Rodríguez, T., Facultad de Ciencias de la Salud, Universidad Privada del Norte, Lima, Peru; Vilca, L.W., South American Center for Education and Research in Public Health, Universidad Norbert Wiener, Lima, Peru; Cervigni, M., Facultad de Psicología, Universidad Nacional de Rosario, Rosario, Argentina, Centro de Investigación en Neurociencias de Rosario, Facultad de Psicología, Universidad Nacional de Rosario, Rosario, Argentina, Laboratorio de Cognición y Emoción, Facultad de Psicología, Universidad Nacional de Rosario, Rosario, Argentina, Consejo Nacional de Investigaciones Científicas y Técnicas, Buenos Aires, Argentina; Gallegos, M., Facultad de Ciencias de la Salud, Universidad Católica del Maule, Talca, Chile, Pontificia Universidade Católica de Minas Gerais, Belo Horizonte, Brazil; Martino, P., Facultad de Psicología, Universidad Nacional de Rosario, Rosario, Argentina, Centro de Investigación en Neurociencias de Rosario, Facultad de Psicología, Universidad Nacional de Rosario, Rosario, Argentina, Laboratorio de Cognición y Emoción, Facultad de Psicología, Universidad Nacional de Rosario, Rosario, Argentina, Consejo Nacional de Investigaciones Científicas y Técnicas, Buenos Aires, Argentina; Calandra, M., Facultad de Psicología, Universidad Nacional de Rosario, Rosario, Argentina, Centro de Investigación en Neurociencias de Rosario, Facultad de Psicología, Universidad Nacional de Rosario, Rosario, Argentina, Laboratorio de Cognición y Emoción, Facultad de Psicología, Universidad Nacional de Rosario, Rosario, Argentina; Rey Anacona, C.A., Facultad de Psicología, Universidad Pedagógica y Tecnológica de Colombia, Tunja, Colombia; López-Calle, C., Facultad de Psicología, Universidad de Cuenca, Cuenca, Ecuador; Moreta-Herrera, R., Escuela de Psicología, Pontificia Universidad Católica del Ecuador, Ambato, Ecuador; Chacón-Andrade, E.R., Escuela de Psicología, Facultad de Ciencias Sociales, Universidad Tecnológica de El Salvador, San Salvador, El Salvador; Lobos-Rivera, M.E., Escuela de Psicología, Facultad de Ciencias Sociales, Universidad Tecnológica de El Salvador, San Salvador, El Salvador; del Carpio, P., Universidad de Guanajuato, Guanajuato, Mexico; Quintero, Y., Universidad de Guanajuato, Guanajuato, Mexico; Robles, E., Facultad de Ciencias del Comportamiento, Universidad Autónoma del Estado de México, Toluca, Mexico; Panza Lombardo, M., Facultad de Ciencias de la Salud, Universidad Nacional del Este, Ciudad del Este, Paraguay; Gamarra Recalde, O., Facultad de Ciencias de la Salud, Universidad Católica de Asunción, Asunción, Paraguay; Buschiazzo Figares, A., Centro de Estudios Adlerianos, Montevideo, Uruguay; White, M., Facultad de Ciencias Humanas y Educación, Universidad Peruana Unión, Lima, Peru; Burgos-Videla, C., Instituto de Investigación en Ciencias Sociales y Educación, Universidad de Atacama, Copiapó, Chile</t>
  </si>
  <si>
    <t>The Purpose in Life Test (PIL) is a measure of purpose in life widely used in many cultures and countries; however, cross-cultural assessments are scarce. The present study aimed to evaluate the cross-cultural measurement invariance of the PIL in the general population of seven Latin American countries (Colombia, Ecuador, El Salvador, Mexico, Paraguay, Argentina, and Uruguay). A total of 4306 people participated, selected by non-probabilistic convenience sampling, where Uruguay has the highest mean age (M = 41.8; SD = 16.6 years); while Ecuador has the lowest mean age (M = 24.6; SD = 7.8 years). Furthermore, in each country, there is a higher proportion of women (&gt;60%) than men (&lt;40%). Using Multi-Group Confirmatory Factor Analysis, the factorial structure does not show evidence of invariance among the included countries. However, based on the Multi-Group Factor Analysis Alignment, there is evidence that a three-dimensional structure of the PIL (Meaning of existence, Freedom to make meaning in daily life and Will to find meaning in the face of future challenges) is the same in the participating countries. Results based on item response theory indicate that most PIL items can significantly differentiate responses according to the level of life purpose. In addition, people with low life purpose will tend to choose the lower response alternatives on the PIL; while people with higher life purpose will choose higher response alternatives. The findings indicate that the PIL has the potential to increase knowledge about how people conceive and experience their purpose in life in different countries. Copyright © 2022 Caycho-Rodríguez, Vilca, Cervigni, Gallegos, Martino, Calandra, Rey Anacona, López-Calle, Moreta-Herrera, Chacón-Andrade, Lobos-Rivera, del Carpio, Quintero, Robles, Panza Lombardo, Gamarra Recalde, Buschiazzo Figares, White and Burgos-Videla.</t>
  </si>
  <si>
    <t>Analysis Alignment; cross-cultural; Latin American; measurement invariance; purpose in life</t>
  </si>
  <si>
    <t>(2010) Publications manual of the american psychological association, , México, Manual Moderno; Armas, M., Castedo, A., Cabaco, A.S., Fiabilidad y validez del “Purpose in life” (PIL) en una muestra clínica (2018) Eur. J. Health Res, 4, pp. 43-51; Arslan, G., Allen, K.A., Exploring the Association Between Coronavirus Stress, Meaning in Life, Psychological Flexibility, and Subjective Well-Being (2022) Psychol. Health Med, 27, pp. 803-814. , 33487048; Asparouhov, T., Muthén, B., Exploratory Structural Equation Modeling (2009) Struct. Equat. Model, 16, pp. 397-438; Asparouhov, T., Muthén, B., Multiple-Group Factor Analysis Alignment (2014) Struct. Equat. Model. A Multidiscip. J, 21, pp. 495-508; Ato, M., López-García, J.J., Benavente, A., Un sistema de clasificación de los diseos de investigación en psicología (2013) Anal. Psicol, 29, pp. 1038-1059; Barrero, J.A.C., Polanco, J.G.C., Patiño, D.P.S., Sentido de vida, depresión y ansiedad en población rural de Cundinamarca, Colombia (2020) Rev. Cien. Soc, 26, pp. 206-216; Bronk, K.C., (2014) Purpose in life: a critical component of optimal youth development, , Dordrecht, Springer Netherlands; Bronk, K.C., The importance of purpose: theory, research, and application (2020) Positive psychological science. improving everyday life, well-being, work, education, and societies across the globe, pp. 64-80. , Donaldson S.I., Csikszentmihalyi M., Nakamura J., (eds), Milton Park, Routledge; Brown, T.A., (2015) Confirmatory factor analysis for applied research, , Second Edn, New York, NY, Guilford Publications; Brunelli, C., Bianchi, E., Murru, L., Monformoso, P., Bosisio, M., Gangeri, L., Italian validation of the Purpose In Life (PIL) test and the Seeking Of Noetic Goals (SONG) test in a population of cancer patients (2012) Support. Care Cancer, 20, pp. 2775-2783. , 22350595; Byrne, B.M., van de Vijver, F.J.R., El enfoque de alineamiento de máxima verosimilitud para evaluar de forma aproximada la invarianza de medida: Una aplicación intercultural paradigmática (2017) Psicothema, 29, pp. 539-551. , 29048316; Caycho-Rodríguez, T., Valencia, P.D., Vilca, L.W., Cervigni, M., Gallegos, M., Martino, P., Cross-Cultural Measurement Invariance of the Fear of COVID-19 scale in seven Latin American Countries (2022) Death Stud, 48, pp. 2003-2017. , 33560185; Caycho-Rodríguez, T., Valencia, P.D., Vilca, L.W., Lee, S.A., Carbajal-León, C., Vivanco-Vidal, A., COVID-19 Bereavement in Ten Latin American Countries: Measurement Invariance of the Pandemic Grief Scale and Its Relation to Suicidal Ideation (2021) OMEGA-J. Death Dying, , b, 302228211048566, [Epub ahead of print], 34666552; Caycho-Rodríguez, T., Vilca, L.W., Valencia, P.D., Carbajal-León, C., Vivanco-Vidal, A., Saroli-Araníbar, D., Cross-Cultural Validation of a New Version in Spanish of Four Items of the Preventive COVID-19 Infection Behaviors Scale (PCIBS) in Twelve Latin American Countries (2021) Front. Psychol, 12. , a, 763993, 34867664; Chang, R.H., Dodder, R.A., The Modified Purpose in Life Scale: A Cross-National Validity Study (1983) Int. J. Aging Hum. Dev, 18, pp. 207-217. , 6671837; Chen, F.F., Sensitivity of goodness of fit indexes to lack of measurement invariance (2007) Struct. Equat. Model, 14, pp. 464-504; Chen, F.F., West, S.G., Sousa, K.H., A comparison of bifactor and second-order models of quality of life (2006) Multiv. Behav. Res, 41, pp. 189-225. , 33486653; Crumbaugh, J.C., Maholick, L.T., An experimental study in existentialism: The psychometric approach to Frankl’s concept ofnoogenic neurosis (1964) J. Clin. Psychol, 20, pp. 200-207; Damon, W., Menon, J., Cotton Bronk, K., The development of purpose during adolescence (2003) Appl. Dev. Sci, 7, pp. 119-128; Davidov, E., Testing for comparability of human values across countries and time with the third round of the European social survey (2010) Int. J. Comparat. Soc, 51, pp. 171-191; Davidov, E., Meuleman, B., Billiet, J., Schmidt, P., Values and support for immigration: A cross-country comparison (2008) Eur. Sociol. Rev, 24, pp. 583-599; Davidov, E., Meuleman, B., Cieciuch, J., Schmidt, P., Billiet, J., Measurement equivalence in cross-national research (2014) Annu. Rev. Sociol, 40, pp. 55-75; Davies, G., Klaassen, D., Längle, A., Purpose in life test (2014) Encyclopedia of quality of life and well-being research, pp. 5238-5243. , Michalos A., (ed), Heidelberg, Springer; Deci, E.L., Ryan, R.M., The “what” and “why” of goal pursuits: Human needs and the self-determination of behavior (2000) Psychol. Inq, 11, pp. 227-268; Desseilles, M., Perroud, N., Guillaume, S., Jaussent, I., Genty, C., Malafosse, A., Is it valid to measure suicidal ideation by depression rating scales? (2012) J. Affect. Disord, 136, pp. 398-404. , 22154567; Dufton, B.D., Perlman, D., The association between religiosity and the purpose-in-life test: does it reflect purpose or satisfaction? (1986) J. Psychol. Theol, 14, pp. 42-48; Dyck, M.J., Assessing logotherapeutic constructs: Conceptual and psychometric status of the purpose in life and seeking of noetic goals tests (1987) Clin. Psychol. Rev, 7, pp. 439-447; Echeverria, I., Peraire, M., Haro, G., Mora, R., Camacho, I., Almodóvar, I., Healthcare Kamikazes” during the COVID-19 pandemic: Purpose in life and moral courage as mediators of psychopathology (2021) Int. J. Environ. Res. Public Health, 18 (7235). , 34299681; Fabry, J.B., (1988) Guideposts to meaning: discovering what really matters, , Oakland, CA, New Harbinger Pubns Inc; Finney, S.J., DiStefano, C., Nonnormal and categorical data in structural equation modeling (2013) Structural equation modeling: A second course, pp. 439-492. , Hancock G.R., Mueller R.O., (eds), Charlotte, NC, IAP Information Age Publishing; Fischer, R., Karl, J.A., A primer to (cross-cultural) multi-group invariance testing possibilities in R (2019) Front. Psychol, 10 (1507). , 31379641; Francke, M.E., (2011) El sentido de la vida y el adulto mayor en el área metropolitana de Monterrey, , http://psicogerontologia.maimonides.edu/wp-content/uploads/2011/12/PAPERINV-AMA-Y-TRASCIENDE-pdf, (accessed April 12, 2022), Available online at; Frankl, V.E., The will to meaning (1958) J. Pastoral Care, 12, pp. 82-88; Frankl, V.E., (1963) Man’s search for meaning: an introduction to logotherapy, , New York, NY, Washington Square Press; Frankl, V.E., Self-transcendence as a human phenomenon (1966) J. Hum. Psychol, 6, pp. 97-106; Frankl, V.E., (1984) Man’s search for meaning, , Washington, DC, Washington Square Press; Furman, H., Propósito, satisfacción y proyecto de vida: una relación dialéctica (2021) Subjet. Proces. Cogn, 25, pp. 73-83; García-Alandete, J., Marco, J.H., Pérez, S., Purpose-in-life test: Comparison of the main models in patients with mental disorders (2017) Spanish J. Psychol, 20 (E31). , 28651671; García-Alandete, J., Martínez, E.R., Nohales, P.S., Estructura factorial y consistencia interna de una versión española del Purpose-In-Life Test (2013) Univ. Psychol, 12, pp. 517-530; García-Alandete, J., Ros, M.C., Salvador, J.H.M., Rodríguez, S.P., Psychometric properties of the purpose-in-life test and age-related differences among women diagnosed with eating disorders (2018) Psychiatry Res, 261, pp. 161-167. , 29306819; García-Alandete, J., Rosa, E., Sellés, P., Bernabé, G., Soucase, B., The structural validity and internal consistency of a spanish version of the purpose-in-life test (2016) Logotherapy and existential analysis. Proceedings of the viktor frankl institute, 1, pp. 75-83. , Batthyány A., (ed), New York, NY, Springer International Publishing; Gottfried, A., Adaptación argentina del PIL Test (Test de Sentido en la Vida) de Crumbaugh y Maholick (2016) Rev. Psicol, 12, pp. 49-65; Guay, F., Morin, A.J., Litalien, D., Valois, P., Vallerand, R.J., Application of exploratory structural equation modeling to evaluate the academic motivation scale (2015) J. Exp. Educ, 83, pp. 51-82; Haugan, G., Moksnes, U.K., Meaning-in-life in nursing home patients: A validation study of the purpose-in-life test (2013) J. Nurs. Meas, 21, pp. 296-319. , 24053058; Hayashi, J.R.P., Esmerelles, M.T., Análise fatorial exploratória e de consistência interna do purpose-in-life test com estudantes brasileiros (2017) Eur. J. Appl. Bus. Manage, 3, pp. 136-153; Huamani, J.C., Arias, W.L., Análisis psicométrico de la Prueba de Sentido de Vida en escolares de la ciudad de Arequipa (Perú) (2018) Rev. Invest. Psicol, 21, pp. 51-66; Humphrey, A., Vari, O., Meaning matters: self-perceived meaning in life, its predictors and psychological stressors associated with the COVID-19 pandemic (2021) Behav. Sci, 11 (50). , 33924422; Hutzell, R.R., A review of the purpose in life test (1988) Int. Forum Logother, 11, pp. 89-101; Jang, S., Kim, E.S., Cao, C., Allen, T.D., Cooper, C.L., Lapierre, L.M., Measurement invariance of the satisfaction with life scale across 26 countries (2017) J. Cross Cult. Psychol, 48, pp. 560-576; Jonsén, E., Fagerström, L., Lundman, B., Nygren, B., Vähäkangas, M., Strandberg, G., Psychometric properties of the Swedish version of the Purpose in Life scale (2010) Scand. J. Caring Sci, 24, pp. 41-48. , 19889195; Jorgensen, T.D., Pornprasertmanit, S., Schoemann, A.M., Rosseel, Y., (2018) semTools: Useful tools for structural equation modeling. R package version 0.5-1, , https://CRAN.R-project.org/package=semTools, (accessed May 25, 2022), Available online at; Karataş, Z., Uzun, K., Tagay, Ö., Relationships between the life satisfaction, meaning in life, hope and COVID-19 Fear for Turkish adults during the COVID-19 Outbreak (2021) Front. Psychol, 12 (778). , 33776856; Kim, E.S., Cao, C., Wang, Y., Nguyen, D.T., Measurement invariance testing with many groups: A comparison of five approaches (2017) Struct. Equat. Model, 24, pp. 524-544; Kim, H.S., Jung, S.K., Ko, Y., Song, J.W., Reliability and validity of Korean version of ‘purpose in life (PIL) test’ scale (2001) J. Korean Assoc. Soc. Psychiatry, 6, pp. 155-165; Kitayama, S., Markus, H.R., Kurokawa, M., Culture, emotion, and well-being: Good feelings in Japan and the United States (2000) Cogn. Emot, 14, pp. 93-124; Kline, R.B., (2015) Principles and practice of structural equation modeling, , 4th Edn, New York, NY, The Guilford Press; Konkolÿ Thege, B., Martos, T., Purpose in life test – characteristics of the hungarian adaptation (2006) Mentál. Pszichos, 7, pp. 153-169; Law, B.M.F., Psychometric properties of the existence subscale of the purpose in life questionnaire for Chinese adolescents in Hong Kong (2012) Sci. World J, 12, pp. 1-5. , 22927785; Lindfors, P., Berntsson, L., Lundberg, U., Factor structure of Ryff’s psychological well-being scales in Swedish female and male white-collar workers (2006) Personal. Individ. Differ, 40, pp. 1213-1222; Lomazzi, V., Using alignment optimization to test the measurement invariance of gender role attitudes in 59 Countries (2018) Methods Data Analy, 12, pp. 77-103; Magaña Valladares, L., Zavala, M.A., Ibarra Tarango, I., Gómez Medina, M.M.T., Gómez Medina, M.M.T., El Sentido de vida en Estudiantes de Primer Semestre de la Universidad de la Salle Bajío (2004) Rev. Centro Invest. Univ. Salle, 6, pp. 5-13; Mansolf, M., Reise, S.P., When and why the second-order and bifactor models are distinguishable (2017) Intelligence, 61, pp. 120-129; Marsh, A., Smith, L., Piek, J., Saunders, B., The purpose in life scale: Psychometric properties for social drinkers and drinkers in alcohol treatment (2003) Educ. Psychol. Measur, 63, pp. 859-871; Marsh, H.W., Guo, J., Parker, P.D., Nagengast, B., Asparouhov, T., Muthén, B., What to do when scalar invariance fails: The extended alignment method for multi-group factor analysis comparison of latent means across many groups (2018) Psychol. Methods, 23, pp. 524-545. , 28080078; Marsh, H.W., Morin, A.J., Parker, P.D., Kaur, G., Exploratory structural equation modeling: An integration of the best features of exploratory and confirmatory factor analysis (2014) Annu. Rev. Clin. Psychol, 10, pp. 85-110. , 24313568; Marsh, H.W., Muthén, B., Asparouhov, T., Lüdtke, O., Robitzsch, A., Morin, A.J., Exploratory structural equation modeling, integrating CFA and EFA: Application to students’ evaluations of university teaching (2009) Struct. Equat. Model, 16, pp. 439-476; Martínez Ortiz, E., Castellanos Morales, C., Percepción de sentido de vida en universitarios colombianos (2013) Pensamiento Psicol, 11, pp. 71-82; Martínez Ortiz, E., Trujillo Cano, Á.M., Trujillo, C.A., Validación del test de propósito vital (PIL test – Purpose in life test) para Colombia (2012) Rev. Argent. Clín, 21, pp. 85-93; McDonald, R.P., (1999) Test theory: a unified treatment, , Milton Park, Taylor &amp; Francis; McGregor, I., Little, B.R., Personal projects, happiness, and meaning: On doing well and being yourself (1998) J. Personal. Soc. Psychol, 74, pp. 494-512. , 9491589; Mei, Z., Lori, A., Vattathil, S.M., Boyle, P.A., Bradley, B., Jin, P., Important correlates of purpose in life identified through a machine learning approach (2021) Am. J. Geriatr. Psychiatry, 29, pp. 488-498. , 33046355; Molcar, C.C., Stuempfig, D.W., Effects of world view on purpose in life (1988) J. Psychol, 122, pp. 365-371; Moors, G., Facts and artefacts in the comparison of attitudes among ethnic minorities. A multigroup latent class structure model with adjustment for response style behavior (2004) Eur. Sociol. Rev, 20, pp. 303-320; Morgan, J., Farsides, T., Measuring meaning in life (2009) J. Happ. Stud, 10, pp. 197-214; Morin, A.J., Arens, A.K., Marsh, H.W., A bifactor exploratory structural equation modeling framework for the identification of distinct sources of construct-relevant psychometric multidimensionality (2016) Struct. Equat. Model, 23, pp. 116-139; Muthén, B., Asparouhov, T., BSEM measurement invariance analysis (2013) Mplus Web Notes, 17, pp. 1-48; Muthén, B., Asparouhov, T., Recent methods for the study of measurement invariance with many groups: Alignment and random effects (2018) Sociol. Methods Res, 47, pp. 637-664; Nascimento, R.B.T., Dias, T.L., Teste propósito de vida: propriedades psicométricas e evidências de validade (2019) Rev. Aval. Psicol, 18; Ochoa, Y.M., Abreu, M., del, C.L., Vea, H.D.B., Validación del Test Sentido de Vida en pacientes adultos con cáncer (2018) Rev. Habanera Cienc. Méd, 9, pp. 156-166; Okado, T., (1998) The Japanese version of the purpose in life test, , Ciudad de México, System Publica; Ortiz, E.M., Cano, Á.M.T., Trujillo, C.A., Validación del Test de Propósito Vital (pil test-purpose in life test) para Colombia (2012) Rev. Argent. Clín. Psicol, 21, pp. 85-93; Pierce, M., McManus, S., Jessop, C., John, A., Hotopf, M., Ford, T., Says who? The significance of sampling in mental health surveys during COVID-19 (2020) Lancet Psychiatry, 7, pp. 567-568; Pokropek, A., Davidov, E., Schmidt, P., A Monte Carlo simulation study to assess the appropriateness of traditional and newer approaches to test for measurement invariance (2019) Struct. Equat. Model, 26, pp. 724-744; Ratner, K., Burrow, A.L., Burd, K.A., Hill, P.L., On the conflation of purpose and meaning in life: A qualitative study of high school and college student conceptions (2021) Appl. Dev. Sci, 25, pp. 364-384; Raykov, T., Pohl, S., Essential unidimensionality examination for multicomponent scales: An interrelationship decomposition approach (2013) Educ. Psychol. Meas, 73, pp. 581-600; Reise, S.P., The rediscovery of bifactor measurement models (2012) Multiv. Behav. Res, 47, pp. 667-696. , 24049214; Risco, A., (2009) Sentido de la vida: evolución e implicaciones para la Educación Superior. (Tesis Doctoral inédita), , Salamanca, Universidad de Salamanca; Robitzsch, A., (2020) sirt: Supplementary Item Response Theory Models (R package version 3.9-4), , https://cran.r-project.org/package=sirt, (accessed May 25, 2022), Available online at; Romero-Ramos, N., Romero-Ramos, Ó., Suarez, A.J.G., Purpose in life during COVID-19 confinement: Effect of physical activity and meditation (2021) Polish J. Sport Tour, 28, pp. 25-31; Rosseel, Y., lavaan: An R package for structural equation modeling (2012) J. Statist. Softw, 48, pp. 1-36; (2018) RStudio: integrated development environment for R, , Boston, MA, RStudio, Inc; Ryff, C.D., Singer, B., The contours of positive human health (1998) Psychol. Inq, 9, pp. 1-28; Samios, C., Praskova, A., Radlinska, B., The relationship between COVID-19 pandemic-related stress and meaning in life: testing the moderating effects of self-compassion and savoring (2021) Anxiety Stress Coping, 35, pp. 9-24. , 34515586; Schimmoeller, E.M., Rothhaar, T.W., Searching for meaning with victor frankl and walker percy (2021) Linacre Q, 88, pp. 94-104. , 33487750; Schulenberg, S.E., Melton, A.M., A confirmatory factor-analytic evaluation of the purpose in life test: Preliminary psychometric support for a replicable two-factor model (2010) J. Happ. Stud, 11, pp. 95-111; Schumacker, R.E., Lomax, R.G., (2015) A beginner’s guide to structural equation modeling, , 4th Edn, Milton Park, Routledge; Sezer, S., A view to the subject of the meaning of life in terms of theoretical and psychometric studies (2012) J. Faculty Educ. Sci, 45, pp. 209-227. , 28833244; Sharma, S., Deller, J., Biswal, R., Mandal, M.K., Emotional intelligence: Factorial structure and construct validity across cultures (2009) Int. J. Cross Cult. Manage, 9, pp. 217-236; Shek, D.T.L.L., Reliability and factorial structure of the Chinese version of the purpose in life questionnaire (1988) J. Clin. Psychol, 44, pp. 384-392; Simkin, H., Matrángolo, G., Azzollini, S., Argentine validation of the Purpose in Life Test (2018) Estud. Psicol, 39, pp. 104-126; Steenkamp, J.B.E., Baumgartner, H., Assessing measurement invariance in cross-national consumer research (1998) J. Consum. Res, 25, pp. 78-90; Steger, M.F., An illustration of issues in factor extraction and identification of dimensionality in psychological assessment data (2006) J. Personal. Assess, 86, pp. 263-272. , 26627889; Steger, M.F., Kawabata, Y., Shimai, S., Otake, K., The meaningful life in Japan and the United States: Levels and correlates of meaning in life (2008) J. Res. Personal, 42, pp. 660-678; Stoyles, G., Chadwick, A., Caputi, P., Purpose in life and well-being: The relationship between purpose in life, hope, coping, and inward sensitivity among first-year university students (2015) J. Spiritual. Mental Health, 17, pp. 119-134; Tibaldi Nascimento, R.B., Lebre Dias, T., Teste Propósito de Vida: Propriedades Psicométricas e Evidências de Validade (2019) Avaliçãao Psicol, 18, pp. 176-182; Van De Schoot, R., Kluytmans, A., Tummers, L., Lugtig, P., Hox, J., Muthén, B., Facing off with Scylla and Charybdis: a comparison of scalar, partial, and the novel possibility of approximate measurement invariance (2013) Front. Psychol, 4 (770). , 24167495; Vandenberg, R.J., Lance, C.E., A review and synthesis of the measurement invariance literature: Suggestions, practices, and recommendations for organizational research (2000) Organ. Res. Methods, 3, pp. 4-70; Viladrich, C., Angulo-Brunet, A., Doval, E., A journey around alpha and omega to estimate internal consistency reliability (2017) Ann. Psychol, 33, pp. 755-782; Waisberg, J.L., Starr, M.W., Psychometric properties of the purpose in life test with a sample of substance abusers (1999) Int. Forum Logother, 22, pp. 22-26. , 27803719; Walters, L.H., Klein, A.E., A cross-validated investigation of the Crumbaugh purpose-in-life test (1980) Educ. Psychol. Meas, 40, pp. 1065-1071; Wang, T., You, X.Q., Li, Y., Huang, X.T., Understanding how youth develop a purpose: A qualitative study among Chinese emerging adults (2021) Curr. Psychol, pp. 1-11; Yaccarini, C., Furman, H., Materialism, spirituality and purpose of life (2017) {PSOCIAL}, 3, pp. 31-38; Yang, Y., Green, S.B., A note on structural equation modeling estimates of reliability (2010) Struct. Equat. Model, 17, pp. 66-81; Yela, M., Los tests (1996) Psicothema, 8, pp. 249-263; Zuo, B., Yang, K., Yao, Y., Han, S., Nie, S., Wen, F., The relationship of perceived social support to feelings of hopelessness under COVID-19 pandemic: The effects of epidemic risk and meaning in life (2021) Personal. Individ. Differ, 183. , 111110, 34511679</t>
  </si>
  <si>
    <t>Caycho-Rodríguez, T.; Facultad de Ciencias de la Salud, Peru; email: tomas.caycho@upn.pe</t>
  </si>
  <si>
    <t>2-s2.0-85139005218</t>
  </si>
  <si>
    <t>Tito-Huamani P., Aponte S., Custodio F., Castañeda T., Garamendi K., Soto E.</t>
  </si>
  <si>
    <t>57672521800;57890867700;57891324200;57891324300;57890418400;57890197700;</t>
  </si>
  <si>
    <t>Virtual University and Educational Transformation in the Context of the Pandemic</t>
  </si>
  <si>
    <t>Journal of Higher Education Theory and Practice</t>
  </si>
  <si>
    <t>10.33423/jhetp.v22i11.5424</t>
  </si>
  <si>
    <t>https://www.scopus.com/inward/record.uri?eid=2-s2.0-85138040722&amp;doi=10.33423%2fjhetp.v22i11.5424&amp;partnerID=40&amp;md5=a04acb238d35323b28f4e833c5a4ae4d</t>
  </si>
  <si>
    <t>Universidad Nacional Mayor de San Marcos, Peru</t>
  </si>
  <si>
    <t>Tito-Huamani, P., Universidad Nacional Mayor de San Marcos, Peru; Aponte, S., Universidad Nacional Mayor de San Marcos, Peru; Custodio, F., Universidad Nacional Mayor de San Marcos, Peru; Castañeda, T., Universidad Nacional Mayor de San Marcos, Peru; Garamendi, K., Universidad Nacional Mayor de San Marcos, Peru; Soto, E., Universidad Nacional Mayor de San Marcos, Peru</t>
  </si>
  <si>
    <t>The COVID-19 pandemic resulted in an abrupt transformation to virtual education, which highlighted the numerous shortcomings in the organization, methodology, strategies, and technology used. The article’s objective was to deepen knowledge on the impact of the virtual university on educational transformation during the COVID-19 pandemic. The methodology used was a literature review. Different searches of reliable and recently published sources were carried out in the Scopus database. The following four points were prioritized: global context, ICT, e-learning, and the emotional aspect of students and teachers. The results indicate that the adaptation to an online education exposed significant gaps in the sector, affecting both students and teachers, and resulting in a lack of motivation in their academic work. It is concluded that virtual education is in total development mode. Therefore, institutions must improve their entire organization to adapt to the new form of teaching and learning. © 2022, North American Business Press. All rights reserved.</t>
  </si>
  <si>
    <t>COVID-19; digital adaptation; distance learning; higher education; ICT</t>
  </si>
  <si>
    <t>Aedo, M., Castro, E., Vidal, E., Experiencia en la utilización de un aula virtual para la enseñanza de la Programación de computadoras: Desarrollo del pensamiento algorítmico y aprendizaje de un lenguaje de programación (2020) 18th LACCEI International Multi-Conference for Engineering, Education, and Technology: Engineering, Integration, And Alliances for a Sustainable Development, , https://doi.org/10.18687/LACCEI2020.1.1.37; Agasisti, T., Soncin, M., Higher education in troubled times: on the impact of Covid-19 in Italy (2021) Studies in Higher Education, 46 (1), pp. 86-95. , https://doi.org/10.1080/03075079.2020.1859689; Alibudbud, R., On online learning and mental health during the COVID-19 pandemic: Perspectives from the Philippines (2021) Asian Journal of Psychiatry, 66, p. 102867. , https://doi.org/10.1016/j.ajp.2021.102867; Amaya, A., Cantú, D., Marreros, J., Análisis de las competencias didácticas virtuales en la impartición de clases universitarias en línea, durante contingencia del COVID-19 (2021) Revista de Educación a Distancia (RED), 21 (65). , https://doi.org/10.6018/red.426371; Bork, T., Kulcar, V., Brielmair, F., Markl, A., Immer, D., Juen, B., Walter, M., Kaufmann, K., University students’ perception, evaluation, and spaces of distance learning during the COVID-19 pandemic in Austria: What can we learn for post-pandemic educational futures? (2021) Sustainability, 13 (14), p. 7595. , https://doi.org/10.3390/su13147595; Bullón, O., Educación virtual interactivum como metodología para la educación (2021) Crescendo, 11 (2), p. 225. , https://doi.org/10.21895/incres.2020.v11n2.06; Casacchia, M., Cifone, M., Giusti, L., Fabiani, L., Gatto, R., Lancia, L., Roncone, R., Distance education during COVID 19: an Italian survey on the university teachers’ perspectives and their emotional conditions (2021) BMC Medical Education, 21 (1), p. 335. , https://doi.org/10.1186/s12909-02102780-y; Collado, J., Rodríguez-Infante, G., Romero, M., Gamboa, S., Navarro, I., Lavigne, R., Flipped classroom: active methodology for sustainable learning in higher education during social distancing due to COVID-19 (2021) Sustainability, 13 (10), p. 5336. , https://doi.org/10.3390/su13105336Cuevas,M.,Ávalos,I.,&amp;Lizarte,E, (2021). Emotional cognitive regulation in university students during lockdown: A comparative analysis of students from Spanish universities. Sustainability, 13(12), 6946. https://doi.org; Damşa, C., Langford, M., Uehara, D., Scherer, R., Teachers’ agency and online education in times of crisis (2021) Computers in Human Behavior, 121, p. 106793. , https://doi.org/10.1016/j.chb.2021.106793; Diaz, C., Sanchez, G., Ricra, Y., Andrade, L., Impact of Mobile Applications for a Lima University in Pandemic (2021) International Journal of Advanced Computer Science and Applications, 12 (2). , https://doi.org/10.14569/IJACSA.2021.0120294; Edelhauser, E., Lupu, L., One year of online education in COVID-19 age, a challenge for the Romanian education system (2021) International Journal of Environmental Research and Public Health, 18 (15), p. 8129. , https://doi.org/10.3390/ijerph18158129; Ejdys, J., Kozłowska, J., Acceptance of e-learning at university level during the covid-19 pandemic situation-teachers’ and students’ perspective (2021) Polish Journal of Management Studies, 23 (2), pp. 106-129. , https://doi.org/10.17512/pjms.2021.23.2.07; Eringfeld, S., Higher education and its post-coronial future: utopian hopes and dystopian fears at Cambridge University during Covid-19 (2021) Studies in Higher Education, 46 (1), pp. 146-157. , https://doi.org/10.1080/03075079.2020.1859681; Esteve, F., Llopis, M.A., Adell, J., Digital teaching competence of university teachers: A systematic review of the literature (2020) IEEE Revista Iberoamericana de Tecnologias del Aprendizaje, 15 (4), pp. 399-406. , https://doi.org/10.1109/RITA.2020.3033225; Fardoun, H., González, C., Collazos, C., Yousef, M., Estudio exploratorio en iberoamérica sobre procesos de enseñanza-aprendizaje y propuesta de evaluación en tiempos de pandemia (2020) Education in the Knowledge Society (EKS), 21, p. 9. , https://doi.org/10.14201/eks.23537; Fatani, T., Student satisfaction with videoconferencing teaching quality during the COVID-19 pandemic (2020) BMC Medical Education, 20 (1), p. 396. , https://doi.org/10.1186/s12909-020-02310-2; Fernández, E., Análisis de estrategias metodológicas docentes innovadoras apoyadas en el uso de TIC para fomentar el Aprendizaje Cooperativo del alumnado universitario del Grado de Pedagogía (2020) Revista Interuniversitaria de Formación del Profesorado. Continuación de la Antigua Revista de Escuelas Normales, 34 (2). , https://doi.org/10.47553/rifop.v34i2.77628; Fernández, M., Mena, E., Jiménez, M., Transformación de la Universidad pública como consecuencia del COVID´19. Perspectiva del profesorado a través del método Delphi (2021) Revista Complutense de Educación, 32 (3), pp. 439-449. , https://doi.org/10.5209/rced.70477; Fonseca, D., García, F., Camba, J., New methods and technologies for enhancing usability and accessibility of educational data (2021) Universal Access in the Information Society, 20 (3), pp. 421-427. , https://doi.org/10.1007/s10209-020-00765-0; García, F., Avoiding the dark side of digital transformation in teaching. An institutional reference framework for e-learning in higher education (2021) Sustainability, 13 (4), p. 2023. , https://doi.org/10.3390/su13042023; García, F., Corell, A., Abella, V., Grande, M., La evaluación online en la educación superior en tiempos de la COVID-19 (2020) Education in the Knowledge Society (EKS), 21, p. 26. , https://doi.org/10.14201/eks.23086; García, S., Santana, P., Transición a entornos de educación virtual en un contexto de emergencia sanitaria (2021) Revista de Educación a Distancia (RED), 21 (65). , https://doi.org/10.6018/red.450791; Gómez, E., Navas, D., Aponte, G., Betancourt, L., Literature review methodology for scientific and information management, through its structuring and systematization (2014) DYNA, 81 (184), p. 158. , https://doi.org/10.15446/dyna.v81n184.37066; Gómez, P., Fernández, F., Vázquez, M., Identifying key variables on the way to wellbeing in the transition from face-to-face to online higher education due to COVID-19: Evidence from the Q-Sort technique (2021) Sustainability, 13 (11), p. 6112. , https://doi.org/10.3390/su13116112; Guerrero, A., Cibermundo y educación. Bosquejo de un nuevo marco formativo en contextos postmodernos. Teoría de la Educación (2009) Revista Interuniversitaria, 21 (1). , https://doi.org/10.14201/3156; Hamdan, R., Ashour, W., Daher, W., The role of the e-learning departments in controlling the quality of electronic assessments in Palestinian universities during the COVID-19 Pandemic (2021) Sustainability, 13 (21), p. 12021. , https://doi.org/10.3390/su132112021; Hueso, J., Gil, J., Hasbun, H., Osuna, S., The social and transfer massive open online course: Post-digital learning (2021) Future Internet, 13 (5), p. 119. , https://doi.org/10.3390/fi13050119; (2012) Guía para hacer búsquedas bibliográficas, , http://ics.jccm.es/uploads/media/Guia_para_hacer_busquedas_bibliograficas.pdf, Retrieved from; Khan, R., Bashir, A., Basu, B., Uddin, E., Emergency online instruction at higher education in bangladesh during COVID-19: Challenges and suggestions (2020) The Journal of Asia TEFL, 17 (4), pp. 1497-1506. , https://doi.org/10.18823/asiatefl.2020.17.4.26.1497; Ko, J., Paek, S., Park, S., Park, J., A news big data analysis of issues in higher education in korea amid the COVID-19 pandemic (2021) Sustainability, 13 (13), p. 7347. , https://doi.org/10.3390/su13137347; Kumar, P., Saxena, C., Baber, H., Learner-content interaction in e-learning-the moderating role of perceived harm of COVID-19 in assessing the satisfaction of learners (2021) Smart Learning Environments, 8 (1), p. 5. , https://doi.org/10.1186/s40561-021-00149-8; León, A., Gil, R., Calderón, D., Influence of COVID on the educational use of Social Media by students of Teaching Degrees (2021) Education in the Knowledge Society (EKS), 22, p. e23623. , https://doi.org/10.14201/eks.23623; Li, F., Wang, L., Empirical analysis of return to distance higher education in different disciplines (2021) The International Review of Research in Open and Distributed Learning, 22 (1), pp. 148-165. , https://doi.org/10.19173/irrodl.v22i1.5029; Marelli, S., Castelnuovo, A., Somma, A., Castronovo, V., Mombelli, S., Bottoni, D., Leitner, C., Ferini-Strambi, L., Impact of COVID-19 lockdown on sleep quality in university students and administration staff (2021) Journal of Neurology, 268 (1), pp. 8-15. , https://doi.org/10.1007/s00415-020-10056-6; Marín, V., Reche, E., Martín, J., University virtual learning in Covid times (2021) Technology, Knowledge and Learning, , https://doi.org/10.1007/s10758-021-09533-2; Martínez, G., Jiménez, N., Análisis del uso de las aulas virtuales en la universidad de Cundinamarca, Colombia (2020) Formación Universitaria, 13 (4), pp. 81-92. , https://doi.org/10.4067/S0718-50062020000400081; Mendoza, H., Burbano, V., Valdivieso, M., El rol del docente de matemáticas en educación virtual universitaria. Un estudio en la universidad pedagógica y tecnológica de Colombia (2019) Formación Universitaria, 12 (5), pp. 51-60. , https://doi.org/10.4067/S0718-50062019000500051; Mukhopadhyay, S., Booth, A., Calkins, S., Doxtader, E., Fine, S., Gardner, J. M., Jiang, X., Leveraging technology for remote learning in the era of COVID-19 and social distancing (2020) Archives of Pathology &amp; Laboratory Medicine, 144 (9), pp. 1027-1036. , https://doi.org/10.5858/arpa.2020-0201-ED; Munir, F., Saeed, I., Shuja, A., Aslam, F., Students fear of COVID-19, psychological motivation, cognitive problem-solving skills and social presence in online learning (2021) International Journal of Education and Practice, 9 (1), pp. 141-154. , https://doi.org/10.18488/journal.61.2021.91.141.154; Navarro, J., Vaquero, M., Perea, A., Pedrós, G., Aparicio, P., Martínez, M., The Higher Education Sustainability before and during the COVID-19 Pandemic: A Spanish and Ecuadorian case (2021) Sustainability, 13 (11), p. 6363. , https://doi.org/10.3390/su13116363; Niño, S., Castellanos, J., Patrón, F., Contraste de experiencias de estudiantes universitarios en dos escenarios educativos: enseñanza en línea vs. enseñanza remota de emergencia (2021) Revista de Educación a Distancia (RED), 21 (65). , https://doi.org/10.6018/red.440731; Palacios, J., Gamboa, J., Montenegro, C., Rodriguez, J., Metric LMS: Educational evaluation platforms (2016) 2016 11th Iberian Conference on Information Systems and Technologies (CISTI), pp. 1-6. , https://doi.org/10.1109/CISTI.2016.7521434; Penado, M., Rodicio, M., Ríos, M., Mosquera, M., Technostress in Spanish university teachers during the COVID-19 pandemic (2021) Frontiers in Psychology, 12. , https://doi.org/10.3389/fpsyg.2021.617650; Rahman, A., Uddin, M., Dey, A., Investigating the mediating role of online learning motivation in the COVID‐19 pandemic situation in Bangladesh (2021) Journal of Computer Assisted Learning, 37 (6), pp. 1513-1527. , https://doi.org/10.1111/jcal.12535; Ratib, A., Ali, A., The impact of COVID-19 pandemic on student’s e-learning experience in Jordan (2021) Journal of Theoretical and Applied Electronic Commerce Research, 16 (5), pp. 1404-1414. , https://doi.org/10.3390/jtaer16050079; Rodriguez, L., Zamora, M., Rodriguez, J., Paredes, W., Altamirano, J., Cruz, M., Teaching challenges in COVID-19 scenery: Teams platform-based student satisfaction approach (2020) Sustainability, 12 (18), p. 7514. , https://doi.org/10.3390/su12187514; Romero, C., Buzón, O., Sacristánl, M., Navarro, E., Evaluación de un programa para la mejora del aprendizaje y la competencia digital en futuros docentes empleando metodologías activas (2020) Estudios Sobre Educación, 39, pp. 179-205. , https://doi.org/10.15581/004.39.179-205; Sage, K., Jackson, S., Fox, E., Mauer, L., The virtual COVID-19 classroom: surveying outcomes, individual differences, and technology use in college students (2021) Smart Learning Environments, 8 (1), p. 27. , https://doi.org/10.1186/s40561-021-00174-7; Sánchez, A., Valente, R., Duart, J., Profiles of online students and the Impact of their university experience (2020) The International Review of Research in Open and Distributed Learning, 21 (3). , https://doi.org/10.19173/irrodl.v21i3.4784; Sapién, A., Piñón, L., Gutiérrez, M., Bordas, J., La educación superior durante la contingencia sanitaria COVID-19: Uso de las TIC como herramientas de aprendizaje. Caso de estudio: Alumnos de la Facultad de Contaduría y Administración (2020) Revista Latina, 78, pp. 309-328. , https://doi.org/10.4185/RLCS-2020-1479; Song, D., Rice, M., Oh, E., Participation in online courses and Interaction with a virtual agent (2019) The International Review of Research in Open and Distributed Learning, 20 (1). , https://doi.org/10.19173/irrodl.v20i1.3998; Tejedor, S., Cervi, L., Tusa, F., Parola, A., Educación en tiempos de pandemia: Reflexiones de alumnos y profesores sobre la enseñanza virtual universitaria en España, Italia y Ecuador (2020) Revista Latina, 78, pp. 1-21. , https://doi.org/10.3390/su13020582, https://doi.org/10.4185/RLCS-2020-1466 Torres, C., Acal, C., El Homrani, M., &amp; Mingorance, Á. (2021). Impact on the virtual learning environment due to COVID-19. Sustainability, 13(2), 582; VanLeeuwen, C., Veletsianos, G., Belikov, O., Johnson, N., Institutional perspectives on faculty development for digital education in Canada (2020) Canadian Journal of Learning and Technology, 46 (2). , https://doi.org/10.21432/cjlt27944; Veletsianos, G., VanLeeuwen, C., Belikov, O., Johnson, N., An analysis of digital education in Canada in 2017-2019 (2021) The International Review of Research in Open and Distributed Learning, 22 (2), pp. 102-117. , https://doi.org/10.19173/irrodl.v22i2.5108; Vidal, M., González, M., Armenteros, I., Impacto de la COVID-19 en la educación superior (2021) Educ Med Super, 35 (1). , http://scielo.sld.cu/scielo.php?script=sci_arttext&amp;pid=S0864-21412021000100023, Retrieved from; Wu, S., How teachers conduct online teaching during the COVID-19 pandemic: A case study of Taiwan (2021) Frontiers in Education, 6. , https://doi.org/10.3389/feduc.2021.675434; Wut, T., Xu, J., Person-to-person interactions in online classroom settings under the impact of COVID-19: A social presence theory perspective (2021) Asia Pacific Education Review, 22 (3), pp. 371-383. , https://doi.org/10.1007/s12564-021-09673-1; Yong, É., Nagles, N., Mejía, C., Chaparro, E., Evolución de la educación superior a distancia: Desafíos y oportunidades para su gestión (2017) Revista Virtual Universidad Católica Del Norte, 50, pp. 81-105. , https://www.redalyc.org/articulo.oa?id=194250865006; Yu, Z., The effects of gender, educational level, and personality on online learning outcomes during the COVID-19 pandemic (2021) International Journal of Educational Technology in Higher Education, 18 (1), p. 14. , https://doi.org/10.1186/s41239-021-00252-3</t>
  </si>
  <si>
    <t>North American Business Press</t>
  </si>
  <si>
    <t>J. High. Educ. Theory Pract.</t>
  </si>
  <si>
    <t>All Open Access, Bronze, Green</t>
  </si>
  <si>
    <t>2-s2.0-85138040722</t>
  </si>
  <si>
    <t>Revista MVZ Cordoba</t>
  </si>
  <si>
    <t>Biblioteca Universidad de Cordoba</t>
  </si>
  <si>
    <t>Rev. MVZ Cordoba</t>
  </si>
  <si>
    <t>Ballesteros-Alfonso A.L., Gómez-Velasco N.Y.</t>
  </si>
  <si>
    <t>57963005300;57962125000;</t>
  </si>
  <si>
    <t>Inequality in the results of Saber-11 Tests before and during the COVID-19 pandemic (2014 - 2021) [Desigualdade dos resultados dos testes do Saber-11 antes e durante a pandemia de Covid-19 (2014-2021)] [Desigualdad de resultados pruebas Saber-11 antes y durante la pandemia covid-19 (2014-2021)]</t>
  </si>
  <si>
    <t>10.11600/rlcsnj.20.3.5189</t>
  </si>
  <si>
    <t>https://www.scopus.com/inward/record.uri?eid=2-s2.0-85141747116&amp;doi=10.11600%2frlcsnj.20.3.5189&amp;partnerID=40&amp;md5=9e2c5fd18cf65ce8bb4b859b66baeb06</t>
  </si>
  <si>
    <t>Ballesteros-Alfonso, A.L., Universidad Pedagógica y Tecnológica de Colombia, Colombia; Gómez-Velasco, N.Y., Universidad Pedagógica y Tecnológica de Colombia, Colombia</t>
  </si>
  <si>
    <t>The authors conducted a descriptive analysis of inequality in the results of the standardized Saber-11 tests for students conducted in the period 2014-2021 in the department of Boyacá, Colombia and the effects of the COVID-19 pandemic on these results. The results were analyzed in accordance with areas of knowledge and students' socioeconomic level. This research was carried out using data from the Saber-11 tests that was obtained from the Instituto Colombiano para la Evaluación de la Educación website. It was observed that in Boyacá, the best academic results were obtained by students from private schools and those from the middle and upper classes (Strata 3, 4 and 5). An increase in the education gap in Boyacá during the COVID-19 pandemic was evidenced by the authors as a result of inequalities with access to education and connectivity problems in the state. © 2022. Revista Latinoamericana de Ciencias Sociales, Ninez y Juventud.</t>
  </si>
  <si>
    <t>Education; educational gap; COVID-19; educational quality; inequality of results; pandemic; Saber-11 tests</t>
  </si>
  <si>
    <t>Acevedo, M., Jóvenes en cuarentena: la investigación situada como modo de inter-vención (2021) Última Década, 29 (56), pp. 4-34. , https://doi.org/h2m6; Ballesteros-Alfonso, A., Gómez-Velasco, N., Análisis a la educación rural en el departamento de Boyacá, Colombia, en el lapso entre 2011 y 2019 (2020) Revolución en la formación y la capacitación para el siglo XXI, pp. 368-376. , En E. Serna (Ed), Instituto Antioqueño de Investigación; (2020) Impactos de la crisis del covid-19 en la educación y respuestas de política en Colombia, , https://bit.ly/3bbolkJ; Barón, J., Bonilla, L., Cardona-Sosa, L., Ospina, M., ¿Quiénes eligen carreras en educación en Colombia? Caracterización desde el desempeño en las pruebas Saber 11 (2014) Revista Desarrollo y Sociedad, (74), pp. 133-179. , https://doi.org/10.13043/dys.74.3; Bernal, R., (2014) Diagnóstico y recomendaciones para la atención de calidad a la primera infancia en Colombia, , (Cuadernos de Fedesarroll 51). Fedesarrollo; Cabieses, B., Educación y su relación con ingreso y salud: una reflexión acerca de la desigualdad en Chile (2012) Revista Brasileira de Epidemiología, 15 (3). , https://doi.org/h2m9; Cabrera, L., Efectos del coronavirus en el sistema de enseñanza: aumenta la des-igualdad de oportunidades educativas en España (2020) Rase. Revista de Sociología de la Educación, 13 (2), pp. 114-139. , https://doi.org/10.7203/RASE.13.2.17125; Cano, C., Muñoz, J., Mesa, M., (2009) El mercado laboral colombiano: análisis desde la teoría de la señalización, , Banco de la República; Caro, B. L., Factores asociados al logro académico de los alumnos de 3° y 5° de primaria de Bogotá (2000) Coyuntura Social, (22), pp. 65-80; (1995) Our children at risk, , Organiza-tion for Economic Co-operation and Development; (2020) La educación en tiempos de la pandemia de COVID-19, , https://bit.ly/3N4aNF3, Comisión Económica para América Latina y el Caribe &amp; Organización de las Naciones Unidas para la Educación, la Ciencia y la Cultura; Conde-Carmona, R., Padilla-Escorcia, I., Aprender matemáticas en tiempos del covid-19: un estudio de caso con estudiantes universitarios (2021) Revista Educación y Huma-nismo, 23 (40), pp. 1-19. , https://doi.org/10.17081/eduhum.23.40.4380; Cuenca, A., Desigualdad de oportunidades en Colombia: impacto del origen social sobre el desempeño académico y los ingresos de graduados universitarios (2016) Estudios Pedagógicos (Valdivia), 42 (2), pp. 69-93. , https://doi.org/h2nb; (2019) Indicadores básicos de tenencia y uso de tecnologías de la información y comunicación TIC en hogares y personas de 5 y más años de edad, , https://bit.ly/3baVdKl, (12 de julio); Delgado, M., La educación básica y media en Colombia: retos en equidad y calidad (2014) Fedesarrollo, , https://bit.ly/3n6BQEV; Dhawan, S., Online learning: A panacea in the time of COVID-19 crisis (2020) Journal of Educational Technology Systems, 49 (1), pp. 5-22. , https://doi.org/ghj59m; Díaz, M., Tobar, J., (2016) Causas de las diferencias en desempeño escolar entre colegios públi-cos y privados: Colombia en las pruebas Saber 11-2014 [Tesis de maestría], , Ponti$cia Universidad Javeriana; García, H., Bracho, T., Ibarrola, M., Rodríguez, R., Schmelkes, S., Educación y desigualdad social (1998) Revista Mexicana de Investigación Educativa, 3 (6), pp. 317-345; Garner, C., Raudenbush, S., Neighborhood effects on educational attainment: A multilevel analysis (1991) Sociology of Education, 64 (4), pp. 251-262. , https://doi.org/cbrtxm; Gaviria, A., Barrientos, J., (2001) Determinantes de la calidad de la educación en Colombia, , Fedesarrollo; Gómez-Velasco, N., Lima-Jardilino, J. R., Pedraza Díaz, D. M., Publicaciones cientícas sobre educación en pandemia por covid-19 y lineamientos de políticas educativas internacionales (2021) Revista Historia de la Educación Latinoamericana, 23 (37); Gómez-Velasco, N., Soto, D., Lima, J., (2018) Políticas y medición en ciencia y tecnología en la universidad colombiana. 1992-2014, , Universidad Pedagógica y Tecnológica de Colombia; Huanca-Arohuanca, J., Supo-Condori, F., Sucari-Leon, R., Supo-Quispe, L., El problema social de la educación virtual universitaria en tiempos de pandemia, Perú (2020) Innovaciones Educativas, 22, pp. 115-128. , http://doi.org/10.22458/ie.v22iespecial.3218, (esp); (2019) Guía de usuario examen Saber-11, , Instituto Colombiano para la Evaluación de la Educación; (2020) Resolución 258, por la cual se modifica el cronograma del examen de Estado Saber TyT Primer Semestre de 2020 contenido la Resolución 888 de 2019, modificada por las Resoluciones 210 y 233 de 2020 y se dictan otras disposiciones, , https://bit.ly/3n4dueW, Instituto Colombiano para la Evaluación de la Educación; Jiménez, A. E., Gómez, N. Y., Ayala, Y., Guerrero, S. C., Estudio de la colabora-ción en publicaciones cientícas. Facultad de Ciencias, UPTC, 2002-2014 (2018) Saber, Ciencia y Libertad, 13 (1), pp. 304-318. , https://doi.org/h2nd; Martínez, A., Zurita, F., El rol que tiene la in%uencia familiar y su nivel acadé-mico, en los itinerarios curriculares de estudiantes de último curso (2014) Educatio Siglo XXI, 32 (2), pp. 267-286. , https://doi.org/10.6018/j/202251; (2004) Poblaciones, cobertura y calidad para los más vul-nerables, , Ministerio de Educación Nacional. Autor; Moreno, V., (2020) El covid-19 como oportunidad de cambio ante la crisis perpetua de la educación en Colombia, , https://bit.ly/3y5i3fw, Columnas de opinión. Universidad Externado de Colombia; (2021) El derecho a la educación, , https://es.unesco.org/themes/derecho-a-educacion; Patacchini, E., Zenou, Y., Neighborhood effects and parental involvement in the intergenerational transmission of education (2011) Journal of Regional Science, 51 (5), pp. 987-1013. , https://doi.org/10.1111/j.1467-9787.2011.00722.x; Picherili, M., Tolosa, M., (2020) Educación en pandemia y desigualdad, , Observatorio Socioeconómico Universidad Católica de La Plata; Rogero-García, J., La $cción de educar a distancia (2020) Rase. Revista de Sociología de la Educación, 13 (2), pp. 174-182. , https://doi.org/10.7203/RASE.13.2.17126; Sánchez, P., Discapacidad, familia y logro escolar (2006) Revista Iberoamericana de Educa-ción, 40 (2), pp. 1-10; Sanz, I., Sáinz, J., Capilla, A., (2020) Efectos de la crisis del coronavirus en la educación, , Organización de Estados Iberoamericanos para la Educación, la Ciencia y la Cultura; Timarán, R., Caicedo, J., Hidalgo, A., Identificación de factores asociados al desem-peño académico en Matemáticas en las pruebas Saber 11° aplicando minería de datos educa-tiva [Ponencia] (2018) XVII Conferencia Múltiple Internacional de Laccei para Ingeniería, Educación y Tecnología: «Industria, Innovación e Infraestructura para Ciudades y Comunidades Sostenibles», , Kingston, Jamaica</t>
  </si>
  <si>
    <t>Ballesteros-Alfonso, A.L.; Universidad Pedagógica y Tecnológica de ColombiaColombia; email: alba.ballesteros@uptc.edu.co</t>
  </si>
  <si>
    <t>2-s2.0-85141747116</t>
  </si>
  <si>
    <t>Roldán D., Urcola M.</t>
  </si>
  <si>
    <t>6506508512;55263388900;</t>
  </si>
  <si>
    <t>From Communal Action to Collective Action: The Social Mobilization of the Fishermen in Santa Fe around the Territorial Conflict of the Paraná River (2000-2020) [Da ação comunitária à ação coletiva: a mobilização social dos pescadores de Santa Fé no conflito territorial do Rio Paraná (2000-2020)] [De la acción comunal a la acción colectiva: la movilización social de los pescadores santafesinos en la conflictividad territorial del río Paraná (2000-2020)]</t>
  </si>
  <si>
    <t>HiSTOReLo</t>
  </si>
  <si>
    <t>10.15446/historelo.v14n31.95490</t>
  </si>
  <si>
    <t>https://www.scopus.com/inward/record.uri?eid=2-s2.0-85140002784&amp;doi=10.15446%2fhistorelo.v14n31.95490&amp;partnerID=40&amp;md5=a97f2e034a0ce7d2456b2a25891f3f8e</t>
  </si>
  <si>
    <t>Universidad Nacional de Rosario, Argentina</t>
  </si>
  <si>
    <t>Roldán, D., Universidad Nacional de Rosario, Argentina; Urcola, M., Universidad Nacional de Rosario, Argentina</t>
  </si>
  <si>
    <t>From a socio-historical perspective, this article analyzes the mobilization processes fishermen of the Paraná River in the province of Santa Fe (Argentina) between 2000-2020. It uses analytical tools related to collective action and social movements. The study historically reconstructs the conditions of possibility of these mobilization processes. The attention is focused on the cycles of protest and the repertoires of collective action that account for the gradual sectoral organization of fishermen and their inscription in the contentious network of eco-territorial protests of the last twenty years in Argentina. In methodological terms, the article is based on the reading and historical interpretation of a series of newspaper articles and interviews with artisanal fishermen. The article shows how the identities of social and environmental actors are traversed by political and state dynamics in the framework of a territorially situated conflict. Furthermore, show how these dynamics shaped and allowed the emergence of collective actors whose practices were traditionally restricted to the local and communitarian scale. © 2022 Universidad Nacional de Colombia. All rights reserved.</t>
  </si>
  <si>
    <t>artisanal fishing; collective action; Paraná river; protest cycle; Santa Fe (Argentina); territory</t>
  </si>
  <si>
    <t>Alimonda, Héctor, (2006) Los tormentos de la materia. Aportes para una ecología política latinoamericana, , comp. Buenos Aires: CLACSO; Auyero, Javier, Los cambios en el repertorio de protesta social en la Argentina (2002) Desarrollo Económico. Revista de Ciencias Sociales, 42 (166), pp. 187-210. , https://doi.org/10.2307/3455940; Auyero, Javier, (2004) Vidas beligerantes. Dos mujeres argentinas, dos protestas y la búsqueda del reconocimiento, , Buenos Aires: Universidad Nacional de Quilmes; Balbi, Fernando, Desarrollo y reproducción de una forma de producción no empresarial: el caso de los pescadores del área del Paraná entrerriano (1990) Cuadernos de Antropología Social, 4, pp. 66-94. , https://doi.org/10.34096/cas.i4.4843; Balbi, Fernando, Interdependencia, memoria institucional y valores morales: fundamentos sociales de la moralidad en una cooperativa de pescadores entrerrianos (2000) Avá. Revista de Antropología Social, 2, pp. 95-111; Barsky, Osvaldo, Gelman, Jorge, (2009) Historia del agro argentino. Desde la Conquista hasta fines del siglo XX, , Buenos Aires: Sudamericana; Boelens, Rutgerd, Hoogesteger, Jaime, Swyngedouw, Erik, Vos, Jeroen, Wester, Philippus, Territorios hidrosociales: una perspectiva de la ecología política (2017) En Recursos, vínculos y territorios. Inflexiones transversales en torno al agua, compilado por Carlos Salamanca Villamizar y Francisco Astudillo Pizarro, pp. 85-104. , Rosario: Universidad Nacional de Rosario; Boivin, Mauricio, Rosato, Ana, Balbi, Fernando, (2008) Calando la vida. Ambiente y pesca artesanal en el delta entrerriano, , eds. Buenos Aires: Antropofagia; Brennan, James, Gordillo, Mónica, (2008) Córdoba rebelde. El Cordobazo, el clasismo y la movilización social, , La Plata: De la Campana; Castillo, Trilce, Arelovich, Lisandro, Urcola, Marcos, Las organizaciones de pescadores artesanales en el campo de la agricultura familiar. Una aproximación a su estudio en la provincia de Santa Fe (2019) Ponencia presentada en las XI Jornadas Interdisciplinarias de Estudios Agrarios y Agroindustriales Argentinos y Latinoamericanos, , 5-8 de noviembre, Buenos Aires, Argentina; Di Meglio, Gabriel, Serulnikov, Sergio, (2017) La larga historia de los saqueos en la Argentina. De la Independencia a nuestros días, , comps. Buenos Aires: Siglo XXI; Litoral, El, (2002) Están colando el río Paraná, , 3 de marzo; Litoral, El, (2002) Empresarios del sector pesquero piden controles para trabajar, , 12 de marzo; Litoral, El, (2007) Pesca: rige la veda sobre redes hasta el 31 de enero, , 31 de octubre; (2009) Helvecia fomenta la producción, , 15 de agosto; Litoral, El, (2009) Sábalos: presión de pescadores para subir el cupo a frigoríficos, , 22 de septiembre; Escobar, Arturo, (1999) El fin del salvaje. Naturaleza, cultura y política en la antropología latinoamericana, , Bogotá: CEREC/ICAN; Espinach-Ros, Alberto, Sánchez, Ramiro, (2007) Proyecto Evaluación del Recurso Sábalo en el Paraná. Informe de los resultados de la primera etapa (2005-2006) y medidas de manejo recomendadas, , eds. Buenos Aires: SAGPyA; Ferrero, Brian, La casa, la costa, las canchas: una aproximación al problema del acceso al río entre pescadores del Bajo Paraná (1996) Ponencia presentada en las Jornadas de Antropología de la Cuenca del Plata, , 2 4 de octubre, Rosario, Argentina; Ferrero, Brian, El río y la comunidad de pescadores. Consideraciones sobre la gestión de recursos fluviales en la pesca del Bajo Paraná (2000) Revista de la Escuela de Antropología, 6 (6), pp. 65-78; Ferrero, Brian, Arizpe-Ramos, Nancy, Pescadores artesanales de bajo Paraná Argentino: Entre la complejidad y la tragedia de los comunes (2015) AVÁ, Revista de Antropología, 26, pp. 61-81; Ferrero, Brian, Arach, Omar, Conservación y desalojo. Un análisis a propósito de la creación del Parque Nacional Islas de Santa Fe (2019) Islas de Naturaleza: perspectivas antropológicas sobre las políticas de conservación, compilado por Brian Ferrero, pp. 369-409. , En Rafaela: UNRaf Ediciones; Gallini, Stefanía, ¿Qué hay de histórico en la historiografía ambiental en América Latina? (2020) Historia y Memoria, pp. 179-233. , https://doi.org/10.19053/20275137.nespecial.2020.11586, número especial; Haesbaert, Rogério, Território(s) numa perspectiva latino-americana (2020) Journal of Latin American Geography, 19 (1), pp. 141-151. , https://doi.org/10.1353/lag.2020.0007; James, Daniel, 17 y 18 de octubre de 1945: el peronismo, la protesta de masas y la clase obrera Argentina (1987) Desarrollo Económico, 27 (107), pp. 445-461. , https://doi.org/10.2307/3467059; (2005) La justicia clausuró todos los muelles que están ubicados en la costa norte, , 17 de marzo; (2005) Fundación Proteger: la industria del frigorífico está al límite de la ilegalidad, , 7 de agosto; (2006) El ejecutivo santafesino vetó la veda, , 20 de noviembre; (2007) Los pescadores cortaron ambas manos del puente a Victoria, , 13 de noviembre; (2008) Los pescadores confirman corte del puente para mañana, , 21 de enero; (2008) Los pescadores de Remanso Valerio conformarán una cooperativa, , 29 de noviembre; (2009) Represión sobre el puente, , 16 de septiembre; (2010) Programa de pesca artesanal, , 6 de diciembre; Lattuada, Mario, (2006) Acción colectiva y corporaciones agrarias en la Argentina. Transformaciones institucionales a fines del siglo XX, , Bernal: Universidad Nacional de Quilmes; Lattuada, Mario, Nogueira, María Elena, Porstmann, Juan Carlos, Urcola, Marcos, (2019) Santa Fe: territorio y desarrollo. Un estudio de trayectorias regionales asimétricas, , Buenos Aires: Teseo-UAI; MacAdam, Doug, Tarrow, Sidney, Tilly, Charles, (2001) Dynamics of contention, , https://doi.org/10.1017/CBO9780511805431, Nueva York: Cambridge University Press; Martínez-Alier, Joan, (2003) The Environmentalism of the Poor: A Study of Ecological Conflicts and Valuation, , Northampton: Edward Elgar; Mascheroni, Julieta, Del trabajo individual al trabajo colectivo. Reflexiones a la luz del caso de los pescadores de Rosario (2013) Ponencia presentada en el 11 Congreso Nacional de Estudios del Trabajo, , 7 9 de agosto, Buenos Aires, Argentina; Merklen, Denis, (2010) Pobres ciudadanos. Las clases populares en la era democrática (1983-2003), , Buenos Aires: Gorla; Merlinsky, Gabriela, (2013) Cartografías del conflicto ambiental en Argentina, 1. , comp. Tomo Buenos Aires: CICCUS CLACSO; Merlinsky, Gabriela, (2021) Toda ecología es política, , Las luchas por el derecho al ambiente en busca de alternativas de mundos. Buenos Aires: Siglo XXI; Neveu, Érik, (1996) Sociologie des mouvements sociaux, , París: La Découverte; (2005) Una protesta de pescadores terminó en una batalla naval, , Página 12. 25 de noviembre; Prol, Laura, (2010) El río revuelto. La ‘pesca comercial’ santafesina en cuestión (1992-2007), , https://rid.unam.edu.ar/bitstream/handle/20.500.12219/2195/Prol_2010_Rio.pdf?sequence=1&amp;isAllowed=y, Tesis de Maestría, Universidad Nacional de Misiones; Roldán, Diego, El Remanso Valerio y la Planificación Estrategica (2019) Ponencia presentada en el X Encuentro Interdisciplinario de Ciencias Sociales y Humanas, , 27-29 de noviembre, Universidad Nacional de Córdoba, Córdoba; Roldán, Diego, Arelovich, Lisandro, Territorios en disputa. Los pescadores, la ribera, el urbanismo y el acuario del Paraná (Rosario, Argentina) (2020) Revista de Ciencias Sociales y Humanas Universitas, 32, pp. 77-98. , https://doi.org/10.17163/uni.n32.2020.04; Roldán, Diego, Godoy, Sebastián, Conflictos territoriales y culturales en la renovación del frente costero, Rosario (Argentina) (2020) EURE, 46 (138), pp. 95-115. , http://dx.doi.org/10.4067/S0250-71612020000200095; Roldán, Diego, Castillo, Trilce, Derecho a la ciudad, acumulación y desposesión. Espacio público y pescadores en Rosario (2020) Bitácora Urbano Territorial, 30 (3), pp. 149-161. , https://doi.org/10.15446/bitacora.v30n3.82555; Roldán, Diego, Pascual, Cecilia, Vera, Paula, El espacio público urbano como concepto y materialidad. Propuestas, intervenciones y debates en Rosario (2016) Estudios Sociales Contemporáneos, 13 (1), pp. 19-35. , https://bdigital.uncuyo.edu.ar/objetos_digitales/7858/03-vera-esc13-2016.pdf; Schuster, Federico L., Las protestas sociales y el estudio de la acción colectiva (2005) Tomar la palabra. Estudio sobre protestas sociales y acción colectiva en la Argentina contemporánea, pp. 43-83. , En Compilado por Federico L. Schuster, Francisco S. Naishtat, Gabriel Nardacchione y Sebastián Pereyra, Buenos Aires: Prometeo; Svampa, Maristella, Consenso de los commodities, giro ecoterritorial y pensamiento crítico en América Latina (2012) Observatorio Social de América Latina, 18 (32), pp. 15-38; Svampa, Maristella, (2019) Fronteras del extractivismo en América Latina. Conflictos socioambientales, giro ecoterritorial y nuevas dependencias, , Bielefeld: CALAS; Svampa, Maristella, Pereyra, Sebastián, (2003) Entre la ruta y el barrio. La experiencia de las organizaciones piqueteras, , Buenos Aires: Biblos; Tarrow, Sidney, (2012) Power in Movement: Social Movements and Contentious Politics, , https://doi.org/10.1017/CBO9780511813245, Nueva York: Cambridge University Press; Thompson, Edward, (1989) La formación de la clase obrera en Inglaterra, , Barcelona: Crítica; Tilly, Charles, (1986) The Contentious French, , Cambridge: Harvard University Press; Tilly, Charles, Repertorios de acción contestataria en Gran Bretaña: 1758-1834 (2002) Protesta social. Repertorios de acción colectiva, pp. 49-66. , En compilado por Mark Traugott, Barcelona: Editorial Hacer</t>
  </si>
  <si>
    <t>Universidad Nacional de Colombia</t>
  </si>
  <si>
    <t>2145132X</t>
  </si>
  <si>
    <t>2-s2.0-85140002784</t>
  </si>
  <si>
    <t>Niño C.A.M., Ortíz C.G., Fernández K.N., Bermúdez J.E.A.O., Araque C.H.C.</t>
  </si>
  <si>
    <t>57931576400;57931152700;57930856600;57931004500;57193932591;</t>
  </si>
  <si>
    <t>Challenges and projections of Rottweiler breeding in Colombia, towards precision production [Retos y proyecciones de la cría del Rottweiler en Colombia, hacia una producción de precisión]</t>
  </si>
  <si>
    <t>Revista Facultad Nacional de Agronomia Medellin</t>
  </si>
  <si>
    <t>S91</t>
  </si>
  <si>
    <t>S94</t>
  </si>
  <si>
    <t>https://www.scopus.com/inward/record.uri?eid=2-s2.0-85139990148&amp;partnerID=40&amp;md5=5959db67e1db9cbba5010ee82d31e9e1</t>
  </si>
  <si>
    <t>Corporación Colombiana de Investigación Agropecuaria-Agrosavia, Grupo de investigación en Recursos Genéticos y Biotecnología Animal, Cundinamarca, Bogotá, Mosquera, Colombia; Asociación Club Colombiano del Rottweiler – ACCR, Asociación Club Canino Colombiano – ACCC; Estudiante de Zootecnia, Departamento de Producción Animal, Facultad de Medicina Veterinaria y de Zootecnia, Universidad Nacional de Colombia, Sede Bogotá, Colombia; Escuela de Matemáticas y Estadística, Universidad Pedagógica y Tecnológica de Colombia – UPTC, Facultad Seccional Duitama, Grupo de Investigación en Estadística – GIE, Boyacá, Duitama, Colombia</t>
  </si>
  <si>
    <t>Niño, C.A.M., Corporación Colombiana de Investigación Agropecuaria-Agrosavia, Grupo de investigación en Recursos Genéticos y Biotecnología Animal, Cundinamarca, Bogotá, Mosquera, Colombia; Ortíz, C.G., Asociación Club Colombiano del Rottweiler – ACCR, Asociación Club Canino Colombiano – ACCC; Fernández, K.N., Estudiante de Zootecnia, Departamento de Producción Animal, Facultad de Medicina Veterinaria y de Zootecnia, Universidad Nacional de Colombia, Sede Bogotá, Colombia; Bermúdez, J.E.A.O., Estudiante de Zootecnia, Departamento de Producción Animal, Facultad de Medicina Veterinaria y de Zootecnia, Universidad Nacional de Colombia, Sede Bogotá, Colombia; Araque, C.H.C., Escuela de Matemáticas y Estadística, Universidad Pedagógica y Tecnológica de Colombia – UPTC, Facultad Seccional Duitama, Grupo de Investigación en Estadística – GIE, Boyacá, Duitama, Colombia</t>
  </si>
  <si>
    <t>Animal science; Biometrics; Cynology</t>
  </si>
  <si>
    <t>Association of Community Cancer Centers, ACCC; Ministerio de Agricultura y Desarrollo Rural; Corporación colombiana de investigación agropecuaria; Ministerul Agriculturii și Dezvoltarii Rurale, MADR</t>
  </si>
  <si>
    <t>A la Asociación Club Colombiano del Rottweiler – ACCR, la Asociación Club Canino Colombiano – ACCC, la Corporación Colombiana de Investigación Agropecuaria – Agrosavia, el Ministerio de Agricultura y Desarrollo Rural – MADR, la Universidad Nacional de Colombia y la Universidad Pedagógica y Tecnológica de Colombia por contribuir a la escritura de este trabajo y al progreso de la raza a través de su capital humano.</t>
  </si>
  <si>
    <t>Chen, FL, Zimmermann, M, Hekman, JP, Lord, KA, Logan, B, Russenberger, J, Karlsson, EK., Advancing genetic selection and behavioral genomics of working dogs through collaborative science (2021) Frontiers in Veterinary Science, 8, p. 662429. , https://doi.org/10.3389/fvets.2021.662429; Breeding a better dog, , https://www.vet.cornell.edu/health-topics/estimated-breeding-values-ebvs, s.f. En: Cornell University, Consulta: marzo 2022; Gianola, D, Rosa, G., One hundred years of statistical developments in animal breeding (2015) Annual review Of Animal Biosciences, 3, pp. 19-56. , https://doi.org/10.1146/annurev-animal-022114-110733; Heine, A, Hamann, H, Tellhelm, B, Distl, O., Estimation of population genetic parameters and breeding values for elbow dysplasia in Rottweilers (2009) Berliner und Münchener Tierärztliche Wochenschrift, 122, pp. 100-107. , https://doi.org/10.2376/0005-9366-122-100; Meuwissen, TH, Hayes, BJ, Goddard, ME., Genomic selection: A paradigm shift in animal breeding (2016) Animal Frontiers, 6 (1), pp. 6-14. , https://doi.org/10.2527/af.2016-0002; Pienkob, A., (2008) The Rottweiler, , 3rd edition. Internationale Foederation der Rottweilerfreunde (IFR) (1 Enero 2008); Salt, C, Morris, PJ, German, A, Wilson, D, Lund, EM, Cole, TJ, Butterwick, RF., Growth standard charts for monitoring bodyweight in dogs of different sizes (2017) PLoS ONE, 12 (9), p. e0182064. , https://doi.org/10.1371/journal.pone.0182064; Thornley, JHM, France, J., (2007) Mathematical models in agriculture: quantitative methods for the plant, animal and ecological sciences, , Second edition. J. H. M. Thornley &amp; J. France (eds) CABI; Zhang, Z, Zhu, L, Sandler, J, Friedenberg, SS, Egelhoff, J, Williams, AJ, Todhunter, RJ., Estimation of heritabilities, genetic correlations, and breeding values of four traits that collectively define hip dysplasia in dogs (2009) American Journal Of Veterinary Research, 70 (4), pp. 483-492. , https://doi.org/10.2460/ajvr.70.4.483</t>
  </si>
  <si>
    <t>Niño, C.A.M.; Corporación Colombiana de Investigación Agropecuaria-Agrosavia, Cundinamarca, Colombia</t>
  </si>
  <si>
    <t>Rev. Fac. Nac. Agron. Medellín</t>
  </si>
  <si>
    <t>2-s2.0-85139990148</t>
  </si>
  <si>
    <t>Otálora M.C., Wilches-Torres A., Lara C.R., Cifuentes G.R., Gómez Castaño J.A.</t>
  </si>
  <si>
    <t>56607137200;57209231473;57907182200;57217099209;57215004240;</t>
  </si>
  <si>
    <t>https://www.scopus.com/inward/record.uri?eid=2-s2.0-85138767423&amp;doi=10.3390%2fpolym14183832&amp;partnerID=40&amp;md5=26e00e4378f3d48d3908b17516c3efd4</t>
  </si>
  <si>
    <t>Grupo de Investigación en Ciencias Básicas (NÚCLEO), Facultad de Ciencias e Ingeniería, Universidad de Boyacá, Tunja, 150003, Colombia; Grupo Gestión de Recursos Hídricos, Facultad de Ciencias e Ingeniería, Universidad de Boyacá, Tunja, 050030, Colombia; Grupo Química-Física Molecular y Modelamiento Computacional (QUIMOL®), Escuela de Ciencias Químicas, Universidad Pedagógica y Tecnológica de Colombia, Sede Tunja, Avenida Central del Norte, Tunja, 050030, Colombia</t>
  </si>
  <si>
    <t>Otálora, M.C., Grupo de Investigación en Ciencias Básicas (NÚCLEO), Facultad de Ciencias e Ingeniería, Universidad de Boyacá, Tunja, 150003, Colombia; Wilches-Torres, A., Grupo de Investigación en Ciencias Básicas (NÚCLEO), Facultad de Ciencias e Ingeniería, Universidad de Boyacá, Tunja, 150003, Colombia; Lara, C.R., Grupo Gestión de Recursos Hídricos, Facultad de Ciencias e Ingeniería, Universidad de Boyacá, Tunja, 050030, Colombia; Cifuentes, G.R., Grupo Gestión de Recursos Hídricos, Facultad de Ciencias e Ingeniería, Universidad de Boyacá, Tunja, 050030, Colombia; Gómez Castaño, J.A., Grupo Química-Física Molecular y Modelamiento Computacional (QUIMOL®), Escuela de Ciencias Químicas, Universidad Pedagógica y Tecnológica de Colombia, Sede Tunja, Avenida Central del Norte, Tunja, 050030, Colombia</t>
  </si>
  <si>
    <t>The peels obtained as a byproduct from the processing of fruits (prickly pears) of the Cactaceae family are a rich source of mucilage, a hydrocolloid biopolymer that may have potential application in water/wastewater treatment as a natural coagulant. In this study, the structural (UPLC-QTOF-MS, FTIR, Raman, NMR, XRD, and zeta potential), morphological (SEM), and thermal (DSC/TGA) characterizations of the mucilage extracted from the peels of Opuntia ficus-indica (OFI) fruits were carried out. UPLC-QTOF-MS results revealed the presence of a branched polymer with an average molecular weight of 0.44 KDa for this mucilage in aqua media. The NMR spectra of mucilage in DMSO-d6 indicated that it seemed well-suited as a coagulant with its typical oligosaccharide structure. FTIR studies confirmed the presence of hydroxyl and carboxyl functional groups in the mucilage, indicating its polyelectrolyte nature that could provide coagulating properties through binding and adsorption mechanisms. Likewise, the zeta potential of −23.63 ± 0.55 mV showed an anionic nature of the mucilage. Power XRD technique evidenced the presence of crystalline poly(glycine-β-alanine), glutamic acid, and syn-whewellite. SEM images revealed an irregular and amorphous morphology with cracks, which are suitable characteristics for adsorption mechanisms. The mucilage exhibited two endothermic transitions, with a decomposition temperature in uronic acid of 423.10 °C. These findings revealed that mucilage obtained from OFI fruit peels has molecular and physicochemical characteristics that are suited to its possible application as a natural coagulant in water/wastewater treatments. © 2022 by the authors.</t>
  </si>
  <si>
    <t>mucilage; natural coagulant; Opuntia ficus-indica; wastewater; water treatment</t>
  </si>
  <si>
    <t>Amino acids; Biopolymers; Coagulation; Fourier transform infrared spectroscopy; Fruits; Nuclear magnetic resonance spectroscopy; Polyelectrolytes; X ray diffraction; Zeta potential; Adsorption mechanism; Fruit peel; FTIR; Molecular characteristics; Mucilage; Natural coagulant; Opuntia ficus indica; Physico-chemicals; Prickly pear; XRD; Wastewater treatment</t>
  </si>
  <si>
    <t>The authors greatly acknowledge the support provided by the Universidad de Boyacá and the Universidad Pedagógica y Tecnológica de Colombia.</t>
  </si>
  <si>
    <t>Aboulhassan, M.A., Souabi, S., Yaacoubi, A., Baudu, M., Treatment of Paint manufacturing wastewater by the combination of chemical and biological processes (2014) Int. J. Sci. Environ. Technol, 3, pp. 1747-1758; Xu, H., Li, J., Fu, R., Cheng, R., Wang, S., Zhang, J., Flocculation of coal washing wastewater using polysaccharide produced by Paenibacillus mucilaginosus WL412 (2017) Environ. Sci. Pollut. Res, 24, pp. 28132-28141. , 29019052; Jiang, J.Q., The role of coagulation in water treatment (2015) Curr. Opin. Chem. Eng, 8, pp. 36-44; Saleem, M., Bachmann, R.T., A contemporary review on plant-based coagulants for applications in water treatment (2019) J. Ind. Eng. Chem, 72, pp. 281-297; Zhang, J., Zhang, F., Luo, Y., Yang, H., A preliminary study on cactus as coagulant in water treatment (2006) Process Biochem, 41, pp. 730-733; Pichler, T., Young, K., Alcantar, N., Eliminating turbidity in drinking water using the mucilage of a common cactus (2012) Water Sci. Technol. Water Supply, 12, pp. 179-186; Torres, L.G., Carpinteyro-Urban, S.L., Vaca, M., Use of Prosopis laevigata seed gum and Opuntia ficus-indica mucilage for the treatment of municipal wastewaters by coagulation-flocculation (2012) Nat. Resour, 3, pp. 35-41; Bustillos, L.G.T., Carpinteyro-urban, S., Orozco, C., Production and characterization of Opuntia ficus-indica mucilage and its use as coagulant-flocculant aid for industrial wastewaters (2013) Int. J. Biotechnol. Res, 1, pp. 38-45; Bouatay, F., Mhenni, F., Use of the cactus cladodes mucilage (Opuntia ficus-indica) as an eco-friendly flocculants: Process development and optimization using stastical analysis (2014) Int. J. Environ. Res, 8, pp. 1295-1308; Mounir, B., Abdeljalil, Z., Abdellah, A., Comparison of the efficacy of two bioflocculants in water treatment (2014) Int. J. Sci. Eng. Technol, 737, pp. 734-737; De Souza, M.T.F., Ambrosio, E., De Almeida, C.A., De Souza Freitas, T.K.F., Santos, L.B., De Cinque Almeida, V., Garcia, J.C., The use of a natural coagulant (Opuntia ficus-indica) in the removal for organic materials of textile effluents (2014) Environ. Monit. Assess, 186, pp. 5261-5271. , 24788840; Melgar, B., Inês, M., Ciric, A., Sokovic, M., García-Castello, E.M., Rodríguez-López, A.D., Ferreira, I., By-product recovery of Opuntia spp. peels: Betalainic and phenolic profiles and bioactive properties (2017) Ind. Crops Prod, 107, pp. 353-359; Amaya-CruzIz, D.M., Pérez-Ramírez, I.F., Delgado-García, J., Mondragón-Jacobo, C., Dector-Espinoza, A., Reynoso-Camacho, R., An integral profile of bioactive compounds and functional properties of prickly pear (Opuntia ficus indica L.) peel with different tonalities (2019) Food Chem, 278, pp. 568-578; Andreu-Coll, L., Cano-Lamadrid, M., Sendra, E., Carbonell-Barrachina, A., Legua, P., Hernández, F., Fatty acid profile of fruits (pulp and peel) and cladodes (young and old) of prickly pear [Opuntia ficus-indica (L.) Mill.] from six Spanish cultivars (2019) J. Food Compos. Anal, 84, p. 103294; Gheribi, R., Habibi, Y., Khwaldia, K., Prickly pear peels as a valuable resource of added-value polysaccharide: Study of structural, functional and film forming properties (2019) J. Biol. Macromol, 126, pp. 238-245. , 30590145; Matsuhiro, B., Sáenz, C., Sepúlveda, E., Opuntia spp. Mucilage’s: A Functional Component with Industrial Perspectives (2004) J. Arid Environ, 57, pp. 275-290; Nath, A., Mishra, A., Pande, P.P., A review natural polymeric coagulants in wastewater treatment (2021) Mater. Today, 46, pp. 6113-6117; Kumar, V., Partial replacement of alum by using natural coagulant aid to remove turbidity from institutional wastewater (2020) Int. J. Integr. Eng, 12, pp. 241-251; Okoro, B.U., Sharifi, S., Jesson, M.A., Bridgeman, J., Natural organic matter (NOM) and turbidity removal by plant-based coagulants: A review (2021) J. Environ. Chem. Eng, 9, p. 106588; Feihrmann, A.N.C., Baptista, A.T.A., Lazari, J.P., Silva, M.O., Vieira, M.F., Vieira, A.M.S., Evaluation of coagulation/floculation process for water treatment using defatted cake from Moringa oleifera (2017) Chem. Eng. Trans, 57, pp. 1543-1548; Isemura, H., Catechin in Human Health and Disease (2019) Molecules, 24. , 30717121; Kumar, D., Gihar, S., Shrivash, M.K., Kumar, P., Kundu, P.P., A review on the synthesis of graft copolymers of chitosan and their potential applications (2020) Int. J. Biol. Macromol, 163, pp. 2097-2112. , 32949625; Han, Y.-L., Gao, J., Yin, Y.-Y., Jin, Z.-Y., Xu, X.-M., Chen, H.-Q., Extraction optimization by response surface methodology of mucilage polysaccharide from the peel of Opuntia dillenii haw. fruits and their physicochemical properties (2016) Carbohydr. Polym, 151, pp. 381-391; Choudhary, M., Madhumita, B., RaySudarsan, N., Evaluation of the potential application of cactus (Opuntia ficus-indica) as a bio-coagulant for pre-treatment of oil sands process-affected wáter (2019) Sep. Purif. Rev, 209, pp. 714-724; Fard, M.B., Hamidi, D., Yetilmezsoy, K., Alavi, J., Hosseinpour, F., Utilization of Alyssum mucilage as a natural coagulant in oily-saline wastewater treatment (2021) J. Water Process. Eng, 40, p. 101763; Mohd Asharuddin, S., Othman, N., Altowayti, W.A.H., Abu Bakar, N., Hassan, A., Recent advancement in starch modification and its application as water treatment agent (2021) Environ. Technol. Innov, 23, p. 101637; Salgado-Cruz, M., Calderón-Domínguez, G., Chanona-Pérez, J., Farrera-Rebolloa, R.R., Méndez-Méndez, J.V., Díaz-Ramírez, M., Chia (Salvia hispanica L.) seed mucilage release characterisation. A microstructural and image analysis study (2013) Ind. Crops Prod, 51, pp. 453-462; Nharingo, T., Moyo, M., Application of Opuntia ficus-indica in bioremediation of wastewaters. A critical review (2016) J. Environ. Manag, 166, pp. 55-72; Kumar, R., Barakat, M.A., Decolourization of hazardous brilliant green from aqueous solution using binary oxidized cactus fruit peel (2013) Chem. Eng. J, 226, pp. 377-383; Pelaez-Cid, A.A., Tlalpa-Galan, M.A., Herrera-Gonzalez, A.M., Carbonaceous material production from vegetable residue and their use in the removal of textile dyes present in wastewater (2013) Mater. Sci. Eng, 45, p. 012023; Mirbahoush, S.M., Chaibakhsh, N., Moradi-Shoeili, Z., Highly efficient removal of surfactant from industrial effluents using flaxseed mucilage in coagulation/photo-Fenton oxidation process (2019) Chemosphere, 231, pp. 51-59. , 31128352; Sui Kim, I.T., Sethu, V., Arumugasamy, S.K., Selvarajoo, A., Fenugreek seeds and okra for the treatment of palm oil mill effluent (POME)—Characterization studies and modeling with backpropagation feedforward neural network (BFNN) (2020) J. Water Process. Eng, 37, p. 101500; Muniz, G.L., Borges, A.C., Fonseca da Silva, T.C., Performance of natural coagulants obtained from agro-industrial wastes in dairy wastewater treatment using dissolved air flotation (2020) J. Water Process. Eng, 37, p. 101453; Roy, A., Patra, M., Sarkhel, S., Sengupta, S., Saha, S., Jha, S., Sarkhel, G., Shrivastava, S.L., Fucose-containing Abroma augusta mucilage hydrogel as a potential probiotic carrier with prebiotic function (2022) Food Chem, 387, p. 132941. , 35430541; Freitas, T.K.F.S., Oliveira, V.M., De Souza, M.T.F., Geraldino, H.C.L., Almeida, V.C., Fávaro, S.L., Garcia, J.C., Optimization of coagulation-flocculation process for treatment of industrial textile wastewater using okra (A. esculentus) mucilage as natural coagulant (2015) Ind. Crops Prod, 76, pp. 538-544; Bouaouinea, O., Bourven, I., Khalil, F., Bressollier, P., Baudu, M., Identification and role of Opuntia ficus indica constituents in the flocculation mechanism of colloidal solutions (2019) Sep. Purif. Rev, 209, pp. 892-899; Matsuhiro, B., Lillo, L.E., Saenz, C., Urzúa, C.C., Zarate, O., Chemical characterization of the mucilage from fruits of Opuntia ficus indica (2006) Carbohydr. Polym, 63, pp. 263-267</t>
  </si>
  <si>
    <t>2-s2.0-85138767423</t>
  </si>
  <si>
    <t>Osorio Angarita M.A., Cañadas A.M., Fúneme C.C., Mendez O.M., Serna R.-J.</t>
  </si>
  <si>
    <t>50561131200;56303622000;57904867400;57904867500;56698018300;</t>
  </si>
  <si>
    <t>https://www.scopus.com/inward/record.uri?eid=2-s2.0-85138752891&amp;doi=10.3390%2fcomputation10090164&amp;partnerID=40&amp;md5=a126bf6055b060b449ffa9a8569e3d12</t>
  </si>
  <si>
    <t>Escuela de Ingeniería de Sistemas, Facultad de Ingeniería, Universidad Pedagógica y Tecnológica de Colombia, Avenida Central del Norte 39-115, Tunja, 150003, Colombia; Departamento de Matemáticas, Universidad Nacional de Colombia, Edificio Yu Takeuchi 404, Kra 30 No 45-03, Bogotá, 11001000, Colombia; Escuela de Matemáticas y Estadística, Universidad Pedagógica y Tecnológica de Colombia, Avenida Central del Norte 39-115, Tunja, 150003, Colombia</t>
  </si>
  <si>
    <t>Osorio Angarita, M.A., Escuela de Ingeniería de Sistemas, Facultad de Ingeniería, Universidad Pedagógica y Tecnológica de Colombia, Avenida Central del Norte 39-115, Tunja, 150003, Colombia; Cañadas, A.M., Departamento de Matemáticas, Universidad Nacional de Colombia, Edificio Yu Takeuchi 404, Kra 30 No 45-03, Bogotá, 11001000, Colombia; Fúneme, C.C., Departamento de Matemáticas, Universidad Nacional de Colombia, Edificio Yu Takeuchi 404, Kra 30 No 45-03, Bogotá, 11001000, Colombia; Mendez, O.M., Departamento de Matemáticas, Universidad Nacional de Colombia, Edificio Yu Takeuchi 404, Kra 30 No 45-03, Bogotá, 11001000, Colombia; Serna, R.-J., Escuela de Matemáticas y Estadística, Universidad Pedagógica y Tecnológica de Colombia, Avenida Central del Norte 39-115, Tunja, 150003, Colombia</t>
  </si>
  <si>
    <t>Cayley hash values are defined by paths of some oriented graphs (quivers) called Cayley graphs, whose vertices and arrows are given by elements of a group (Formula presented.). On the other hand, Brauer messages are obtained by concatenating words associated with multisets constituting some configurations called Brauer configurations. These configurations define some oriented graphs named Brauer quivers which induce a particular class of bound quiver algebras named Brauer configuration algebras. Elements of multisets in Brauer configurations can be seen as letters of the Brauer messages. This paper proves that each point (Formula presented.) has an associated Brauer configuration algebra (Formula presented.) induced by a Brauer configuration (Formula presented.). Additionally, the Brauer configuration algebras associated with points in a subset of the form (Formula presented.) have the same dimension. We give an analysis of Cayley hash values associated with Brauer messages (Formula presented.) defined by a semigroup generated by some appropriated matrices (Formula presented.) over a commutative ring (Formula presented.). As an application, we use Brauer messages (Formula presented.) to construct explicit solutions for systems of linear and nonlinear differential equations of the form (Formula presented.) and (Formula presented.) for some suitable square matrices, M and (Formula presented.). Python routines to compute Cayley hash values of Brauer messages are also included. © 2022 by the authors.</t>
  </si>
  <si>
    <t>Universidad Nacional de Colombia, UNAL</t>
  </si>
  <si>
    <t>Seminar Alexander Zavadskij on Representation of Algebras and their Applications, Universidad Nacional de Colombia. The fourth author was partially supported by MinCiencias-Colombia, Convocatoria 907 de 2021.</t>
  </si>
  <si>
    <t>Stinson, D., Paterson, M., (2019) Cryptography: Theory and Practice, , 4th ed., Chapman and Hall/CRC Press, Boca Raton, FL, USA; Sosnovski, B., Cayley Graphs of Semigroups and Applications to Hashing (2016) Ph.D. Thesis, , City University of New York, New York, NY, USA; Espinosa, P.F.F., Categorification of Integer Sequences and Its Applications (2020) Ph.D. Thesis, , Universidad Nacional de Colombia, Bogotá, Colombia; Green, E.L., Schroll, S., Brauer configuration algebras: A generalization of Brauer graph algebras (2017) Bull. Sci. Math, 141, pp. 539-572; Cañadas, A.M., Espinosa, P.F.F., Rios, G.B., Wargaming with quadratic forms and Brauer configuration algebras (2022) Mathematics, 10; Cañadas, A.M., Gaviria, I.D.M., Vega, J.D.C., Relationships between the Chicken McNugget Problem, Mutations of Brauer Configuration Algebras and the Advanced Encryption Standard (2021) Mathematics, 9; Green, E.L., Hille, L., Schroll, S., Algebras and varieties (2021) Algebr. Represent. Theor, 24, pp. 367-388; (2018) Quantum Computing: Progress and Prospects, , The National Academies Press, Washington, DC, USA; Zémor, G., Hash functions and graphs with large girths (1991) Advances in Cryptology-EUROCRYPT’91, 547, pp. 508-511. , Springer, Berlin/Heidelberg, Germany; Tillich, J.P., Zémor, G., Group-theoretic hash functions (1994) Algebraic Coding: First French-Israeli Workshop, Lecture Notes in Computer Science, 781, pp. 90-110. , Springer, Berlin/Heidelberg, Germany; Tillich, J.P., Zémor, G., Hashing with SL2 (1994) Advances in Cryptology-CRYPTO’94, 839, pp. 40-49. , Springer, Berlin/Heidelberg, Germany; Charles, D.X., Lauter, K.E., Goren, E.Z., Cryptographic hash Functions from expander graphs (2007) J. Cryptol, 22, pp. 93-113; Petit, C., On Graph-Based Cryptographic Hash Functions (2009) Ph.D. Thesis, , Universit Catholique de Louvain, Ottignies-Louvain-la-Neuve, Belgium; Petit, C., Lauter, K., Quisquater, J.-J., Full cryptanalysis of LPS and Morgenstern hash functions (2008) Security and Cryptography for Networks, Lecture Notes in Computer Science, 5229. , Springer, Berlin/Heidelberg, Germany; Lubotzky, A., Phillips, R., Sarnak, P., Ramanujan graphs (1988) Combinatorica, 3, pp. 261-277; Grassl, M., Ilić, I., Magliveras, S., Steiwandt, R., Cryptanalysis of the Tillich-Zémor hash function (2011) J. Cryptol, 24, pp. 148-156; Petit, C., Quisquater, J.-J., Preimages of the Tillich-Zémor hash function (2011) Selected Areas in Cryptography. SAC 2010. Lecture Notes in Computer Science, 6544. , Springer, Berlin/Heidelberg, Germany; Grassl, M., Langenber, B., Roetteler, M., Steiwandt, R., Applying Grover’s algorithm to AES: Quantum resource estimates (2016) Post-Quantum Cryptography. PQCrypto 2016. Lecture Notes in Computer Science, 9606. , Springer, Berlin/Heidelberg, Germany; Mullan, C., Tsaban, B., SL2 homomorphic hash functions: Worst case to average case reduction and short collision search (2016) Designs, Codes and Cryptography, 81, pp. 83-107. , Springer, Berlin/Heidelberg, Germany; Agudelo Muñeton, N., Cañadas, A.M., Gaviria, I.D.M., Fernández, P.F.F., {0,1}-Brauer configuration algebras and their applications in the graph energy theory (2021) Mathematics, 9; Cañadas, A.M., Angarita, M.A.O., Brauer configuration algebras for multimedia based cryptography and security applications (2021) Multimed Tools Appl, 80, pp. 23485-23510; Assem, I., Skowronski, A., Simson, D., (2006) Elements of the Representation Theory of Associative Algebras, , Cambridge University Press, Cambridge, UK; Sierra, A., The dimension of the center of a Brauer configuration algebra (2018) J. Algebra, 510, pp. 289-318; Cassaigne, J., Harju, T., Karhumäki, J., On the undecidability of freeness of matrix semigroups (1999) Intern. J. Algebra Comput, 9, pp. 295-305</t>
  </si>
  <si>
    <t>Serna, R.-J.; Escuela de Matemáticas y Estadística, Avenida Central del Norte 39-115, Colombia; email: robinson.serna@uptc.edu.co</t>
  </si>
  <si>
    <t>2-s2.0-85138752891</t>
  </si>
  <si>
    <t>Moreno Rubio J.J., Angarita Malaver E.F., Mesa Lara J.A.</t>
  </si>
  <si>
    <t>57199177389;56646609200;57904237600;</t>
  </si>
  <si>
    <t>https://www.scopus.com/inward/record.uri?eid=2-s2.0-85138677044&amp;doi=10.3390%2fmi13091541&amp;partnerID=40&amp;md5=00f1b6dd4f074c83bd90a69987a8d016</t>
  </si>
  <si>
    <t>Grupo de Investigación en Telecomunicaciones—GINTEL, Universidad Pedagógica y Tecnológica de Colombia, Sogamoso, 152211, Colombia</t>
  </si>
  <si>
    <t>Moreno Rubio, J.J., Grupo de Investigación en Telecomunicaciones—GINTEL, Universidad Pedagógica y Tecnológica de Colombia, Sogamoso, 152211, Colombia; Angarita Malaver, E.F., Grupo de Investigación en Telecomunicaciones—GINTEL, Universidad Pedagógica y Tecnológica de Colombia, Sogamoso, 152211, Colombia; Mesa Lara, J.A., Grupo de Investigación en Telecomunicaciones—GINTEL, Universidad Pedagógica y Tecnológica de Colombia, Sogamoso, 152211, Colombia</t>
  </si>
  <si>
    <t>This paper presents a strategy to design ultrawideband power amplifiers with a fractional bandwidth of approximately 200%. It exploits a simple output matching network, which consists of a series transmission line together with a shunt stub, to compensate the output parasitic network of the device. Following this, a multisection transformer is implemented to obtain the optimal load at the intrinsic drain plane. As design examples, several output matching networks were designed for two different size GaN HEMT devices. One of these examples was implemented and characterized, and a drain efficiency from 52% to 70% and an output power between 40 dBm and 42.5 dBm were obtained, over 67% of the 5G sub-6-GHz band (i.e., 0.1 to 4 GHz). The aforementioned results, to the best of the authors’ knowledge, represent the state of the art in broadband power amplifiers. © 2022 by the authors.</t>
  </si>
  <si>
    <t>broadband matching networks; GaN-based FETs; ultrawideband power amplifiers</t>
  </si>
  <si>
    <t>5G mobile communication systems; Bandwidth; Broadband amplifiers; Gallium nitride; III-V semiconductors; Ultra-wideband (UWB); Broadband matching networks; Design strategies; Fractional bandwidths; GaN based; GaN-based FET; Output matching network; Power amplifier designs; Simple++; Ultrawide band; Ultrawideband power amplifier; Power amplifiers</t>
  </si>
  <si>
    <t>Moreno Rubio, J.J., Camarchia, V., Quaglia, R., Angarita Malaver, E.F., Pirola, M., A 0.6–3.8 GHz GaN Power Amplifier Designed Through a Simple Strategy (2016) IEEE Microw. Wirel. Compon. Lett, 26, pp. 446-448; Moreno Rubio, J.J., Quaglia, R., Baddeley, A., Tasker, P.J., Cripps, S.C., Design of a Broadband Power Amplifier Based on Power and Efficiency Contour Estimation (2020) IEEE Microw. Wirel. Compon. Lett, 30, pp. 772-774; Nia, H.T.-A., Nayyeri, V., A 0.85–5.4 GHz 25-W GaN power amplifier (2020) IEEE Microw. Wirel. Compon. Lett, 28, pp. 251-253; Ma, C., Liu, Y., Pan, W., Tang, Y., 0.4–3.0 GHz highly efficient harmonic-tuned power amplifier (2015) Electron. Lett, 51, pp. 1911-1913; Dai, Z., He, S., You, F., Peng, J., Chen, P., Dong, L., A new distributed parameter broadband matching method for power amplifier via real frequency technique (2015) IEEE Trans. Microw. Theory Tech, 63, pp. 449-458; Ejaz, M.E., Kilinc, S., Yarman, S.B., Ozoguz, S., Srivastava, S., Nurellari, E., A Unified Real Frequency Technique for the Solution to Broadband Matching Problems Proceedings of the 2022 Microwave Mediterranean Symposium (MMS), pp. 1-6. , Pizzo Calabro, Italy, 11–12 May 2022; Kilinc, S., Yarman, B.S., Design of an Ultra-Wideband GaN Power Amplifier via Real Frequency Technique Proceedings of the 2018 18th Mediterranean Microwave Symposium (MMS), pp. 179-182. , Istanbul, Turkey, 31 October–2 November 2018; Meng, X., Yu, C., Liu, Y., Wu, Y., Design approach for implementation of class-J broadband power amplifiers using synthesized band-pass and low-pass matching topology (2017) IEEE Trans. Microw. Theory Tech, 65, pp. 4984-4996; Sharma, T., Aflaki, P., Helaoui, M., Ghannouchi, F.M., Broadband GaN class-E power amplifier for load modulated delta sigma and 5G transmitter applications (2018) IEEE Access, 6, pp. 4709-4719; Moreno Rubio, J.J., Angarita Malaver, E.F., Lara González, L.Á., Wideband Doherty Power Amplifier: A Design Approach (2022) Micromachines, 13. , 35457802; Quaglia, R., Shepphard, D.J., Cripps, S., A reappraisal of optimum output matching conditions in microwave power transistors (2017) IEEE Trans. Microw. Theory Tech, 65, pp. 838-845</t>
  </si>
  <si>
    <t>Moreno Rubio, J.J.; Grupo de Investigación en Telecomunicaciones—GINTEL, Colombia; email: jorgejulian.moreno@uptc.edu.co</t>
  </si>
  <si>
    <t>2072666X</t>
  </si>
  <si>
    <t>2-s2.0-85138677044</t>
  </si>
  <si>
    <t>Salamanca-Neita L.H., Carvajal Ó., Carvajal J.P., Forero-Castro M., Segura N.A.</t>
  </si>
  <si>
    <t>57903475400;57903475500;57902225400;56725949100;26422513300;</t>
  </si>
  <si>
    <t>Comparison of Four Real-Time Polymerase Chain Reaction Assays for the Detection of SARS-CoV-2 in Respiratory Samples from Tunja, Boyacá, Colombia</t>
  </si>
  <si>
    <t>Tropical Medicine and Infectious Disease</t>
  </si>
  <si>
    <t>https://www.scopus.com/inward/record.uri?eid=2-s2.0-85138657974&amp;doi=10.3390%2ftropicalmed7090240&amp;partnerID=40&amp;md5=bb56825b43b626dae6817e975c553037</t>
  </si>
  <si>
    <t>Laboratorio Carvajal IPS, SAS, Tunja, 150003, Colombia; Facultad de Ciencias, Grupo de Investigación en Ciencias Biomédicas, Universidad Pedagógica y Tecnológica de Colombia, Tunja, 150003, Colombia</t>
  </si>
  <si>
    <t>Salamanca-Neita, L.H., Laboratorio Carvajal IPS, SAS, Tunja, 150003, Colombia, Facultad de Ciencias, Grupo de Investigación en Ciencias Biomédicas, Universidad Pedagógica y Tecnológica de Colombia, Tunja, 150003, Colombia; Carvajal, Ó., Laboratorio Carvajal IPS, SAS, Tunja, 150003, Colombia; Carvajal, J.P., Laboratorio Carvajal IPS, SAS, Tunja, 150003, Colombia; Forero-Castro, M., Facultad de Ciencias, Grupo de Investigación en Ciencias Biomédicas, Universidad Pedagógica y Tecnológica de Colombia, Tunja, 150003, Colombia; Segura, N.A., Facultad de Ciencias, Grupo de Investigación en Ciencias Biomédicas, Universidad Pedagógica y Tecnológica de Colombia, Tunja, 150003, Colombia</t>
  </si>
  <si>
    <t>Coronavirus disease (COVID-19) is an infectious disease caused by SARS-CoV-2. In Colombia, many commercial methods are now available to perform the RT-qPCR assays, and laboratories must evaluate their diagnostic accuracy to ensure reliable results for patients suspected of being positive for COVID-19. The purpose of this study was to compare four commercial RT-qPCR assays with respect to their ability to detect the SARS-CoV2 virus from nasopharyngeal swab samples referred to Laboratorio Carvajal IPS, SAS in Tunja, Boyacá, Colombia. We utilized 152 respiratory tract samples (Nasopharyngeal Swabs) from patients suspected of having SARS-CoV-2. The diagnostic accuracy of GeneFinderTM COVID-19 Plus RealAmp (In Vitro Diagnostics) (GF-TM), One-Step Real-Time RT-PCR (Vitro Master Diagnostica) (O-S RT-qPCR), and the Berlin modified protocol (BM) were assessed using the gold-standard Berlin protocol (Berlin Charité Probe One-Step RT-qPCR Kit, New England Biolabs) (BR) as a reference. Operational characteristics were estimated in terms of sensitivity, specificity, agreement, and predictive values. Using the gold-standard BR as a reference, the sensitivity/specificity of the diagnostic tests was found to be 100%/92.7% for GF-TM, 92.75%/67.47% for O-S RT-qPCR, and 100%/96.39% for the BM protocol. Using BR as a reference, the sensitivity/specificity for the diagnostic tests were found to be 100%/92.7% for the GF-TM assay, 92.72%/67.47% for the O-S RT-qPCR, and 100%/96.39% for BM. Relative to the BR reference protocol, the GF-TM and BM RT-PCR assays obtained similar results (k = 0.92 and k = 0.96, respectively), whereas the results obtained by O-S-RT-qPCR were only moderately similar. We conclude that the GF-TM and BM protocols offer the best sensitivity and specificity, with similar results in comparison to the gold-standard BR protocol. We recommend evaluating the diagnostic accuracy of the OS-RT-qPCR protocol in future studies with a larger number of samples. © 2022 by the authors.</t>
  </si>
  <si>
    <t>COVID-19; molecular diagnostics; real-time polymerase chain reaction (RT-qPCR); severe acute respiratory syndrome coronavirus 2 (SARS-CoV2)</t>
  </si>
  <si>
    <t>virus RNA; adolescent; adult; aged; Article; bronchoalveolar lavage fluid; child; clinical trial; Colombia; controlled study; coronavirus disease 2019; cycle threshold value; diagnostic accuracy; diagnostic test accuracy study; false negative result; false positive result; female; human; in vitro study; infant; intermethod comparison; major clinical study; male; mid-turbinate swab; molecular diagnosis; nasopharyngeal swab; newborn; nonhuman; nose smear; oropharyngeal swab; predictive value; prospective study; real time polymerase chain reaction; real time reverse transcription polymerase chain reaction; receiver operating characteristic; sensitivity and specificity; Severe acute respiratory syndrome coronavirus 2; virus detection</t>
  </si>
  <si>
    <t>ABI 7500, Applied Biosystems; AN NX-48s; Berlin Charite Probe One-Step RT-qPCR Kit, New England Biolabs, United States; Bio-Rad CFX Manager, Applied Biosystems, United States; CFX96TM Real-Time PCR Detection System, Biorad; GeneFinder COVID-19 Plus RealAmp Kit; Nextractor NX-48S; One-Step Real-Time RT-PCR; QuantStudioTM 3 Real-Time PCR System, Applied Biosystems; QuantStudioTM 5 Real-Time PCR System, Applied Biosystems; Rotor-Gene-Q, Qiagen; StepOne PlusTM Real-Time PCR System, Applied Biosystems; StepOneTM Real-Time PCR System, Applied Biosystems</t>
  </si>
  <si>
    <t>Applied Biosystems; Applied Biosystems, United States; Biorad; New England Biolabs, United States; Qiagen</t>
  </si>
  <si>
    <t>Ministerio de Ciencia, Tecnología e Innovación Productiva, MINCyT: 2020000100102, 78326</t>
  </si>
  <si>
    <t>This study was derived from the research study entitled: “Fortalecimiento de capacidades instaladas de Ciencia y Tecnología de Carvajal Laboratorios IPS SAS para atender problemáticas asociadas con agentes biológicos de alto riesgo para la salud humana en el Departamento de Boyacá”, funded by the Ministerio de Ciencia Tecnología e Innovación (Minciencias) (SIGP CODE: 78326; BPIN: 2020000100102).</t>
  </si>
  <si>
    <t>Wang, M.-Y., Zhao, R., Gao, L.-J., Gao, X.-F., Wang, D.-P., Cao, J.-M., SARS-CoV-2: Structure, Biology, and Structure-Based Therapeutics Development (2020) Front. Cell. Infect. Microbiol, 10, p. 587269. , 33324574; Kumar, A., Prasoon, P., Kumari, C., Pareek, V., Faiq, M.A., Narayan, R.K., Kulandhasamy, M., Kant, K., SARS-CoV-2-specific virulence factors in COVID-19 (2021) J. Med. Virol, 93, pp. 1343-1350. , 33085084; Liu, Q., Qin, C., Liu, M., Liu, J., Effectiveness and safety of SARS-CoV-2 vaccine in real-world studies: A systematic review and meta-analysis (2021) Infect. Dis. Poverty, 10, p. 132. , 34776011; Ling, Y., Zhong, J., Luo, J., Safety and effectiveness of SARS-CoV-2 vaccines: A systematic review and meta-analysis (2021) J. Med. Virol, 93, pp. 6486-6495. , 34264528; Wu, F., Zhao, S., Yu, B., Chen, Y.-M., Wang, W., Song, Z.-G., Hu, Y., Pei, Y.-Y., A new coronavirus associated with human respiratory disease in China (2020) Nature, 579, pp. 265-269. , 32015508; Wang, H., Jean, S., Eltringham, R., Madison, J., Snyder, P., Tu, H., Jones, D.M., Leber, A.L., Mutation-Specific SARS-CoV-2 PCR Screen: Rapid and Accurate Detection of Variants of Concern and the Identification of a Newly Emerging Variant with Spike L452R Mutation (2021) J. Clin. Microbiol, 59, pp. e00926-21; Liu, M., Li, Q., Zhou, J., Ai, W., Zheng, X., Zeng, J., Liu, Y., Li, X., Value of swab types and collection time on SARS-CoV-2 detection using RT-PCR assay (2020) J. Virol. Methods, 286, p. 113974. , 32949663; McAuley, J., Fraser, C., Paraskeva, E., Trajcevska, E., Sait, M., Wang, N., Bert, E., Strugnell, R., Optimal preparation of SARS-CoV-2 viral transport medium for culture (2021) Virol. J, 18, p. 53. , 33691737; Castro, A.L.L., Rodríguez, R.B., Mojica, F.I.L., Andrade, J.L.C., (2015) Manual de Toma de Muestras para Análisis Microbiologico, 2015. , 1st ed., Saludcapital, Bogota, Colombia; Corman, V.M., Landt, O., Kaiser, M., Molenkamp, R., Meijer, A., Chu, D.K.W., Bleicker, T., Schmidt, M.L., Detection of 2019 novel coronavirus (2019-nCoV) by real-time RT-PCR (2020) Eurosurveillance, 25, p. 2000045; Pecoraro, V., Negro, A., Pirotti, T., Trenti, T., Estimate false-negative RT-PCR rates for SARS-CoV-2. A systematic review and meta-analysis (2022) Eur. J. Clin. Investig, 52, p. e13706. , 34741305; Guo, W., Zhou, Q., Xu, J., Negative results in nucleic acid test of COVID-19 patients: Assessment from the perspective of clinical laboratories (2020) Ann. Palliat. Med, 9, pp. 4246-4251. , 32954746; Eguchi, H., Horita, N., Ushio, R., Kato, I., Nakajima, Y., Ota, E., Kaneko, T., Diagnostic test accuracy of antigenaemia assay for PCR-proven cytomegalovirus infection—systematic review and meta-analysis (2017) Clin. Microbiol. Infect, 23, pp. 907-915. , 28506786; Wei, Z., Zhang, X., Wei, C., Yao, L., Li, Y., Xu, H., Jia, Y., Yang, K., Diagnostic accuracy of in-house real-time PCR assay for Mycobacterium tuberculosis: A systematic review and meta-analysis (2019) BMC Infect. Dis, 19. , 31395014; Kim, H.-K., Oh, S.-H., Yun, K.A., Sung, H., Kim, M.-N., Comparison of Anyplex II RV16 with the xTAG Respiratory Viral Panel and Seeplex RV15 for Detection of Respiratory Viruses (2013) J. Clin. Microbiol, 51, pp. 1137-1141. , 23363824; Gwyn, S., Abubakar, A., Akinmulero, O., Bergeron, E., Blessing, U.N., Chaitram, J., Coughlin, M.M., Esiekpe, M., Performance of SARS-CoV-2 Antigens in a Multiplex Bead Assay for Integrated Serological Surveillance of Neglected Tropical and Other Diseases (2022) Am. J. Trop. Med. Hyg, 107, pp. 260-267. , 35895418; Vogels, C.B.F., Brito, A.F., Wyllie, A.L., Fauver, J.R., Ott, I.M., Kalinich, C.C., Petrone, M.E., Moore, A.J., Analytical Sensitivity and Efficiency Comparisons of SARS-CoV-2 qRT-PCR Primer-Probe Sets (2020) Nat. Microbiol, 5, pp. 1299-1305. , 32651556; Dong, L., Zhou, J., Niu, C., Wang, Q., Pan, Y., Sheng, S., Wang, X., Liu, M., Highly accurate and sensitive diagnostic detection of SARS-CoV-2 by digital PCR (2021) Talanta, 224, p. 121726. , 33379001</t>
  </si>
  <si>
    <t>Salamanca-Neita, L.H.; Laboratorio Carvajal IPS, Colombia; email: lhsalamanca@uniboyaca.edu.co</t>
  </si>
  <si>
    <t>Segura</t>
  </si>
  <si>
    <t>2-s2.0-85138657974</t>
  </si>
  <si>
    <t>Suarez Baron M.J., Gomez A.L., Diaz J.E.E.</t>
  </si>
  <si>
    <t>42862493300;57902876400;57902034000;</t>
  </si>
  <si>
    <t>Applied Sciences (Switzerland)</t>
  </si>
  <si>
    <t>https://www.scopus.com/inward/record.uri?eid=2-s2.0-85138650569&amp;doi=10.3390%2fapp12189371&amp;partnerID=40&amp;md5=b4dd53dc9af640fb8a4ca9f43f3eb059</t>
  </si>
  <si>
    <t>Department of Systems and Computing, Pedagogical and Technological, University of Colombia, Sogamoso, 150003, Colombia</t>
  </si>
  <si>
    <t>Suarez Baron, M.J., Department of Systems and Computing, Pedagogical and Technological, University of Colombia, Sogamoso, 150003, Colombia; Gomez, A.L., Department of Systems and Computing, Pedagogical and Technological, University of Colombia, Sogamoso, 150003, Colombia; Diaz, J.E.E., Department of Systems and Computing, Pedagogical and Technological, University of Colombia, Sogamoso, 150003, Colombia</t>
  </si>
  <si>
    <t>This article presents the application of supervised learning and image classification for the early detection of late blight disease in potato using convolutional neural network and support vector machine SVM. The study was realized in the Boyacá department, Colombia. An initial dataset is created with the acquisition of a large number of images directly from the crops. These images are pre-processed in order to extract the main characteristics of the late blight disease. A classification model is developed to identify the potato plants as healthy or infected. Several performance, efficiency, and quality metrics were applied in the learning and classification tasks to determine the best machine learning algorithms. Then, an additional data set was used for validation, image classification, and detection of late blight disease in potato crops in the department of Boyacá, Colombia. The results obtained in the AUC curve show that the CNN trained with the data set obtained an AUC equal to 0.97; and the analysis through SVM obtained an AUC equal to 0.87. Future work requires the development of a mobile application with advanced features as a technological tool for precision agriculture that supports farmers with increased agricultural productivity. © 2022 by the authors.</t>
  </si>
  <si>
    <t>Universidad Pedagógica y Tecnológica de Colombia, UPTC: 3096</t>
  </si>
  <si>
    <t>(2020) Informe Trimestral de Coyuntura Económica del Subsector Papa, , FEDEPAPA, Bogota, Colombia; Ortiz Daza, C.A., (2021) Desarrollo de una Herramienta Computacional Basada en Redes Neuronales para el Diagnóstico del Tizón Tardío en Cultivos de Papa, , Universidad Antonio Nariño, Bogota, Colombia; Bravo, I.A., Herrera, R.B., Arévalo, M.G., Davis, M.M., Johnston, R.O., Díaz, B.S., Velásquez, J.G., (2019) Tizón Tardío de la Papa: Estrategias de Manejo Integrado con Alertas Temprana, , Ministerio de Agricultura, Santiago, Chile; Nandhini, S., Ashokkumar, K., An automatic plant leaf disease identification using DenseNet-121 architecture with a mutation-based henry gas solubility optimization algorithm (2022) Neural Comput. Appl, 34, pp. 5513-5534; Hou, C., Zhuang, J., Tang, Y., He, Y., Miao, A., Huang, H., Luo, S., Recognition of early blight and late blight diseases on potato leaves based on graph cut segmentation (2021) J. Agric. Food Res, 5, p. 100154; Shrivastava, V.K., Pradhan, M.K., Rice plant disease classification using color features: A machine learning paradigm (2021) J. Plant Pathol, 103, pp. 17-26; Agarwal, M., Singh, A., Arjaria, S., Sinha, A., Gupta, S., ToLeD: Tomato leaf disease detection using convolution neural network (2020) Procedia Comput. Sci, 167, pp. 293-301; Mishra, S., Sachan, R., Rajpal, D., Deep convolutional neural network based detection system for real-time corn plant disease recognition (2020) Procedia Comput. Sci, 167, pp. 2003-2010; Ashqar, B.A., Abu-Naser, S.S., (2018) Image-Based Tomato Leaves Diseases Detection Using Deep Learning, , AUG Repository, Göttingen, Germany; Barriga Pozada, A.C., Arrasco Ordoñez, C.S., (2018) Diagnóstico Automático de Roya Amarilla en Hojas de Cafeto Aplicando Técnicas de Procesamiento de Imágenes y Aprendizaje de Máquina, , PUCP, Lima, Peru; Kurmi, Y., Gangwar, S., Chaurasia, V., Goel, A., Leaf images classification for the crops diseases detection (2022) Multimed. Tools Appl, 81, pp. 8155-8178; Kose, U., Prasath, V.S., Mondal, M.R.H., Podder, P., Bharati, S., (2022) Artificial Intelligence and Smart Agriculture Technology, pp. 45-55. , CRC Press, Boca Raton, FL, USA; Lozada-Portilla, W.A., Suarez-Barón, M.J., Avendaño-Fernández, E., Application of convolutional neural networks for detection of the late blight Phytophthora infestans in potato Solanum tuberosum (2021) Rev. UDCA Actual. Divulg. Cient, 24, p. e1917</t>
  </si>
  <si>
    <t>Suarez Baron, M.J.; Department of Systems and Computing, Colombia; email: marco.suarez@uptc.edu.co</t>
  </si>
  <si>
    <t>Appl. Sci.</t>
  </si>
  <si>
    <t>2-s2.0-85138650569</t>
  </si>
  <si>
    <t>Orozco-Orozco L.F., López-Hoyos J.H., Espitia-Negrete L.B., Velásquez-Arroyo C.E., Rodríguez-Rodríguez O.J., Garnica-Montaña J.P.</t>
  </si>
  <si>
    <t>57200122051;57888627100;57888846000;57221700952;57888846100;57355769700;</t>
  </si>
  <si>
    <t>Floral biology of Arracacia xanthorrhiza Bancr. accessions from Colombia’s germplasm bank [Biología floral de accesiones de Arracacia xanthorrhiza Bancr. del banco de germoplasma de Colombia]</t>
  </si>
  <si>
    <t>Agronomia Mesoamericana</t>
  </si>
  <si>
    <t>10.15517/am.v33i3.49469</t>
  </si>
  <si>
    <t>https://www.scopus.com/inward/record.uri?eid=2-s2.0-85137931123&amp;doi=10.15517%2fam.v33i3.49469&amp;partnerID=40&amp;md5=3975b501aa291b0cf9310984a12464d3</t>
  </si>
  <si>
    <t>Corporación Colombiana de Investigación Agropecuaria (AGROSAVIA), Centro de Investigación La Selva, Antioquia, Rionegro, 054040, Colombia; North Dakota State University, Dakota del Norte, EE, United States; Corporación Colombiana de Investigación Agropecuaria (AGROSAVIA), Centro de Investigación Nataima, Tolima, Espinal, 733529, Colombia</t>
  </si>
  <si>
    <t>Orozco-Orozco, L.F., Corporación Colombiana de Investigación Agropecuaria (AGROSAVIA), Centro de Investigación La Selva, Antioquia, Rionegro, 054040, Colombia; López-Hoyos, J.H., Corporación Colombiana de Investigación Agropecuaria (AGROSAVIA), Centro de Investigación La Selva, Antioquia, Rionegro, 054040, Colombia; Espitia-Negrete, L.B., Corporación Colombiana de Investigación Agropecuaria (AGROSAVIA), Centro de Investigación La Selva, Antioquia, Rionegro, 054040, Colombia; Velásquez-Arroyo, C.E., Corporación Colombiana de Investigación Agropecuaria (AGROSAVIA), Centro de Investigación La Selva, Antioquia, Rionegro, 054040, Colombia; Rodríguez-Rodríguez, O.J., North Dakota State University, Dakota del Norte, EE, United States; Garnica-Montaña, J.P., Corporación Colombiana de Investigación Agropecuaria (AGROSAVIA), Centro de Investigación Nataima, Tolima, Espinal, 733529, Colombia</t>
  </si>
  <si>
    <t>Introduction. The arracacha is a native Andean tuberous root, with higher productions in Brazil and Colombia. Among the limitations of the crop is the lack of information about reproductive biology (flowering and sexual seed production) stands out, which hinders the breeding of new varieties. The National Germplasm Bank System for Food and Agriculture (SBNAA) of Colombia, under the custody of the Corporacion Colombiana de Investigacion Agropecuaria (AGROSAVIA), conserves 71 accessions of Arracacia xanthorrhiza Bancr., where flowering is frequent in up to 10 % of them. Objective. To characterize the floral structure and describe the reproductive cycle of nine arracacha accessions that flowered between 2019 and 2020. Materials and methods. The study was conducted at La Selva Research Center, Rionegro, Antioquia, Colombia, where the germplasm back is kept. The morphological characterization of the accessions was carried out by recording sixteen variables at the level of floral structure, in addition to monitoring the reproductive cycle. Results. Four groupings were obtained where the variables pollen color, anther color, petal color, plant height, number of staminate flowers, and number of seeds had the greatest contribution to the variability found. The floral reproductive cycle lasted 73 days on average, in which four phenophases were found: 1. umbel emergence, 2. style separation, 3. pollen shedding, and 4. fruit filling, with an average duration of 11, 3, 4, and 55 days, respectively. Among the factors that induced flowering in arracacha were: age, plant genetics, and climate. Conclusion. The floral structures and reproductive cycle of the nine accessions of arracacha that flowered between 2019 and 2020 were characterized. © 2022 Agronomía Mesoamericana es desarrollada en la Universidad de Costa Rica bajo una licencia Creative Commons.</t>
  </si>
  <si>
    <t>Arracacha; characterization; flowering; morphology; notypic variability</t>
  </si>
  <si>
    <t>Aguilera, F., Ruiz Valenzuela, L., Study of the floral phenology of Olea europaea L. in Jaén province (SE Spain) and its relation with pollen emission (2009) Aerobiologia, 25, pp. 217-225. , https://doi.org/10.1007/s10453-009-9127-5; (2021) Base agrícola EVA – 2020, , https://www.agronet.gov.co/estadistica/Paginas/home.aspx?cod=59; Alvarado Gaona, A. E., Ochoa Fonseca, L. E., Cultivo de arracacha (A.xanthorrhiza bancroft) en los municipios de Turmequé y Boyacá (Boyacá, Colombia) (1ra ed.) (2010) Colección Investigación Uptc, , https://bit.ly/3cvXNvd; Amaya Robles, J. E., Julca Hashimoto, J. L., Arracacha (Arracacia xanthorrhiza Bancroft) (2006) Gerencia Regional de Recursos Naturales y Conservación del Medio Ambiente, , https://bit.ly/2q3nCHP; Bajana Fabara, D. F., (1994) Efectos de factores ambientales sobre la floración de zanahoria blanca (Arracacia xanthorrhiza Bancroft), , [Tesis de Maestría publicada]. Pontificia Universidad Católica del Ecuador; Blas Sevillano, R. H., (1998) Caracterización y evaluación de arracachas cultivadas (Arracacia xanthorrhiza Bancroft) del Perú, , [Tesis de Maestría publicada]. Universidad Agraria la Molina; Blas, R., Ghislain, M., Herrera, M. R., Baudoin, J.-P., Genetic diversity analysis of wild Arracacia species according to morphological and molecular markers (2008) Genetic Resources and Crop Evolution, 55, pp. 625-642. , https://doi.org/10.1007/s10722-007-9269-7; Blas, R., Hermann, M., Baudoin, J.-P., Analysis of the geographic distribution and relationships among Peruvian wild species of Arracacia (2008) Genetic Resources and Crop Evolution, 55, pp. 643-655. , https://doi.org/10.1007/s10722-007-9267-9; Blas-Sevillano, R., Julca-Otiniano, A., Baudon, J. P., Inducción floral de Arracacha (Arracacia xanthorrhiza Bancroft) (2006) IDESIA, 24 (1), pp. 31-36. , https://doi.org/10.4067/S0718-34292006000100006; Corredor, J. P., García, J., Fenología reproductiva, biología floral y visitantes florales en los cultivares de mango (Mangifera indica L.) Hilacha y Tommy Atkins en el valle del alto Magdalena (Colombia) (2011) Ciencia y Tecnología Agropecuaria, 12 (1), pp. 21-32. , https://doi.org/10.21930/rcta.vol12_num1_art:212; Garnica Montaña, J. P., Rodríguez Rodríguez, O. J., Jaramillo Barrios, C. I., Vallejo Cabrera, F. A., Diversidad morfológica y caracteres de selección del germoplasma de arracacha (Arracacia xanthorriza Bancr.) en Colombia (2020) Ciencia y Agricultura, 17 (3), pp. 49-62. , https://doi.org/10.19053/01228420.v17.n3.2020.11150; Garnica Montaña, J. P., Villamil Carvajal, J. E., Vargas Berdugo, Á. M., Rodríguez-Rodríguez, O. J., Atencio Solano, L. M., Modelo productivo de arracacha (Arracacia xanthorrhiza Bancr.). Agrosavia la 22 para la región Andina de Colombia (2021), https://doi.org/10.21930/agrosavia.nbook.7404500, Corporación Colombiana de Investigación Agropecuaria; Gower, J. C., A general coefficient of similarity and some of its properties (1971) Biometrics, 27 (4), pp. 857-871. , https://doi.org/10.2307/2528823; Hermann, M., Arracacha. Arracacia xanthorrhiza Bancroft (1997) Andean roots and tubers: ahipa, arracacha, maca and yacon, pp. 75-172. , M. Hermann, &amp; J. Heller (Eds), –). Institute of Plant Genetics and Crop Plant Research, &amp; International Plant Genetic Resources Institute; Holdridge, L. R., (1967) Life zone ecology, , Tropical Science Center; Knudsen, S., (1999) Flower induction in the Andean root crop arracacha (Arracacia xanthorrhiza Bancroft). A description and evaluation of the morphological changes following dehydratation, , [Master Dissertation, unpublished]. Universidad de Copenhague; Knudsen, S., (2003) Reproduction biology of the Andean root crop arracacha (Arracacia xanthorrhiza Bancroft var.xanthorrhiza) and the taxonomic status of the South American Arracacia Bancroft species with special emphasis on the position of the cultivated arracacha and rela, , [Doctoral Dissertation, unpublished]. Universidad de Copenhague; Knudsen, S. R., Hermann, M., Dos Santos, F., Sorensen, M., Inducción de floración en el cultivo de arracacha (Arracacia xanthorrhiza Bancroft) (2004) Raíces Andinas, Contribuciones al conocimiento y a la capacitación. Serie: conservación y uso de la biodiversidad de raíces y tubérculos Andinos: Una década de investigación para el desarrollo (1993-2003), pp. 197-213. , En J. Seminario (Ed), –). Universidad Nacional de Cajamarca, Centro Internacional de la Papa, &amp; Agencia Suiza para el Desarrollo y la Cooperación; Knudsen, S. R., Hermann, M., Sørensen, M., Flowering in six clones of the Andean root crop arracacha (Arracacia xanthorrhiza Bancroft) (2001) Journal of Horticultural Science and Biotechnology, 76 (4), pp. 454-458. , https://doi.org/10.1080/14620316.2001.11511393; Knudsen, S. R., Ørting, B., Sørensen, M., Multiplicación y conservación de arracacha (Arracacia xanthorrhiza Bancr.) y ajipa (Pachyrhizus ahipa (Wedd.) Parodi) (2006) Botánica Económica de los Andes Centrales, pp. 483-508. , En M. Moraes, B. Øllgaard, L. P. Kvist, F. Borchsenius, &amp; H. Balslev (Eds), –). Universidad Mayor de San Andrés; López-Arévalo, H. F., Montenegro, O. L., Liévano-Latorre, L. F., (2014) ABC de la biodiversidad, , https://bit.ly/3p8NqAl, Jardín Botánico José Celestino Mutis, &amp; Universidad Nacional de Colombia; Madeira, N. R., dos Santos, F. F., de Souza, R. J., Desempenho de clones de mandioquinha-salsa (Arracacia xanthorrhiza Bancroft) na região de Lavras-MG (2002) Ciência e Agrotecnologia, 26 (4), pp. 711-718; Morillo, E., Madeira, N., Jaimez, R., Arracacha (2020) Carrots and related Apiaceae crops, pp. 245-253. , https://www.cabi.org/cabebooks/FullTextPDF/2020/20203331554.pdf, E. Geoffriau, &amp; P. W. Simon (Eds), –). Centre for Agricultural Bioscience International; Pickersgill, B., Domestication of plants in the Americas: insights from mendelian and molecular genetics (2007) Annals of Botany, 100 (5), pp. 925-940. , https://doi.org/10.1093/aob/mcm193; Poehlman, J. M., (2003) Mejoramiento genético de las cosechas, , (2a Ed). Editorial Limusa; Quilapanta, R., Dávila, M., Vásquez, C., Frutos, V., Morfotipos de Arracacia xanthorrhiza Bancr. (Zanahoria blanca) de Ecuador, como fuente de variabilidad del germoplasma (2018) Scientia Agropecuaria, 9 (2), pp. 281-286. , https://doi.org/10.17268/sci.agropecu.2018.02.13; (2020) A language and environment for statistical computing, , https://www.r-project.org/, The R Foundation for Statistical Computing; Rodríguez Rodríguez, O. J., Garnica Montaña, J. P., Villamil Carvajal, J. E., Atencio Solano, L. M., Martínez Reina, A., AGROSAVIA La 22. Primera variedad de arracacha en Colombia. Amarilla, de alta producción y adaptada a condiciones agroecológicas de la zona Andina (2019), https://editorial.agrosavia.co/index.php/publicaciones/catalog/view/80/67/690-1, Corporación Colombiana de Investigación Agropecuaria; Valencia, R. A., Lobo, M., Ligarreto, G. A., Estado del arte de los recursos genéticos vegetales en Colombia: Sistema de Bancos de Germoplasma (2010) Ciencia y Tecnología Agropecuaria, 11 (1), pp. 85-94. , https://doi.org/10.21930/rcta.vol11_num1_art:198; Villers, L., Arizpe, N., Orellana, R., Conde, C., Hernández, J., Impactos del cambio climático en la floración y desarrollo del fruto del café en Veracruz, México (2009) Interciencia, 34 (5), pp. 322-329; Zanin, A. C. W., Casali, V. W. D., Efeitos climáticos sobre a mandioquinha-salsa (1984) Informe Agropecuário, 10 (120), pp. 57-59</t>
  </si>
  <si>
    <t>Orozco-Orozco, L.F.; Corporación Colombiana de Investigación Agropecuaria (AGROSAVIA), Antioquia, Colombia; email: lforozcoo@gmail.com</t>
  </si>
  <si>
    <t>Universidad de Costa Rica</t>
  </si>
  <si>
    <t>Agron. Mesoam.</t>
  </si>
  <si>
    <t>2-s2.0-85137931123</t>
  </si>
  <si>
    <t>Hernández-Guzmán F.J., Cleves-Leguízamo J.A., Díaz-Almanza E.D.</t>
  </si>
  <si>
    <t>57226016327;56167717700;57886854900;</t>
  </si>
  <si>
    <t>A methodological proposal for quality control of the soil moisture variable, measured in Colombian automatic agrometeorological stations [Propuesta metodológica para el control de calidad de la variable humedad del suelo, medida en las estaciones agrometeorológicas automáticas colombianas]</t>
  </si>
  <si>
    <t>10.15446/rfnam.v75n3.99145</t>
  </si>
  <si>
    <t>https://www.scopus.com/inward/record.uri?eid=2-s2.0-85137825134&amp;doi=10.15446%2frfnam.v75n3.99145&amp;partnerID=40&amp;md5=8fd4b5174b18ebf99ef5bbe95c66e3fa</t>
  </si>
  <si>
    <t>Universidad Nacional de Colombia, Facultad de Ciencias, Departamento de Geociencias, Bogotá, Colombia; Universidad Pedagógica y Tecnológica de Colombia, Facultad Seccional Duitama, Escuela de Administración de Empresas Agropecuarias, Duitama, Colombia</t>
  </si>
  <si>
    <t>Hernández-Guzmán, F.J., Universidad Nacional de Colombia, Facultad de Ciencias, Departamento de Geociencias, Bogotá, Colombia; Cleves-Leguízamo, J.A., Universidad Pedagógica y Tecnológica de Colombia, Facultad Seccional Duitama, Escuela de Administración de Empresas Agropecuarias, Duitama, Colombia; Díaz-Almanza, E.D., Universidad Nacional de Colombia, Facultad de Ciencias, Departamento de Geociencias, Bogotá, Colombia</t>
  </si>
  <si>
    <t>Methodological criteria for data quality control with geophysical range and spectrum consistency were evaluated, establishing flags and quality indicators for soil moisture data records, in a range of depths between 10, 30, and 50 cm, from automatic agro-meteorological stations located in the most important agricultural regions of Colombia. Data for analysis were collected from 105 stations of the IDEAM network, in an observation window from 2001-2020. The results showed that 40.3% of the soil moisture data were of good quality, 12.9% were questionable due to spectrum flags, 14.3% were questionable due to geophysical range and 32% were erroneous because the values were not possible and/or missing. The depth closest to the surface had the highest number of quality flags, suggesting that the soil layer has the highest error detection rate associated with soil moisture condition recording; the most common quality flag was C02: “Soil moisture &gt;60% &amp; ≤100%”, detected in 93% of the sensors, and the second most frequent flag was C01: “Soil moisture ≥0% &amp; &lt;3%”. It was concluded that the proposed methodology provides highly satisfactory results in the detection of anomalous soil moisture records, in order to make adjustments to the environmental conditions of Colombia. © 2022, Universidad Nacional de Colombia. All rights reserved.</t>
  </si>
  <si>
    <t>Agrometeorology; Physical limits; Soil moisture; Spectrum consistency</t>
  </si>
  <si>
    <t>Albergel, C, Rosnay, P, Gruhier, C, Muñoz Sabater, J, Hasenauer, S, Isaksen, L, Kerr, Y, Wagner, W., Evaluation of remotely sensed and modelled soil moisture products using global ground-based in situ observation (2012) Remote Sensing of Environment, 118, pp. 215-226. , https://doi.org/10.1016/j.rse.2011.11.017; Brutsaert, W, Daily evaporation from drying soil: Universal parameterization with similarity (2014) Water Resources Research, 50. , https://doi.org/10.1002/2013WR014872; Cao, D, Zhu Hu, H, Wang, J, Bing, W, Shukla, S., Investigating temperature and moisture profiles of seasonally frozen soil under different land covers using actively heated fiber bragg grating sensors (2021) Engineering Geology, 290, p. 106197. , https://doi.org/10.1016/j.enggeo.2021.106197; Deng, L, Wang, K, Li, J, Zhao, G, Shangguan, Z., Effect of soil moisture and atmospheric humidity on both plant productivity and diversity of native grasslands across the loess plateau, China (2016) Ecological Engineering, 94, pp. 525-531. , https://doi.org/10.1016/j.ecoleng.2016.06.048; Dorigo, W, Xaver, A, Vreugdenhil, M, Gruber, A, Dostálová, A, Sanchis-Dufau, A, Za-mojski, D, Drusch, M., Global automated quality control of in situ soil moisture data from the international soil moisture network (2013) Vadose Zone Journal, 12. , https://doi.org/10.2136/vzj2012.0097; Dorigo, W, Gruber, A, De Jeu, R, Loew, A, Albergel, C, Brocca, L, Parinussa, R., Evaluation of the ESA CCI soil moisture product using ground-based observations (2015) Remote Sensing of Environment, 162, pp. 380-395. , https://doi.org/10.1016/j.rse.2014.07.023; Endla, R, Kersti, V, Kadri, K, Liia, K., (2017) Predicting soil freezing depth for trafficability, p. 9. , Estonian Ministry of Defence. Estonia; Fischer, G, Cleves-Leguizamo, A, Balaguera, H., Impact of soil temperature on fruit species within climate change scenarios (2022) Revista Colombiana de Ciencias Horticolas, 16 (1), p. e12769. , https://doi.org/10.17584/rcch.2022v16i1.12769; Heer, E., (2017) Evaluation and enhancement of automated quality control procedures for the international soil moisture network, , (Master’s thesis), Tu Wien; Hernández, F, Cleves-Leguizamo, A, Diaz, E., Characterization of soil moisture dynamics in Colombian agricultural áreas (2021) Revista Colombiana de Ciencias Horticolas, 15 (3), pp. e-12840. , http://doi.org/10.17584/rcch.2021v15i3.12840; Houser, C., Soil moisture: A central and unifying theme in physical geography (2010) Progress in Physical Geography, 35, pp. 65-86. , https://doi.org/10.1177/0309133310386514; Hubbard, K., (2001) Automated weather stations for application in agriculture and water resources management: current use and future perspectives, , University of Nebraska and World Meteorological organization; Hubbard, K, Goddard, S, Sorensen, W, Wells, N, Osugi, T., Performance of quality assurance procedures for an acis (2005) Journal of Atmospheric and Oceanic Technology, 22, pp. 105-112. , https://doi.org/10.1175/JTECH-1657.1; Journée, M, Bertrand, C., Quality control of solar radiation data within the RMIB solar measurements network (2011) Solar Energy, 85, pp. 72-86. , https://doi.org/10.1016/j.solener.2010.10.021; Liu, Y, Zhou, Y, Lu, N, Tang, R, Liu, N, Li, Y, Yang, J, Zhou, C., Comprehensive assessment of fengyun-3 satellites derived soil moisture with in-situ measurements across the globe (2021) Journal of Hydrology, 594, p. 125949. , https://doi.org/10.1016/j.jhydrol.2020.125949; Lu, Y, Chibarabada, T, Ziliani, M, Onema, J, McCabe, M, Sheffield, J., Assimilation of soil moisture and canopy cover data improves maize simulation using an under calibrated crop model (2021) Agricultural Water Management, 252, p. 106884. , https://doi.org/10.1016/j.agwat.2021.106884; Meek, D., Hatfield, J., Data quality checking for single station meteorological databases (1994) Agricultural and Forest Meteorology, 69, pp. 85-109. , https://doi.org/10.1016/0168-1923(94)90083-3; Sanhudo, L, Rodrigues, J, Vasconcelos, Ênio, Multivariate time series clustering and forecasting for building energy analysis: Application to weather data quality control (2020) Journal of Building Engineering, 35, p. 101996. , https://doi.org/10.1016/j.jobe.2020.101996; Sonkar, I, Kotnoor, H P, Sen, S., Estimation of root water uptake and soil hydraulic parameters from root zone soil moisture and deep percolation (2019) Agricultural Water Management, 222, pp. 38-47. , https://doi.org/10.1016/j.agwat.2019.05.037; Torres, A, Da Rocha, A, Coelho da Silva, T, De Souza, J, Gondim, R., Multilevel data fusion for the internet of things in smart agriculture (2020) Computers and Electronics in Agriculture, 171, p. 105309. , https://doi.org/10.1016/j.compag.2020.105309; Tugwell-Wootton, T, Skrzypek, G, Dogramaci, S, McCallum, J, Grierson, P., Soil moisture evaporative losses in response to wet-dry cycles in a semiarid climate (2020) Journal of Hydrology, 590, p. 125533. , https://doi.org/10.1016/j.jhydrol.2020.125533; Wang, Y, Leng, P, Peng, J, Marzahn, P, Ludwig, R., Global assessments of two blended microwave soil moisture products cci and smops with in-situ measurements and reanalysis data (2021) International Journal of Applied Earth Observation and Geoinformation, 94, p. 102234. , https://doi.org/10.1016/j.jag.2020.102234; Wyatt, B, Ochsner, T., Zou, C., Estimating root zone soil moisture across diverse land cover types by integrating in-situ and remotely sensed data (2021) Agricultural and Forest Meteorology, 307, p. 108471. , https://doi.org/10.1016/j.agrformet.2021.108471; You, J, Hubbard, K, Mahmood, R, Sridhar, V, Todey, D., Quality control of soil water data in applied climate information system. case study in nebraska (2010) Journal of Hydrologic Engineering, 15, pp. 200-209. , https://doi.org/10.1061/ASCEHE.1943-5584.0000174; Yu, Z, Bedig, A, Montalto, F, Quigley, M., Automated detection of unusual soil moisture probe response patterns with association rule learning (2018) Environmental Modelling Software, 105, pp. 257-269. , https://doi.org/10.1016/j.envsoft.2018.04.001; Xaver, A., (2015) Automated quality control procedures for the international soil moisture network, , Master’s thesis, Tu Wien</t>
  </si>
  <si>
    <t>Cleves-Leguízamo, J.A.; Universidad Pedagógica y Tecnológica de Colombia, Colombia; email: jose.cleves@uptc.edu.co</t>
  </si>
  <si>
    <t>2-s2.0-85137825134</t>
  </si>
  <si>
    <t>Ramos-Franco A.</t>
  </si>
  <si>
    <t>57208259698;</t>
  </si>
  <si>
    <t>PRIORITIZATION OF INVESTMENT IN ACTIVITIES TO IMPROVE THE PROVISION OF WATER ECOSYSTEM SERVICES: FOUR CASE STUDIES IN BOYACÁ, COLOMBIA</t>
  </si>
  <si>
    <t>Tropical and Subtropical Agroecosystems</t>
  </si>
  <si>
    <t>10.56369/tsaes.4260</t>
  </si>
  <si>
    <t>https://www.scopus.com/inward/record.uri?eid=2-s2.0-85137287899&amp;doi=10.56369%2ftsaes.4260&amp;partnerID=40&amp;md5=e4aea4313c3d620336b872497a988c0b</t>
  </si>
  <si>
    <t>Universidad Pedagógica y Tecnológica de Colombia, Grupo de Investigación Biología para la Conservación, Edificio Centro de Labortatorios LS215, Avenida Central del Norte # 39-115, Boyacá, Tunja, Colombia</t>
  </si>
  <si>
    <t>Ramos-Franco, A., Universidad Pedagógica y Tecnológica de Colombia, Grupo de Investigación Biología para la Conservación, Edificio Centro de Labortatorios LS215, Avenida Central del Norte # 39-115, Boyacá, Tunja, Colombia</t>
  </si>
  <si>
    <t>Background. State investments to improve the quality and quantity of water for human consumption require cost-effectiveness, especially in the Latin American and Colombian socioeconomic context. The conceptual framework of water ecosystem services allows decision makers to prioritize areas where monetary resources do generate a real impact on the water supplied to municipal aqueducts. Objective. Determine the areas and activities that should be invested as a priority, to promote two water ES in four municipalities of Boyacá. Methodology. The software RIOS was used in order to generate geographical explicit scenarios to indicate the areas where the municipal government must implement activities that in the short, medium and long term, will guarantee a baseflow at the dry season and the decrease of sediments by erosion. Results. It was identified that the higher altitude wooded areas in the basin, should be the object of agroforestry programs in its multiple expressions. Implications. In the specific case of Togüi, agroforestry does not seem to be the activity that contributes to flow control, possibly because of the natural slopes of the basin. Conclusion. This information can be used as a basis for the development of payment for water ecosystem services schemes (PWS). © 2022 Universidad Autonoma de Yucatan. All rights reserved.</t>
  </si>
  <si>
    <t>agroforestry; PWS; RIOS; state investment; Water ecosystem service</t>
  </si>
  <si>
    <t>Funding. The present work was possible thanks to the resources of the National Royalties System, through the Francisco José de Caldas Fund of the Trust and the Ministry of Science, Technology, and Innovation of Colombia, as well as the Vice-rector for Research and Extension of the Pedagogical and Technological University of Colombia Conflict of interest. The author declares non existing personal or institutional conflict of interest.</t>
  </si>
  <si>
    <t>Armenteras, D., Rodríguez, N., Retana, J., Morales, M., Understanding deforestation in montane and lowland forests of the Colombian Andes (2011) Regional Environmental Change, 11 (3), pp. 693-705. , https://doi.org/10.1007/s10113-010-0200-y; Armenteras, D., Cabrera, E., Rodríguez, N., Retana, J., National and regional determinants of tropical deforestation in Colombia (2013) Regional Environmental Change, 13, pp. 1181-1193. , https://doi.org/10.1007/s10113-013-0433-7; Armenteras, D., Rodríguez-Eraso, N., Dinámicas y Causas de Deforestación en Bosques de Latino América: una Revisión Desde 1990 (2014) Colombia Forestal, 17 (2), pp. 233-246. , https://doi.org/10.14483/udistrital.jour.colomb.for.2014.2.a07; Bonnesoeur, V., Locatelli, B., Guariguata, M. R., Ochoa-Tocachi, B. F., Vanacker, V., Mao, Z., Stokes, A., Mathez-Stiefel, S. L., Impacts of forests and forestation on hydrological services in the Andes: A systematic review (2019) Forest Ecology and Management, 433, pp. 569-584. , https://doi.org/10.1016/j.foreco.2018.11.033; Borda, C. A., Moreno-Sánchez, R. P., Wunder, S., (2010) Pagos por Servicios ambientales en marcha: la experiencia en la microcuenca de chaina, , https://www.cifor.org/publications/pdf_files/Books/3339-BBorda.pdf, Departamento de Boyacá, Colombia. [pdf] CIFOR; Borkey, P., Cassar, A., Meadors, L., Saade, L., Siebentritt, M., Stein, R., Tognetti, C., Tortajada, C., (2005) Freshwater Ecosystem Services. [pdf] Millenium Ecosystem Assessment, , http://www.millenniumassessment.org/documents/document.312.aspx.pdf; Brauman, K. A., Daily, G. C., Duarte, T. K., Mooney, H. A., The Nature and Value of Ecosystem Services: An Overview Highlighting Hydrologic Services (2007) Annual Review of Environment and Resources, 32 (1), pp. 67-98. , https://doi.org/10.1146/annurev.energy.32.031306.102758; Bruijnzeel, L. A., Hamilton, L. S., (2000) Decision time for cloud forests, , https://wedocs.unep.org/bitstream/handle/20.500.11822/8776/DecisionTimeCloudForests.pdf?sequence=3&amp;isAllowed=y, [pdf] UNESCO; Calder, I. R., Forests and Hydrological Services: Reconciling public and science perceptions (2002) Land Use and Water Resources Research, 2, pp. 1-12. , http://dx.doi.org/10.22004/ag.econ.47860; Calder, I., Aylward, B., Forest and floods: moving to an evidence-based approach to watershed and integrated flood management (2006) Water International, 3 (1), pp. 87-99; Clement, F., Amezaga, J. M., Linking reforestation policies with land use change in northern Vietnam: Why local factors matter (2008) Geoforum, 39 (1), pp. 265-277. , https://doi.org/10.1016/j.geoforum.2007.05.008; (2012) Law 1523 of 2012, por la cual se adopta la política nacional de gestión del riesgo de desastres y se establece el Sistema Nacional de Gestión del Riesgo de Desastres y se dictan otras disposiciones; Costanza, R., d'Arge, R., de Groot, R., Farber, S., Grasso, M., Hannon, B., Limburg, K., van den Belt, M., The value of the world's ecosystem services and natural capital (1997) Nature, 387 (15), pp. 253-260; (2015) Pago por servicios ambientales: Proyecto piloto en el PNR serranía las quinchas, , https://www.corpoboyaca.gov.co/noticias/pago-por-servicios-ambientales-proyecto-piloto-en-el-pnr-serrania-las-quinchas/, [press release] 18 september 2015; (2017) Estudiantes de Pauna le hacen frente a la deforestación, , https://www.corpoboyaca.gov.co/cronicas-de-corpoboyaca/estudiantes-de-pauna-le-hacen-frente-a-la-deforestacion/, [online] Corpoboyacá; Cristeche, E., Penna, J. A., (2008) Métodos de valoración económica de los servicios ambientales, , https://inta.gob.ar/sites/default/files/script-tmp-metodos_doc_03.pdf, [pdf] INTA; (2016) 3er Censo Nacional Agropecuario, , https://www.dane.gov.co/files/images/foros/foro-de-entrega-de-resultados-y-cierre-3-censo-nacional-agropecuario/CNATomo2-Resultados.pdf, Colombia: DANE. [pdf] DANE; Díaz, S., Demissew, S., Carabias, J., Joly, C., Lonsdale, M., Ash, N., Larigauderie, A., Adhikari, J. R., The IPBES Conceptual Framework - Connecting nature and people (2015) Current Opinion in Environmental Sustainability, 14, pp. 1-16. , https://doi.org/10.1016/j.cosust.2014.11.002, Zlatanova. D; (2007) Vegetation Buffer Strips in Agricultural Areas, , https://mn-chisagocounty.civicplus.com/DocumentCenter/View/4059/Vegetation-Buffer-Strips-in-Agricultural-Areas-PDF, DNR., Minnesota: Department of Natural Resourses; Dorren, L., Rey, F., A review of the effect of terracing on erosion (2004) Scape, pp. 97-108; Esquivel, J., Echeverría, C., Saldaña, A., Fuentes, R., High functional diversity of forest ecosystems is linked to high provision of water flow regulation ecosystem service (2020) Ecological Indicators, 115, p. 106433. , https://doi.org/10.1016/j.ecolind.2020.106433; (2018) Conjunto de Herramientas para la Gestión Forestal Sostenible (GFS): Agroforestería, , https://www.fao.org/sustainable-forest-management/toolbox/modules/agroforestry/basic-knowledge/es/#:-:text=La%20agroforester%C3%ADa%20es%20el%20t%C3%A9rmino,tipo%20de%20disposici%C3%B3n%20espacial%20y, [online] FAO; Franco-Maass, S., Burrola-Aguilar, C., Arana-Gabriel, Y., García-Almaraz, L. A., A local knowledge-based approach to predict anthropic harvesting pressure zones of wild edible mushrooms as a tool for forest conservation in Central Mexico (2016) Forest Policy and Economics, 73, pp. 239-250. , https://doi.org/10.1016/j.forpol.2016.09.020; Krishnaswamy, J., Bonell, M., Venkatesh, B., Purandara, B. K., Rakesh, K.N., Lele, S., Kiran, M. C., Badiger, S., The groundwater recharge response and hydrologic services of tropical humid forest ecosystems to use and reforestation: Support for the "infiltration-evapotranspiration trade-off hypothesis" (2013) Journal of Hydrology, 498, pp. 191-209. , https://doi.org/10.1016/j.jhydrol.2013.06.034; García-Romero, H, (2012) Deforestación en Colombia: Retos y Perspectivas, , https://www.repository.fedesarrollo.org.co/bitstream/handle/11445/337/KAS%20SOPLA_Deforestacion%20en%20Colombia%20retos%20y%20perspectivas.pdf?sequence=2&amp;isAllowed=y, [online] Fedesarrollo; Geilfus, F., (2002) 80 Herramientas para el Desarrollo Participativo. [pdf] Instituto Interamericano de Cooperación para la Agricultura, , http://tie.inspvirtual.mx/recursos/temas/etv/OAParticipacionSocialWeb/material/80%20herramientas%20para%20el%20desarrollo%20participativo.pdf; Germer, S., Neill, C., Krusche, A. V., Elsenbeer, H., Influence of land-use change on near-surface hydrological processes: Undisturbedforest to pasture (2010) Journal of Hydrology, 380, pp. 473-480. , https://doi.org/10.1016/j.jhydrol.2009.11.022; (2016) Plan De Desarrollo 2016-2019, , https://www.boyaca.gov.co/images/planes/plan-de-desarrollo/pdd2016-09-T-Medio-Ambiente.pdf, Agua, Medio Ambiente Y Gestión Del Riesgo Componente 1 Medio Ambiente. [pdf] Gobernación de Boyacá; (2019) 27.000 árboles fueron sembrados en 'Reto Siembra Bicentenario', , https://www.boyaca.gov.co/27-000-arboles-fueron-sembrados-en-reto-siembra-bicentenario/, [online] Gobernación de Boyacá; Gregory, S., Ashkenas, L., (1990) Field Guide for Riparian Management, , https://andrewsforest.oregonstate.edu/sites/default/files/lter/pubs/pdf/pub1039.pdf, [pdf] Willamette National Forest; Grizzetti, B., Lanzanova, D., Liquete, C., Reynaud, A., Cardoso, A. C., Assessing water ecosystem services for water resource management (2016) Environmental Science and Policy, 61, pp. 194-203. , https://doi.org/10.1016/j.envsci.2016.04.008; De Groot, R., Brander, L., van der Ploeg, S, Costanza, R., Bernard, F., Braat, L., Christie, M., van Beukering, P., Global estimates of the value of ecosystems and their services in monetary units (2012) Ecosystem Services, 1, pp. 50-61. , https://doi.org/10.1016/j.ecoser.2012.07.005; Guo, Y., Peng, C., Zhu, Q., Wang, M., Wang, H., Peng, S., He, H., Modelling the impacts of climate and land use changes on soil water erosion: Model applications, limitations and future challenges (2019) Journal of Environmental Management, 250, p. 109403. , https://doi.org/10.1016/j.jenvman.2019.109403; Herrera, L., Pecht, W., Olivares, F., (1976) Crecimiento urbano de América Látina, , https://repositorio.cepal.org/bitstream/handle/11362/7415/S301361H565V1_es.pdf?sequence=1, [online] CELADE; (2005) Estudio general de suelos y zonificación de tierras del departamento de Boyacá, , Instituto Geográfico Agustín Codazzi IGAC Bogotá, Colombia: IGAC; Jacobs, S., Dendoncker, N., Martín-López, B., Barton, D. N., Gomez-Baggethun, E., Boeraeve, F., McGrath, L. F., Washbourn, C. L., A new valuation school: Integrating diverse values of nature in resource and land use decisions (2016) Ecosystem Services, 22, pp. 213-220. , https://doi.org/10.1016/j.ecoser.2016.11.007; Jónsson, J. Ö. G., Daví sdóttir, B., Classification and valuation of soil ecosystem services (2016) Agricultural Systems, 145, pp. 24-38. , https://doi.org/10.1016/j.agsy.2016.02.010; Kaba, J. S., Otu-Nyanteh, A., Abunyewa, A. A., The role of shade trees in influencing farmers' adoption of cocoa agroforestry systems: Insight from semi-deciduous rain forest agroecological zone of Ghana (2020) NJAS - Wageningen Journal of Life Sciences, 92, p. 100332. , https://doi.org/10.1016/j.njas.2020.100332; Larocque, A., Universal soil loss equation (Usle) (2013) Encyclopedia of Earth Sciences Series, 12, p. 1062. , https://doi.org/10.1007/978-1-4020-4399-4_43; Le, H. D., Smith, C., Herbohn, J., What drives the success of reforestation projects in tropical developing countries? The case of the Philippines (2014) Global Environmental Change, 24 (1), pp. 334-348. , https://doi.org/10.1016/j.gloenvcha.2013.09.010; Levia, D., Carlyle-Moses, D., Tanaka, T., (2011) Forest Hydrology and Biogeochemestry, Synthesis of past research and future directions, , Springer; Ligdi, E. E., Morgan, R. P. C., Contour grass strips: a laboratory simulation of their role in soil erosion control (1995) Soil Technology, 8 (2), pp. 109-117. , https://doi.org/10.1016/0933-3630(95)00011-0; Liu, S., Crossman, N. D., Nolan, M., Ghirmay, H., Bringing ecosystem services into integrated water resources management (2013) Journal of Environmental Management, 129, pp. 92-102. , https://doi.org/10.1016/j.jenvman.2013.06.047; de Mello, K., Taniwaki, R. H., Paula, F. R., Valente, R. A., Randhir, T. O., Macedo, D. R., Gontijo-Leal, C., Hughes, R. M., Multiscale land use impacts on water quality: Assessment, planning, and future perspectives in Brazil (2020) Journal of Environmental Management, 270, p. 110879. , https://doi.org/10.1016/j.jenvman.2020.110879, de, and; Mauricio, R. M., Ribeiro, R. S., Paciullo, D. S. C., Cangussú, M. A., Murgueitio, E., Chará, J., Estrada, M. X. F., Silvopastoral Systems in Latin America for Biodiversity, Environmental, and Socioeconomic Improvements (2019) Agroecosystem Diversity, pp. 287-297. , https://doi.org/10.1016/B978-0-12-811050-8.00018-2; (2005) Ecosystems and Human Well-being: Synthesis, , https://www.millenniumassessment.org/documents/document.356.aspx.pdf, Washington, DC.: Island Press; (2012) Política Nacional para la Gestión Integral de la Biodiversidad y sus Servicios Ecosistémicos (PNGIBSE), , http://repository.humboldt.org.co/bitstream/handle/20.500.11761/32546/PNGIBSE_espanol_web.pdf?sequence=1&amp;isAllowed=y, [online] Instituto de Investigación de Recursos Biológicos Alexander von Humboldt; Mira-Pontón, M., (2017) Política Nacional de Pago por Servicios Ambientales - PSA, , http://orarbo.gov.co/apc-aa-files/57c59a889ca266ee6533c26f970cb14a/6.-presentacion-mads-psa.pdf, [pdf] Ministerio de Ambiente y Desarrollo Sostenible; Muñoz-Gómez, F. A., Galicia-Sarmiento, L., Pérez, E. H., Agricultura migratoria conductor del cambio de uso del suelo de ecosistemas alto-andinos de Colombia (2018) Biotecnología en el Sector Agropecuario y Agroindustrial, 16 (1), pp. 15-25. , http://dx.doi.org/10.18684/bsaa.v16n1.630; Nahed-Toral, J., Valdivieso-Pérez, A., Aguilar-Jiménez, R., Cámara-Cordova, J., Grande-Cano, D., Silvopastoral systems with traditional management in southeastern Mexico: a prototype of livestock agroforestry for cleaner production (2013) Journal of Cleaner Production, 57, pp. 266-279. , https://doi.org/10.1016/j.jclepro.2013.06.020; Neary, D., Ice, G., Jackson, R., Linkages between forest soils and water quality and quantity (2009) Forest Ecology and Management, 258 (10), pp. 2269-2281. , https://doi.org/10.1016/j.foreco.2009.05.027; Ni, X., Parajuli, P. B., Ouyang, Y., Dash, P., Siegert, C., Assessing land use change impact on stream discharge and stream water quality in an agricultural watershed (2021) Catena, 198, p. 105055. , https://doi.org/10.1016/j.catena.2020.105055; Obregon, A., Gehrig-Downie, C., Gradstein, R., Rollenbeck, R., Bendix, J., Canopy level fog occurrence in a tropical lowland forest of French Guiana as a prerequisite for high epiphyte diversity (2011) Agricultural and Forest Meteorology, 151 (3), pp. 290-300. , https://doi.org/10.1016/j.agrformet.2010.11.003; Ota, L., Herbohn, J., Gregorio, N., Harrison, S., Reforestation and smallholder livelihoods in the humid tropics (2020) Land Use Policy, 92. , https://doi.org/10.1016/j.landusepol.2019.104455; Pérez-Arango, J. D., Mesa-Sánchez, O. J., Estimación del Factor de Erosividad de la Lluvia en Colombia (2013) Journal of Chemical Information and Modeling, 53 (9), pp. 1689-1699; (2017) Decree 2157 of 2017, por medio del cual se adoptan directrices generales para la elaboración del plan de gestión del riesgo de desastres de las entidades públicas y privadas en el marco del artículo 42 de la ley 1523 de 2012; Nombre, Primer, Iniciativa "Pago por servicios ambientales" en Boyacá busca conservación de páramos (2020), https://primernombre.com/iniciativa-pago-por-servicios-ambientales-en-boyaca-busca-conservacion-de-paramos/#:-:text=Desde%20el%20p%C3%A1ramo%20de%20Rabanal,del%20agua%20potable%20del%20pa%C3%ADs, Primer Nombre, [online] 26 August; Ramos-Franco, A., Armenteras-Pascual, D., Interceptación y escorrentía del bosque altoandino en la reserva forestal protectora "El Malmo" (2019) Acta Biológica Colombiana, 24 (1), pp. 97-108. , https://doi.org/10.15446/abc.v23n3.67039; Ramos-Franco, A., Herrera-Carrascal, G., Pago por servicios ambientales en Colombia La alternativa costo-efectiva de conservación (2020) Escuela de derecho ambiental. Homenaje a Gloria Amparo Rodríguez, pp. 229-254. , I. Vargas-Chaves, A. Gómez-Rey y A. Ibáñez-Elam, eds. 2020. Bogotá, Colombia: Universidad del Rosario; Rincón-Ruiz, A., Echeverry-Duque, M., Piñeros-Quiceno, A., Tapia-Caicedo, C., David-Drews, A., Arias-Arévalo, P., Zuluaga-Guerra, P., (2013) Valoración Integral de la Biodiversidad y los Servicios Ecosistémicos: Aspectos Conceptuales y Metodológicos, , http://www.humboldt.org.co/es/test/item/533-valoracion-integral-de-la-biodiversidad-y-los-servicios-ecosistemicos, [online] Instituto de Investigación de Recursos Biológicos Alexander von Humboldt. Availabe at; Rodríguez-Eraso, N., Armenteras-Pascual, D., Alumbreros, J. R., Land use and land cover change in the Colombian Andes: Dynamics and future scenarios (2013) Journal of Land Use Science, 8 (2), pp. 154-174. , https://doi.org/10.1080/1747423X.2011.650228; Rolando, J. L., Turin, C., Ramírez, D. A., Mares, V., Monerris, J., Quiroz, R., Key ecosystem services and ecological intensification of agriculture in the tropical high-Andean Puna as affected by land-use and climate changes (2017) Agriculture, Ecosystems &amp; Environment, 236, pp. 221-233. , https://doi.org/10.1016/j.agee.2016.12.010; Sánchez, L. D., Desplome en el precio de la panela en la Hoya del río Suárez (2021) Caracol Radio, , https://caracol.com.co/emisora/2021/02/20/bucaramanga/1613847738_295224.html, [online] 20 of February; Sánchez-Romero, R., Balvanera, P., Castillo, A., Mora, F., García-Barrios, L. E., González-Esquivel, C. E., Management strategies, silvopastoral practices and socioecological drivers in traditional livestock systems in tropical dry forests: An integrated analysis (2021) Forest Ecology and Management, 479, p. 118506. , https://doi.org/10.1016/j.foreco.2020.118506; Steur, G., Verburg, R. W., Wassen, M. J., Teunissen, P. A., Verweij, P. A., Exploring relationships between abundance of non-timber forest product species and tropical forest plant diversity (2021) Ecological Indicators, 121, p. 107202. , https://doi.org/10.1016/j.ecolind.2020.107202; Stone, R. P., Hilborn, D., (2012) Universal Soil Loss Equation (USLE), , http://omafra.gov.on.ca/english/engineer/facts/12-051.htm, [pdf] FactSheet; Talero-Cabrejo, S., Salcedo-Silva, E. M., Aportes para el diseño de esquemas de pagos por servicios ambientales en la cuenca del lago de Tota, Colombia (2020) Apuntes del Cenes, 39 (69), pp. 267-298. , https://doi.org/10.19053/01203053.v39.n69.2020.10078; Vadell, E., de-Miguel, S., Pemán, J., Large-scale reforestation and afforestation policy in Spain: A historical review of its underlying ecological, socioeconomic and political dynamics (2016) Land Use Policy, 55, pp. 37-48. , https://doi.org/10.1016/j.landusepol.2016.03.017; van Satan, J., Pypker, T., A review and evaluation of forest canopy epiphyte roles in the partitioning and chemical alteration of precipitation (2015) Science of The Total Environment, 536, pp. 813-824. , https://doi.org/10.1016/j.scitotenv.2015.07.134; Vogl, A. L., Dennedy-Frank, P. J., Wolny, S., Johnson, J. A., Hamel, P., Narain, U., Vaidya, A., Managing forest ecosystem services for hydropower production (2016) Environmental Science and Policy, 61, pp. 221-229. , https://doi.org/10.1016/j.envsci.2016.04.014; Vogl, A. L., Tallis, H, Douglass, J., Sharp, R., Veiga, F., Benítez, S., León, J., Lozano, J. S., (2016) Sistema de Optimización de Inversión de Recursos (RIOS), , https://docplayer.es/29113182-Sistema-de-optimizacion-de-inversiones-en-recursos-rios.html, [online] Natural Capital Project; Vogl, A. L., Bryant, B. P., Hunink, J. E., Wolny, S., Apse, C., Droogers, P., Valuing investments in sustainable land management in the Upper Tana River basin, Kenya (2017) Journal of Environmental Management, 195, pp. 78-91. , https://doi.org/10.1016/j.jenvman.2016.10.013; Vorstius, A. C., Spray, C. J., A comparison of ecosystem services mapping tools for their potential to support planning and decision-making on a local scale (2015) Ecosystem Services, 15, pp. 75-83. , https://doi.org/10.1016/j.ecoser.2015.07.007; (1992) International conference on water and the environment: development issues for the 21st century, 26-31 January 1992, Dublin, Ireland: the Dublin statement and report of the conference, , https://www.ircwash.org/resources/international-conference-water-and-environment-development-issues-21st-century-26-31-0, [online] World Meteorological Organization; Zhang, X., Li, P., Li, Z. B., Yu, G. Q., Li, C., Effects of precipitation and different distributions of grass strips on runoff and sediment in the loess convex hillslope (2018) Catena, 162, pp. 130-140. , https://doi.org/10.1016/j.catena.2017.12.002; Zocchi, D. M., Piochi, M., Cabrino, G., Fontefrancesco, M. F., Torri, L., Linking producers' and consumers' perceptions in the valorisation of non-timber forest products: An analysis of Ogiek forest honey (2020) Food Research International, 137, p. 109417. , https://doi.org/10.1016/j.foodres.2020.109417</t>
  </si>
  <si>
    <t>Ramos-Franco, A.; Universidad Pedagógica y Tecnológica de Colombia, Avenida Central del Norte # 39-115, Boyacá, Colombia; email: albaluz.ramos@uptc.edu.co</t>
  </si>
  <si>
    <t>Universidad Autonoma de Yucatan</t>
  </si>
  <si>
    <t>Trop. Subtrop. Agroecosystems</t>
  </si>
  <si>
    <t>2-s2.0-85137287899</t>
  </si>
  <si>
    <t>Carrizo G.</t>
  </si>
  <si>
    <t>56205169300;</t>
  </si>
  <si>
    <t>From a ‘Better University’ to a ‘National University’: The Origins of the National University of Patagonia in 1974, Between the Global and the Local [DE UNA ‘UNIVERSIDAD MEJOR’ A UNA ‘UNIVERSIDAD NACIONAL’: LOS ORÍGENES DE LA UNIVERSIDAD NACIONAL DE LA PATAGONIA EN 1974, ENTRE LO GLOBAL Y LO LOCAL]</t>
  </si>
  <si>
    <t>Esbocos</t>
  </si>
  <si>
    <t>10.5007/2175-7976.2022.e84417</t>
  </si>
  <si>
    <t>https://www.scopus.com/inward/record.uri?eid=2-s2.0-85137109238&amp;doi=10.5007%2f2175-7976.2022.e84417&amp;partnerID=40&amp;md5=4fbbf37e2b21a9bf0bfbabecdac73184</t>
  </si>
  <si>
    <t>Universidad Nacional de la Patagonia San Juan Bosco, Instituto de Estudios Sociales y políticos de la Patagonia, Facultad de Humanidades y Ciencias Sociales, Chubut, Comodoro Rivadavia, Argentina; Universidad Nacional de la Patagonia Austral, Escuela de Educación, Unidad Académica Caleta Olivia, Santa Cruz, Argentina; Consejo Nacional de Investigaciones Científicas y Técnicas (CONICET), Buenos Aires, Argentina</t>
  </si>
  <si>
    <t>Carrizo, G., Universidad Nacional de la Patagonia San Juan Bosco, Instituto de Estudios Sociales y políticos de la Patagonia, Facultad de Humanidades y Ciencias Sociales, Chubut, Comodoro Rivadavia, Argentina, Universidad Nacional de la Patagonia Austral, Escuela de Educación, Unidad Académica Caleta Olivia, Santa Cruz, Argentina, Consejo Nacional de Investigaciones Científicas y Técnicas (CONICET), Buenos Aires, Argentina</t>
  </si>
  <si>
    <t>The article is dedicated to the analysis of the socio-historical conditions that intervened in the creation of the National University of Patagonia in 1974. The objective we pursue with this work is to contribute to the knowledge of the expansion of the Argentine university system from a local study, to starting from the analysis of historical sources such as the press of the period, an interview with a key informant, and documentation from university archives. The hypothesis that guides this research indicates that the origin of a National University in Patagonia in 1974 was due to multiple factors. In addition to the demands of the student movement regarding the installation of a state university, and the expansion of the university system promoted by General Alejandro Lanusse in the final stage of the so-called Argentine Revolution, the socio-political transformations at the national level must be added in the decade of the ‘70 (in particular, the rapprochement between Peronism and the university middle sectors), the changes that occurred in the higher education system on a global scale, and the global ideological-cultural climate of the late 1960s. © Gabriel Carrizo.</t>
  </si>
  <si>
    <t>Patagonia; Peronism; University</t>
  </si>
  <si>
    <t>ALGAÑARAZ, Víctor H., Peronismo, dictadura y universidades privadas en la Argentina de los años 70 (2016) Sociohistórica. La Plata, (37), pp. 1-22. , SORIA; ALGAÑARAZ, Víctor H., El circuito de las universidades privadas en Argentina (1955-1983): entre la autonomía académica y la heteronomía del campo de poder. Hacia una tipología de sus instituciones (2019), (96). , SORIA Sociológica. México ene.-abr; AMINAHUEL, Aimé, Discursividades en disputa en la territorialidad universitaria: el caso de Río Cuarto (1973-1974) (2017) Perspectivas. Rosario, (4), pp. 14-38; ANALES de la Patagonia San Juan Bosco (1964) Comodoro Rivadavia, (1), p. 12. , jul; BARROS, Sebastián, MURIETE, Raúl, La Universidad Nacional de la Patagonia: educación y procesos de constitución identitaria (2018) Fermentario. Montevideo, 1 (12), pp. 173-185; BERSÁIS, Virginia, VICENTE, Mariana, La toma de la Universidad de la Patagonia San Juan Bosco. Una historia de la que todavía no se habla. (Comodoro Rivadavia, 1973) (2019) Revista de Historia. Neuquén, (20), pp. 129-151; BERTRAND, Romain, Historia global, historias conectadas: ¿un giro historiográficoProhistoria (2015) Rosario, (24), pp. 3-20; BONAVENA, Pablo A., MILLÁN, Mariano, (2018) Los ’68 latinoamericanos: movimientos estudiantiles, política y cultura en México, Brasil, Uruguay, Chile, Argentina y Colombia, , (comp) Buenos Aires: Instituto Gino Germani, UBA; BURBANO LÓPEZ, Galo, La educación superior en la segunda mitad del siglo XX. Los alcances del cambio en América Latina y el Caribe (1999) Revista Iberoamericana de Educación, (21), pp. 15-23. , Madrid; CALIFA, Juan S., El movimiento estudiantil en la UBA entre 1955 y 1976. Un estado de la cuestión y algunos elementos para su estudio (2007) El movimiento estudiantil argentino: historia con presente, , BONAVEDA, P. et al. (comp). Buenos Aires: Ediciones Cooperativas; CALIFA, Juan S., MILLÁN, Mariano, La represión a las Universidades y al movimiento estudiantil argentino entre los golpes de Estado de 1966 y 1976 (2016) Revista de Historia Iberoamericana, (2), pp. 10-38. , Barcelona; CARRIZO, Gabriel, VICENTE, Mariana, La familia católica de Comodoro Rivadavia y el peronismo: conflictos antes y después del golpe de estado de 1955 (2020) Coordenadas. Río Cuarto, pp. 85-100; CARZOLIO, María I., De lo local a lo global en el espacio de las historias conectadas (2020) Cuadernos de H ideas. La Plata, 14 (14), p. e036; CATTARUZZA, Alejandro, El mundo por hacer. Una propuesta para el análisis de la cultura juvenil en la Argentina de los años setenta (1997) Entrepasados. Buenos Aires, (13), pp. 103-114; (1972) Comodoro Rivadavia, p. 3. , CRÓNICA. 16 feb; (1972) Comodoro Rivadavia, p. 2. , CRÓNICA. 17 feb; (1972) Comodoro Rivadavia, p. 4. , CRÓNICA. 2 feb; (1972) Comodoro Rivadavia, p. 2. , CRÓNICA. 10 mar; (1972) Comodoro Rivadavia, p. 5. , CRÓNICA. 8 mar; (1972) Comodoro Rivadavia, p. 4. , CRÓNICA. 16 mar; (1972) Comodoro Rivadavia, p. 2. , CRÓNICA. 16 mayo; (1972) Comodoro Rivadavia, p. 5. , CRÓNICA. 30 ago; (1973) Comodoro Rivadavia, p. 2. , CRÓNICA. 14 mar; (1973) Comodoro Rivadavia, p. 5. , CRÓNICA. 26 nov; DIAS, Susana, (2019) Entrevista cedida a MM, , 15 de mayo de; (2001) Diario crónica, , CRÓNICAS DEL CENTENARIO. Comodoro Rivadavia: Editorial Crónica; DOMINELLA, Virginia, (2020) Jóvenes, católicos y contestatarios: religión y política en Bahía Blanca (1968 – 1975), , Los Polvorines: Universidad Nacional de General Sarmiento; (1969) Comodoro Rivadavia, p. 12. , 4 jun; (1969) Comodoro Rivadavia, p. 13. , 7 jun; FRIEDEMANN, Sergio, Liberación o dependencia” en el debate parlamentario de la “Ley Taiana”. Un acercamiento al enfoque etnográfico para el estado de la cuestión universitaria en el pasado reciente (2011) Anuario de Historia de la Educación, 2 (12), pp. 1-26. , Buenos Aires, año; FRIEDEMANN, Sergio, Aportes del campo de estudios sobre memoria para un abordaje reflexivo del pasado reciente universitario (2012) Aletheia. La Plata, 2 (4), pp. 1-9; FRIEDEMANN, Sergio, La peronización de los universitarios como categoría nativa (1966-1973) (2017) Folia Histórica del Nordeste. Resistencia, (29), pp. 113-144; FRIEDEMANN, Sergio, Historia de la gratuidad y el ingreso irrestricto en la universidad argentina. El caso de la Universidad Nacional y Popular de Buenos Aires (1973-1974) (2019) Donde antes estaba solamente admitido el oligarca”: la gratuidad de la educación superior, a 70 años, pp. 139-171. , BENENTE, M. (comp) José Paz: Edunpaz; GÓMEZ, Carlos N., PÉREZ, Andrés F., La educación superior en la prov. De Santa Cruz (1958 – 1990): ausencias y presencias en la dinámica del desarrollo institucional de la zona norte (2005) Espacios. Río Gallegos, IV (4), pp. 33-57. , año; GONZÁLEZ CANOSA, Mora, MURPHY, Jessica, De los corsos, los sindicatos, el fútbol y la “resistencia” a la vuelta de Perón. Orígenes y gestación de la Juventud Peronista de Rawson (1969-1972) (2019) Coordenadas. Río Cuarto, 6 (1), pp. 41-63. , año; GORDILLO, Mónica, Protesta, rebelión y movilización: de la resistencia a la lucha armada, 1955 – 1973 (2007) Violencia, proscripción y autoritarismo (1955-1976), pp. 329-380. , JAMES, Daniel (org) Buenos Aires: Sudamericana; HAUSBERGER, Bernard, PANI, Erika, Historia Global (2018) Presentación. Historia Mexicana. México, (68), pp. 177-196; LAGOS, Julio A., (1967) Patagonia: tierra de bendición, , Buenos Aires: Emecé Editores; LUCIANI, Laura, Movimientos estudiantiles latinoamericanos en los años sesenta (2019) Historia y memoria. Boyacá, (18), pp. 77-111; MARKARIAN, Vania, (2012) El 68 uruguayo. El movimiento estudiantil entre molotovs y música beat, , Bernal: Universidad Nacional de Quilmes; MASSARI, Alfredo L. L., (2004) Amanecer universitario patagónico, , Comodoro Rivadavia: Obispado de Comodoro Rivadavia; MENDONÇA, Mariana, La primera ola de expansión universitaria en la Argentina: consecuencias en el mediano plazo (2018) Anuario de Historia de la Educación, 19 (1), pp. 24-49. , Buenos Aires, Año; MENDONÇA, Mariana, La política universitaria en la coyuntura del Gran Acuerdo Nacional (1971-1973) (2018) Estudios Sociales. Santa Fe, (54), pp. 93-117; MENDONÇA, Mariana, ¿Qué hacer con los universitarios? La política universitaria en transición. Entre el autoritarismo y la construcción del diálogo (1966-1971) (2019) Quinto Sol. Santa Rosa, 23 (1), pp. 1-14; MONASTEROLO, E., PITTALUGA, R., De las historias y memorias de la rebeldía. En torno a un audiovisual por los 40 años de la nacionalización de la UNLPam (2018) Formas de la política: experiencias de activismo en el pasado reciente. Argentina (1969 – 2019), , MONASTEROLO, E.; PITTALUGA, R. (editores). Santa Rosa: Universidad Nacional de La Pampa; MURIETE, Raúl, Reflexiones sobre las condiciones socio históricas que posibilitaron el surgimiento de la Universidad pública en Comodoro Rivadavia (2016) Identidades. Comodoro Rivadavia, Año, 6 (11), pp. 1-31; NAVAS, Agustín, Conflictividad estudiantil, radicalización política y reformismo universitario durante las décadas del sesenta y setenta. El caso del movimiento estudiantil de la ciudad de La Plata 1969-1972 (2018) Trabajos y Comunicaciones. Ciudad, (48), pp. 1-29; RAMÍREZ, Ana J., A 50 años del Cordobazo…Pensar las ‘puebladas’ en la Argentina; RODRÍGUEZ, Laura G., Universidad, peronismo y dictadura, 1973-1983, , Buenos; RODRÍGUEZ, Laura G., Las Universidades católicas y privadas frente a los principios reformistas La Reforma universitaria cuestionada, , MAURO, D.; ZANCA, J. (orgs); ROVELLI, Laura, Del plan a la política de creación de nuevas universidades nacionales en Argentina: la expansión institucional de los años 70 revisitada, , Temas; SEIA, Guadalupe A., CALIFA, Juan S., La ampliación del sistema universitario argentino durante la Revolución Argentina, , Un estudio de sus causas a través del caso de la Universidad de Buenos Aires (1969-1973). A Contra corriente. North; VILLAFAÑE, Romina, (2016) Juventud, conflicto universitario salesiano, Universidad nacional y humor político: el caso del Diario Crónica. Comodoro Rivadavia 1972-1973, , Tesis (Licenciatura en Historia) Facultad de Humanidades y Ciencias Sociales, Universidad Nacional de la Patagonia San Juan Bosco, Comodoro Rivadavia, 2016; PLOTKIN, Mariano B., Perón, el revisionismo histórico y su cosmovisión política: plus ça change (2017) El exilio de Perón: los papeles del archivo Hoover, pp. 231-264. , CHIARAMONTE, J. C; KLEIN, H. S. (coord) Buenos Aires: Sudamericana</t>
  </si>
  <si>
    <t>Carrizo, G.; Universidad Nacional de la Patagonia San Juan Bosco, Chubut, Argentina; email: gabo.carrizo@gmail.com</t>
  </si>
  <si>
    <t>Universidade Federal de Santa Catarina</t>
  </si>
  <si>
    <t>1414722X</t>
  </si>
  <si>
    <t>2-s2.0-85137109238</t>
  </si>
  <si>
    <t>Rodriguez-Burgos A.M., Briceño-Zuluaga F.J., Ávila Jiménez J.L., Hearn A., Peñaherrera-Palma C., Espinoza E., Ketchum J., Klimley P., Steiner T., Arauz R., Joan E.</t>
  </si>
  <si>
    <t>57830216200;57188965373;57224642129;9640137200;56335294600;7004660684;16520268600;6505965216;57207780426;8512219600;57830124300;</t>
  </si>
  <si>
    <t>Marine Environmental Research</t>
  </si>
  <si>
    <t>https://www.scopus.com/inward/record.uri?eid=2-s2.0-85135391127&amp;doi=10.1016%2fj.marenvres.2022.105696&amp;partnerID=40&amp;md5=4fcaeb0a4d370fc19d18bd8093214cf5</t>
  </si>
  <si>
    <t>Facultad de Ciencias Básicas y Aplicadas, Universidad Militar Nueva Granada, Cajicá, Colombia; JEAI-IRD-UMNG: CHARISMA, Cajicá, Colombia; Pedagogical and Technological University of Colombia, Tunja, Colombia; Galapagos Science Center, Universidad San Francisco de Quito, Ecuador; MigraMar, Sir Francis Drake Boulevard, Olema, CA, United States; Dirección del Parque Nacional Galápagos, Instituto Nacional de Biodiversidad (INABIO), Ecuador; Pelagios Kakunjá, Centro de Investigaciones Biológicas del Noroeste, Mexico; University of California Davis, United States; Turtle Island Restoration Network, United States; Fins Attached, United States</t>
  </si>
  <si>
    <t>Rodriguez-Burgos, A.M., Facultad de Ciencias Básicas y Aplicadas, Universidad Militar Nueva Granada, Cajicá, Colombia, JEAI-IRD-UMNG: CHARISMA, Cajicá, Colombia; Briceño-Zuluaga, F.J., Facultad de Ciencias Básicas y Aplicadas, Universidad Militar Nueva Granada, Cajicá, Colombia, JEAI-IRD-UMNG: CHARISMA, Cajicá, Colombia; Ávila Jiménez, J.L., Pedagogical and Technological University of Colombia, Tunja, Colombia; Hearn, A., Galapagos Science Center, Universidad San Francisco de Quito, Ecuador, MigraMar, Sir Francis Drake Boulevard, Olema, CA, United States; Peñaherrera-Palma, C., MigraMar, Sir Francis Drake Boulevard, Olema, CA, United States; Espinoza, E., MigraMar, Sir Francis Drake Boulevard, Olema, CA, United States, Dirección del Parque Nacional Galápagos, Instituto Nacional de Biodiversidad (INABIO), Ecuador; Ketchum, J., Pelagios Kakunjá, Centro de Investigaciones Biológicas del Noroeste, Mexico; Klimley, P., MigraMar, Sir Francis Drake Boulevard, Olema, CA, United States, University of California Davis, United States; Steiner, T., Turtle Island Restoration Network, United States; Arauz, R., MigraMar, Sir Francis Drake Boulevard, Olema, CA, United States, Fins Attached, United States; Joan, E., MigraMar, Sir Francis Drake Boulevard, Olema, CA, United States</t>
  </si>
  <si>
    <t>Variability and climate change due to anthropic influence have brought about alterations to marine ecosystems, that, in turn, have affected the physiology and metabolism of ectotherm species, such as the common hammerhead shark (Sphyrna lewini). However, the impact that climate variability may have on this species’ distribution, particularly in the Eastern Tropical Pacific Marine Corridor, which is considered an area with great marine biodiversity, is unknown. The purpose of this research was to evaluate the effect of derivate impact of climate change on the oceanographic distribution of the hammerhead shark (Sphyrna lewini) in the Eastern Tropical Pacific Marine Corridor, contrasting the present and future scenarios for 2050. The methodology used was an ecological niche model based on the KUENM R package software that uses the maximum entropy algorithm (MaxEnt). The modelling was made for the year 2050 under RCP2.6 and RCP8.5 scenarios. A total of 952 models were made, out of which only one met the statistical parameters established as optimal, for future scenarios. The environmental suitability for S.lewini shows that this species would migrate to the south in the Chilean Pacific, associated with a possible warming that the equatorial zone will have and the possible cooling that the subtropical zone of the South Pacific will have by 2050, the product of changes in oceanographic dynamics. © 2022 Elsevier Ltd</t>
  </si>
  <si>
    <t>Climate change; Ecological niche modelling; Hammerhead shark; KUENM; Upwelling</t>
  </si>
  <si>
    <t>Biodiversity; Ecosystems; Population distribution; Tropics; Climate variability; Eastern pacific; Eastern tropical pacific; Ecological niche modeling; Hammerhead shark; KUENM; Marine biodiversity; Model-based OPC; Species distributions; Upwelling; Climate change; climate change; climate effect; ecological modeling; marine ecosystem; shark; spatial distribution; upwelling; article; climate change; cooling; ecological niche; maximum entropy model; nonhuman; shark; software; statistical parameters; warming; animal; biodiversity; Chile; ecosystem; physiology; Pacific Ocean; Pacific Ocean (East); Pacific Ocean (Tropical); Animals; Biodiversity; Chile; Climate Change; Ecosystem; Sharks</t>
  </si>
  <si>
    <t>EXT-CLAS-3638; Institut de Recherche pour le Développement, IRD; Universidad Militar Nueva Granada, UMNG: 2021-1</t>
  </si>
  <si>
    <t>Francisco Javier Briceno Zuluaga reports financial support was provided by French National Research Institute for Sustainable Development. Aura Maria Rodriguez Burgos reports statistical analysis was provided by Migramar. Aura Maria Rodriguez Burgos reports financial support was provided by Alejandro Ángel Escobar Foundation. The data base from Migramar using here isn't free access but It was used under collaboration agreement.</t>
  </si>
  <si>
    <t>Aura Maria Rodriguez Burgos and Francisco Briceño Zuluaga was supported by the CHARISMA project ( JEAL-IRD/UMNG ). This article was derived from the research project EXT-CLAS-3638 financed by the vice-rectorate for research of the Militar Nueva Granada University and the IRD-FRANCE, validity 2021-1. Likewise, we thank Migramar for making part of the data used in this work available. Finally, Aura Maria Rodriguez Burgos would like to thank the ﬁnancial support provided by the scholarship named Colombia Biodiversa awarded by the Alejandro Ángel Escobar Foundation .</t>
  </si>
  <si>
    <t>Andrzejaczek, S., Gleiss, A.C., Jordan, L.K., Pattiaratchi, C.B., Howey, L.A., Brooks, E.J., Meekan, M.G., Temperature and the vertical movements of oceanic whitetip sharks, Carcharhinus longimanus (2018) Sci. Rep., 8 (1), pp. 1-12; Bakun, A., Black, B.A., Bograd, S.J., García-Reyes, M., Miller, A.J., Rykaczewski, R.R., Sydeman, W.J., Anticipated effects of climate change on coastal upwelling ecosystems (2015) Curr. Clim. Change Rep., 1 (2), pp. 85-93; Barnes, E.A., Hurrell, J.W., Ebert‐ Uphoff, I., Anderson, C., Anderson, D., Viewing forced climate patterns through an AI Lens (2019) Geophys. Res. Lett., 46. , 13,389–13,398; Bentlage, B., Peterson, A.T., Barve, N., Cartwright, P., Plumbing the depths: extending ecological niche modelling and species distribution modelling in three dimensions (2013) Global Ecol. Biogeogr., 22 (8), pp. 952-961; Belmadani, A., Echevin, V., Codron, F., Takahashi, K., Junquas, C., What dynamics drive future wind scenarios for coastal upwelling off Peru and Chile? (2014) Clim. Dynam., 43 (7-8), pp. 1893-1914; Bernal, D., Carlson, J.K., Goldman, K.J., Lowe, C.G., Energetics, Metabolism, and Endothermy in Sharks and Rays. Biology of Sharks and Their Relatives (2012) Biology of Sharks and Their Relatives, pp. 211-237. , J.C. Carrier J.A. Musick M.C. Heithaus second ed. Taylor and Francis Group, LLC Boca Raton, FL; Bessudo, S., Soler, G.A., Klimley, A.P., Ketchum, J.T., Hearn, A., Arauz, R., Residency of the scalloped hammerhead shark (Sphyrna lewini) at Malpelo Island and evidence of migration to other islands in the Eastern Tropical Pacific (2011) Environ. Biol. Fish., 91 (2), pp. 165-176; Carré, M., Braconnot, P., Elliot, M., D'agostino, R., Schurer, A., Shi, X., High-resolution marine data and transient simulations support orbital forcing of ENSO amplitude since the mid-Holocene (2021) Quat. Sci. Rev., 268; Cai, W., Wang, G., Dewitte, B., Wu, L., Santoso, A., Takahashi, K., Yang, Y., McPhaden, M.J., Increased variability of eastern Pacific El Niño under greenhouse warming (2018) Nature, 564 (7735), pp. 201-206; Campbell, H.A., Hewitt, M., Watts, M.E., Peverell, S., Franklin, C.E., Short-and long-term movement patterns in the freshwater whip ray (Himantura dalyensis) are determined by the signal processing of passive acoustic telemetry data (2012) Mar. Freshw. Res., 63 (4), pp. 341-350; Cartamil, D., Wegner, N.C., Aalbers, S., Sepulveda, C.A., Baquero, A., Graham, J.B., Diel movement patterns and habitat preferences of the common thresher shark (Alopias vulpinus) in the Southern California Bight (2010) Mar. Freshw. Res., 61 (5), pp. 596-604; Chávez, E.J., Arauz, R., Hearn, A., Nalesso, E., Steiner, T., Asociación de tiburones con el Monte Submarino Las Gemelas y primera evidencia de conectividad con la Isla del Coco, Pacífico de Costa Rica (2020) Rev. Biol. Trop., 68 (S1), pp. S320-S329; Chavez, F.P., Bertrand, A., Guevara-Carrasco, R., Soler, P., Csirke, J., The northern Humboldt Current System: brief history, present status, and a view towards the future (2008) Prog. Oceanogr., 79 (2-4), pp. 95-105; Cobos, M.E., Peterson, A.T., Barve, N., Osorio-Olvera, L., kuenm: an R package for detailed development of ecological niche models using Maxent (2019) PeerJ, 7; Coiraton, C., Amezcua, F., In utero elemental tags in vertebrae of the scalloped hammerhead shark, Sphyrna lewini reveal migration patterns of pregnant females (2020) Sci. Rep., 10 (1), pp. 1-13; Cuevas‐Gómez, G.A., Pérez‐Jiménez, J.C., Méndez‐Loeza, I., Carrera‐Fernández, M., Castillo‐Géniz, J.L., Identification of a nursery area for the critically endangered hammerhead shark (Sphyrna lewini) amid intense fisheries in the southern Gulf of Mexico (2020) J. Fish. Biol., 97 (4), pp. 1087-1096; Dixson, D.L., Jennings, A.R., Atema, J., Munday, P.L., Odor tracking in sharks is reduced under future ocean acidification conditions (2015) Global Change Biol., 21, pp. 1454-1462; Encina, F.M.M., González, J.M., Paredes, J.C., Distribución actual y potential de Dendroctonus mexicanus Hopkins bajo dos escenarios de cambio climático (2020) Madera Bosques, 26 (2), p. 2; England, M.H., McGregor, S., Spence, P., Meehl, G.A., Timmermann, A., Cai, W., Recent intensification of wind-driven circulation in the Pacific and the ongoing warming hiatus (2014) Nat. Clim. Change, 4 (3), pp. 222-227; Estupiñán-Montaño, C., Galván-Magaña, F., Tamburín, E., Sánchez-González, A., Villalobos-Ramírez, D.J., Murillo-Bohórquez, N., Trophic inference in two sympatric sharks, Sphyrna lewini and Carcharhinus falciformis (Elasmobranchii: carcharhiniformes), based on stable isotope analysis at Malpelo Island, Colombia (2017) Acta Ichthyol. Piscatoria, 47 (4), pp. 357-364; Fangue, N.A., Bennett, W.A., Thermal tolerance responses of laboratory-acclimated and seasonally acclimatized Atlantic stingray, Dasyatis Sabina (2003) Copeia, (2), pp. 315-325. , 2 2003; Flint, J., Flint, M., Limpus, C.J., Mills, P.C., The impact of environmental factors on marine turtle stranding rates (2017) PLoS One, 12 (8); Flores-Aqueveque, V., Rojas, M., Aguirre, C., Arias, P.A., González, C., South Pacific Subtropical High from the late Holocene to the end of the 21st century: insights from climate proxies and general circulation models (2020) Clim. Past, 16 (1), pp. 79-99; Flores-Martínez, I.A., Torres-Rojas, Y.E., Galván-Magaña, F., Ramos-Miranda, J., Diet comparison between silky sharks (Carcharhinus falciformis) and scalloped hammerhead sharks (Sphyrna lewini) off the southwest coast of Mexico (2017) J. Mar. Biol. Assoc. U. K., 97 (2), pp. 337-345; Francis, M.P., Temporal and spatial patterns of habitat use by juveniles of a small coastal shark (Mustelus lenticulatus) in an estuarine nursery (2013) PLoS One, 8 (2); Francis, M.P., Distribution, habitat and movement of juvenile smooth hammerhead sharks (Sphyrna zygaena) in northern New Zealand (2016) N. Z. J. Mar. Freshw. Res., 50 (4), pp. 506-525; Fosu, B., He, J., Liguori, G., Equatorial pacific warming attenuated by SST warming patterns in the tropical atlantic and Indian oceans (2020) Geophys. Res. Lett., 47 (18). , 0–2; Friedlander, A.M., Zgliczynski, B.J., Ballesteros, E., Aburto-Oropeza, O., Bolaños, A., Sala, E., The shallow-water fish assemblage of Isla del Coco National Park, Costa Rica: structure and patterns in an isolated, predator-dominated ecosystem (2012) Rev. Biol. Trop., 60, pp. 321-338; Gallagher, A.J., Klimley, A.P., The biology and conservation status of the large hammerhead shark complex: the great, scalloped, and smooth hammerheads (2018) Rev. Fish Biol. Fish., 28 (4), pp. 777-794; Gattuso, J.P., Magnan, A., Billé, R., Cheung, W.W.L., Howes, E.L., Joos, F., Allemand, D., Rochette, J., Contrasting futures for ocean and society from different anthropogenic CO2 emissions scenarios (2015) Science, 349 (6243); Gonzalez-Pestana, A., Habitat Suitability of Juvenile Smooth Hammerhead Shark (Sphyrna Zyagena) off Northern Peru [master's Thesis] (2018), James Cook University Australia; Guillera-Arroita, G., Lahoz‐Monfort, J.J., Elith, J., Maxent is not a presence –absence method: a comment on Thibaud et al (2014) Methods Ecol. Evol., 5 (11), pp. 1192-1197; Hadi, S., Andayani, N., Muttaqin, E., Simeon, B.M., Ichsan, M., Subhan, B., Madduppa, H., Genetic connectivity of the scalloped hammerhead shark Sphyrna lewini across Indonesia and the Western Indian Ocean (2020) PLoS One, 15 (10); Harley, C.D., Randall Hughes, A., Hultgren, K.M., Miner, B.G., Sorte, C.J., Thornber, C.S., The impacts of climate change in coastal marine systems (2006) Ecol. Lett., 9 (2), pp. 228-241; Hearn, A., Ketchum, J., Klimley, A.P., Espinoza, E., Peñaherrera, C., Hotspots within hotspots? Hammerhead shark movements around Wolf island, galapagos marine reserve (2010) Mar. Biol., 157 (9), pp. 1899-1915; Hoegh-Guldberg, O., Bruno, J.F., The impact of climate change on the world's marine ecosystems (2010) Science, 328 (5985), pp. 1523-1528; Hoffmayer, E.R., Franks, J.S., Driggers, W.B., Howey, P.W., Diel vertical movements of a scalloped hammerhead, Sphyrna lewini, in the northern Gulf of Mexico (2013) Bull. Mar. Sci., 89 (2), pp. 551-557; Ibarra-Montoya, J.L., Rangel-Peraza, G., González-Farias, F.A., De Anda, J., Martínez-Meyer, E., Macias-Cuellar, H., Uso del modelado de nicho ecológico como una herramienta para predecir la distribución potential de Microcystis sp (cianobacteria) en la Presa Hidroeléctrica de Aguamilpa, Nayarit, México (2012) Ambiente Água - An Interdiscip. J. Appl. Sci., 7 (1), pp. 218-234; Kalinski, C.E., (2019) Building Better Species Distribution Models with Machine Learning: Assessing the Role of Covariate Scale and Tuning in Maxent Models, 129; Kao, H.Y., Lagerloef, G.S., Salinity fronts in the tropical Pacific Ocean (2015) J. Geophys. Res.: Oceans, 120 (2), pp. 1096-1106; Karimi, T., Stöckle, C.O., Higgins, S.S., Nelson, R.L., Impact of climate change on greenhouse gas emissions and water balance in a dryland-cropping region with variable precipitation (2021) J. Environ. Manag., 287; Ketchum, J.T., Hearn, A., Klimley, A.P., Espinoza, E., Peñaherrera, C., Largier, J.L., Seasonal changes in movements and habitat preferences of the scalloped hammerhead shark (Sphyrna lewini) while refuging near an oceanic island (2014) Mar. Biol., 161 (4), pp. 755-767; Ko, G.W., Dineshram, R., Campanati, C., Chan, V.B., Havenhand, J., Thiyagarajan, V., Interactive effects of ocean acidification, elevated temperature, and reduced salinity on early-life stages of the Pacific oyster (2014) Environ. Sci. Technol., 48 (17), pp. 10079-10088; Leach, K., Montgomery, W.I., Reid, N., Modelling the influence of biotic factors on species distribution patterns (2016) Ecol. Model., 337, pp. 96-106; Lezama-Ochoa, N., Murua, H., Hall, M., Román, M., Ruiz, J., Vogel, N., Biodiversity and habitat characteristics of the bycatch assemblages in fish aggregating devices (FADs) and school sets in the Eastern Pacific Ocean (2017) Front. Mar. Sci., 4, p. 265; Luna, P.D.M., Cota, S.E.L., Cambio climático y amniotas marinos: evidencias, hipótesis e incertidumbre (2013) Interciencia, 38 (10), pp. 712-718; Marie, A.D., Miller, C., Cawich, C., Piovano, S., Rico, C., Fisheries-independent surveys identify critical habitats for young scalloped hammerhead sharks (Sphyrna lewini) in the Rewa Delta, Fiji (2017) Sci. Rep., 7 (1), pp. 1-12; Martin, C.S., Vaz, S., Ellis, J.R., Lauria, V., Coppin, F., Carpentier, A., Modeled distributions of ten demersal elasmobranchs of the eastern English Channel in relation to the environment (2012) J. Exp. Mar. Biol. Ecol., 418-419, pp. 91-103; Mateo, R.G., Felicísimo, Á.M., Muñoz, J., Modelos de distribución de especies y su potencialidad como recurso educativo interdisciplinar (2012) Reduca (Biologia), 5 (1); McGregor, S., Timmermann, A., Stuecker, M.F., England, M.H., Merrifield, M., Jin, F.F., Chikamoto, Y., Recent Walker circulation strengthening and Pacific cooling amplified by Atlantic warming (2014) Nat. Clim. Change, 4 (10), pp. 888-892; Nalesso, E., Hearn, A., Sosa-Nishizaki, O., Steiner, T., Antoniou, A., Reid, A., Movements of scalloped hammerhead sharks (Sphyrna lewini) at Cocos island, Costa Rica and between oceanic islands in the eastern tropical pacific (2019) PLoS One, 14 (3); Navarro-Monterroza, E., Arias, P.A., Vieira, S.C., El Niño-Oscilación del Sur, fase Modoki, y sus efectos en la variabilidad espacio-temporal de la precipitación en Colombia (2019) Rev. Acad. Colomb. Cienc. Exactas Fis. Nat., 43 (166), p. 120; Oyarzún, D., Brierley, C.M., The future of coastal upwelling in the Humboldt current from model projections (2019) Clim. Dynam., 52 (1-2), pp. 599-615; Owens, H.L., Campbell, L.P., Dornak, L.L., Saupe, E.E., Barve, N., Soberón, J., Constraints on interpretation of ecological niche models by limited environmental ranges on calibration areas (2013) Ecol. Model., 263, pp. 10-18; Papastamatiou, Y.P., Watanabe, Y.Y., Bradley, D., Dee, L.E., Weng, K., Lowe, C.G., Caselle, J.E., Drivers of daily routines in an ectothermic marine predator: hunt warm, rest warmer? (2015) PLoS One, 10 (6), pp. 1-16; Peterson, A.T., Papeş, M., Soberón, J., Rethinking receiver operating characteristic analysis applications in ecological niche modelling (2008) Ecol. Model., 213 (1), pp. 63-72; Pistevos, J.C., Nagelkerken, I., Rossi, T., Olmos, M., Connell, S.D., Ocean acidification and global warming impair shark hunting behaviour and growth (2015) Sci. Rep., 5 (1), pp. 1-10; Pliscoff, P., Fuentes-Castillo, T., Modelación de la distribución de especies y ecosistemas en el tiempo y en el espacio: una revisión de las nuevas herramientas y enfoques disponibles (2011) Rev. Geogr. Norte Gd., (48), pp. 61-79; Poloczanska, E.S., Brown, C.J., Sydeman, W.J., Kiessling, W., Schoeman, D.S., Moore, P.J., Global imprint of climate change on marine life (2013) Nat. Clim. Change, 3 (10), pp. 919-925; Pörtner, H.O., Knust, R., Climate change affects marine fishes through the oxygen limitation of thermal tolerance (2007) Science, 315 (5808), pp. 95-97; Poulakis, G.R., Stevens, P.W., Timmers, A.A., Wiley, T.R., Simpfendorfer, C.A., Abiotic affinities and spatiotemporal distribution of the endangered smalltooth sawfish, Pristis pectinata, in a south-western Florida nursery (2011) Mar. Freshw. Res., 62 (10), pp. 1165-1177; Rivas, M.L., Spínola, M., Arrieta, H., Faife-Cabrera, M., Effect of extreme climatic events resulting in prolonged precipitation on the reproductive output of sea turtles (2018) Anim. Conserv., 21 (5), pp. 387-395; Roberts, C.M., O'Leary, B.C., McCauley, D.J., Cury, P.M., Duarte, C.M., Lubchenco, J., Marine reserves can mitigate and promote adaptation to climate change (2017) Proc. Natl. Acad. Sci. USA, 114 (24), pp. 6167-6175; Rodríguez, E., Giraldo, A., Características oceanográficas en isla Malpelo y su relación con la cuenca oceánica del Pacífico Colombiano (2011) Bol. Invest. Mar. Costeras, (40), pp. 19-32; Rosa, R., Baptista, M., Lopes, V.M., Pegado, M.R., Ricardo Paula, J., Trübenbach, K., Early-life exposure to climate change impairs tropical shark survival (2014) Proc. Biol. Sci., 281. , 1793; Salinas de León, P., Hoyos-Padilla, E.M., Pochet, F., First observation on the mating behaviour of the endangered scalloped hammerhead shark Sphyrna lewini in the Tropical Eastern Pacific (2017) Environ. Biol. Fish., 100 (12), pp. 1603-1608; Salomón-Aguilar, C.A., Villavicencio-Garayzar, C.J., Reyes-Bonilla, H., Zonas y temporadas de reproducción y crianza de tiburones en el Golfo de California: estrategia para su conservación y manejo pesquero (2009) Cienc. Mar., 35 (4), pp. 369-388; Schlaff, A.M., Heupel, M.R., Simpfendorfer, C.A., Influence of environmental factors on shark and ray movement, behaviour and habitat use: a review (2014) Rev. Fish Biol. Fish., 24 (4); Srivastava, V., Griess, V.C., Padalia, H., Mapping invasion potential using ensemble modelling. A case study on Yushania maling in the Darjeeling Himalayas (2018) Ecol. Model., 385, pp. 35-44; Soberón, J., Osorio-Olvera, L., Peterson, T., Diferencias conceptuales entre modelación de nichos y modelación de áreas de distribución (2017) Rev. Mex. Biodivers., 88 (2), pp. 437-441; Soler, G.A., Bessudo, S., Guzmán, A., Long term monitoring of pelagic fishes at Malpelo Island, Colombia (2013) Lat. Am. J. Conserv., 3 (2), pp. 28-37; Speed, C.W., Meekan, M.G., Field, I.C., McMahon, C.R., Bradshaw, C.J., Heat-seeking sharks: support for behavioural thermoregulation in reef sharks (2012) Mar. Ecol. Prog. Ser., 463, pp. 231-244; Tyberghein, L., Verbruggen, H., Pauly, K., Troupin, C., Mineur, F., De Clerck, O., Bio‐ORACLE: a global environmental dataset for marine species distribution modelling (2012) Global Ecol. Biogeogr., 21 (2), pp. 272-281; Varela, S., Mateo, R.G., García-Valdés, R., Fernández-González, F., Macroecología y ecoinformática: sesgos, errores y predicciones en el modelado de distribuciones (2014) Rev. Ecosistemas, 23 (1), pp. 46-53; Vasquez, M.C., Tomanek, L., Sirtuins as regulators of the cellular stress response and metabolism in marine ectotherms (2019) Comp. Biochem. Physiol. Mol. Integr. Physiol., 236; Wang, D., Gouhier, T.C., Menge, B.A., Ganguly, A.R., Intensification and spatial homogenization of coastal upwelling under climate change (2015) Nature, 518 (7539), pp. 390-394; Xiu, P., Chai, F., Curchitser, E.N., Castruccio, F.S., Future changes in coastal upwelling ecosystems with global warming: the case of the California Current System (2018) Sci. Rep., pp. 1-9. , October 2017; Yates, P.M., Heupel, M.R., Tobin, A.J., Simpfendorfer, C.A., Ecological drivers of shark distributions along a tropical coastline (2015) PLoS One, 10 (4), pp. 1-18; Zanella, I., López-Garro, A., McComb-Kobza, D.M., Golfín-Duarte, G., Pérez-Montero, M., Morales, J., First record of young-of-the-year Scalloped hammerhead shark, Sphyrna lewini (Carcharhiniformes: sphyrnidae) from Isla del Coco National Park, Costa Rica (2016) Rev. Biol. Trop., 64 (1), pp. S201-S204; Zheng, X.T., Xie, S.P., Lv, L.H., Zhou, Z.Q., Intermodel uncertainty in ENSO amplitude change tied to Pacific Ocean warming pattern (2016) J. Clim., 29 (20), pp. 7265-7279</t>
  </si>
  <si>
    <t>Rodriguez-Burgos, A.M.; Facultad de Ciencias Básicas y Aplicadas, Colombia; email: aurismarobu@gmail.com</t>
  </si>
  <si>
    <t>MERSD</t>
  </si>
  <si>
    <t>2-s2.0-85135391127</t>
  </si>
  <si>
    <t>Matallana-Puerto C.A., Cardoso J.C.F.</t>
  </si>
  <si>
    <t>57813436700;56896753800;</t>
  </si>
  <si>
    <t>https://www.scopus.com/inward/record.uri?eid=2-s2.0-85134625834&amp;doi=10.1002%2fecy.3778&amp;partnerID=40&amp;md5=d6dbc650a870f918fa50971b6268241b</t>
  </si>
  <si>
    <t>Grupo de Investigación Biología para la Conservación, Escuela de Biología, Facultad de Ciencias, Universidad Pedagógica y Tecnológica de Colombia, Tunja, Colombia; Programa de Pós-Graduação em Biologia Vegetal, Instituto de Biologia Vegetal, Universidade Estadual de Campinas, Campinas, Brazil; Instituto de Ciências da Natureza, Universidade Federal de Alfenas, Alfenas, Brazil</t>
  </si>
  <si>
    <t>Matallana-Puerto, C.A., Grupo de Investigación Biología para la Conservación, Escuela de Biología, Facultad de Ciencias, Universidad Pedagógica y Tecnológica de Colombia, Tunja, Colombia, Programa de Pós-Graduação em Biologia Vegetal, Instituto de Biologia Vegetal, Universidade Estadual de Campinas, Campinas, Brazil; Cardoso, J.C.F., Instituto de Ciências da Natureza, Universidade Federal de Alfenas, Alfenas, Brazil</t>
  </si>
  <si>
    <t>angiosperm; flower; plant-pollinator interaction; pollination; rodent; urban area; urban ecosystem; animal; flower; plant; pollination; rat; Animals; Flowers; Plants; Pollination; Rats</t>
  </si>
  <si>
    <t>We are grateful to Angela Vianchá Sánchez for identifying the rat, to Lina Peña Ramírez and Jeniffer Gómez Camargo for identifying the birds, to Johana F. Leguizamón Arias for providing pictures of the birds, and Pedro Lorenzo for the illustration of the rat. We thank Gibby Zobel, Pietro K. Maruyama, and Vinícius L. G. Brito for their comments in the manuscript.</t>
  </si>
  <si>
    <t>Aronson, M.F.J., La Sorte, F.A., Nilon, C.H., Katti, M., Goddard, M.A., Lepczyk, C.A., Warren, P.S., A Global Analysis of the Impacts of Urbanization on Bird and Plant Diversity Reveals Key Anthropogenic Drivers (2014) Proceedings of the Royal Society B: Biological Sciences, 281; Beardsell, D., Obrien, S., Williams, E., Knox, R., Calder, D., Reproductive Biology of Australian Myrtaceae (1993) Australian Journal of Botany, 41, pp. 511-526; Biccard, A., Midgley, J.J., Rodent Pollination in Protea Nana (2009) South African Journal of Botany, 75, pp. 720-725; Cardoso, J.C., (2022) Data of “Ratatouille of Flowers! Rats as Potential Pollinators of a Petal-Rewarding Plant in an Urban Area”, , https://doi.org/10.6084/m9.figshare.19617927.v1, ” Figshare. Journal contribution; Conole, L.E., Satin Bowerbird Ptilonorhynchus Violaceus and Grey Currawong Strepera Versicolor Eating Feijoa Acca Sellowiana Petals (2004) Australian Field Ornithology, 21, pp. 121-124; Ducroquet, J.P.H.J., Hickel, E.R., Birds as Pollinators of Feijoa (Acca sellowiana Bera) (1997) Acta Horticulturae, 452, pp. 37-40; Feng, A.Y.T., Himsworth, C.G., The Secret Life of the City Rat: A Review of the Ecology of Urban Norway and Black Rats (Rattus norvegicus and Rattus rattus) (2014) Urban Ecosystem, 17, pp. 149-162; Fischer, G., Fischer, G., Miranda, D., Cayón, G., Mazorra, M., Ecofisiología, crecimiento y desarrollo de la feijoa (2003) Cultivo Poscosecha y Exportación de la Feijoa (Acca sellowiana Berg), pp. 9-26. , edited by, Bogotá, Colombia, Produmedios; Freitas, T.C., Beskow, G.T., Henzel, A.B.D., Gomes, G.C., Sousa, L.P., Goulart, A.L.M., (2020) Aves Visitantes Florais de Acca sellowiana (Berg) Burret (goiabeira-serrana) em um sistema agroflorestal no sul do Rio Grande do Sul, Brasil, p. 15. , Cadernos de Agroecologia; Goldingay, R.L., Carthew, S.M., Whelan, R.J., The Importance of Non-Flying Mammals in Pollination (1991) Oikos, 61, pp. 79-87; Gressler, E., Pizo, M.A., Morellato, L.P.C., Polinização e dispersão de sementes em Myrtaceae do Brasil (2006) Revista Brasileira de Botânica, 29, pp. 509-530; Hickel, E.R., Ducroquet, J.P.J., Insect Pollination of Feijoa, Feijoa sellowiana (Berg), in Santa Catarina (2000) Revista Brasileira de Fruticultura, 22, pp. 96-101; Janzen, D.H., On ecological fitting (1985) Oikos, 45, pp. 308-310; Johnson, S.D., Pauw, A., Midgley, J., Rodent Pollination in the African Lily Massonia depressa (Hyacinthaceae) (2001) American Journal of Botany, 88, pp. 1768-1773; Keller, H.A., Tressens, S.G., Presencia en Argentina de dos especies de uso múltiple: Acca sellowiana (Myrtaceae) y Casearia lasiophylla (Flacourtiaceae) (2007) Darwin, 45, pp. 204-212; Klein, A.M., Vaissiere, B.E., Cane, J.H., Steffan-Dewenter, I., Cunningham, S.A., Kremen, C., Tscharntke, T., Importance of Pollinators in Changing Landscapes for World Crops (2007) Proceedings of the Royal Society B: Biological Sciences, 274, pp. 303-313; Kleizen, C., Midgley, J., Johnson, S.D., Pollination Systems of Colchicum (Colchicaceae) in Southern Africa: Evidence for Rodent Pollination (2008) Annals of Botany, 102, pp. 747-755; Maruyama, P.K., Silva, J.L.S., Gomes, I.N., Bosenbecker, C., Cruz-Neto, O., Oliveira, W., Cardoso, J.C.F., Lopes, A.V., A Global Review of Urban Pollinators and Implications for Maintaining Pollination Services in Tropical Cities (2021) EcoEvoRxiv., , https://doi.org/10.32942/osf.io/bpyvd; Ollerton, J., Winfree, R., Tarrant, S., How Many Flowering Plants Are Pollinated by Animals? (2011) Oikos, 120, pp. 321-326; Ollerton, J., Pollinator Diversity: Distribution, Ecological Function, and Conservation (2017) Annual Review of Ecology, Evolution, and Systematics, 48, pp. 353-376; Quintero, O., Fischer, G., Miranda, D., Cayón, G., Mazorra, M., Selección de cultivares, manejo del cultivo y regulación de cosechas de feijoa (2003) Cultivo Poscosecha y Exportación de la Feijoa (Acca sellowiana Berg), pp. 49-71. , edited by, Bogotá, Colombia, Produmedios; Ramírez, F., Kallarackal, J., Feijoa [Acca sellowiana (O. Berg) Burret] Pollination: A Review (2017) Scientia Horticulturae, 226, pp. 333-341; Ratto, F., Simmons, B.I., Spake, R., Zamora-Gutierrez, V., MacDonald, M.A., Merriman, J.C., Tremlett, C.J., Dicks, L.V., Global Importance of Vertebrate Pollinators for Plant Reproductive Success: A Meta-Analysis (2018) Frontiers in Ecology and the Environment, 16, pp. 82-90; Regan, E.C., Santini, L., Ingwall-King, L., Hoffmann, M., Rondinini, C., Symes, A., Taylor, J., Butchart, S.H.M., Global Trends in the Status of Bird and Mammal Pollinators (2015) Conservation Letters, 8, pp. 397-403; Rodríguez, L.F., Bermúdez, L.T., Perfil y caracterización de la comercialización y consumo de Feijoa en Boyacá (1996) Agronomía Colombiana, 13, pp. 56-62; Rodríguez-Rodríguez, M.C., Valido, A., Consequences of Plant-Pollinator and Floral-Herbivore Interactions on the Reproductive Success of the Canary Islands Endemic Canarina canariensis (Campanulaceae) (2011) American Journal of Botany, 98, pp. 1465-1474; Santos, E., Vera, M., Mendoza, Y., Ceti, S.D., Cabrera, D., Vignale, B., (2010) Polinizadores de Acca sellowiana (Berg) Burret – Guayabo del País. 5º Encuentro Nacional sobre Frutas Nativas. Salto. Ed, p. 602. , INIA, Serie de Actividad de Difusión Nº; Sazima, I., Sazima, M., Petiscos florais: pétalas de Acca sellowiana (Myrtaceae) como fonte alimentar para aves em área urbana no Sul do Brasil (2007) Biota Neotropica, 7, pp. 307-311; Stewart, A.M., Craig, J.L., Factors Affecting Pollinator Effectiveness in Feijoa sellowiana (1989) New Zealand Journal of Crop and Horticultural Science, 17, pp. 145-154; Tamayo-Uria, I., Mateu, J., Escobar, F., Mughini-Gras, L., Risk Factors and Spatial Distribution of Urban Rat Infestations (2014) Journal of Pest Science, 87, pp. 107-115; Wang, Y., Zhang, Y., Ma, X.K., Dong, L., The Unique Mouse Pollination in an Orchid Species (2008) Nature Precedings, , https://doi.org/10.1038/npre.2008.1824.1</t>
  </si>
  <si>
    <t>Matallana-Puerto, C.A.; Grupo de Investigación Biología para la Conservación, Colombia; email: ca.matallanap@gmail.com</t>
  </si>
  <si>
    <t>Ecological Society of America</t>
  </si>
  <si>
    <t>ECOLA</t>
  </si>
  <si>
    <t>2-s2.0-85134625834</t>
  </si>
  <si>
    <t>Galindo-Malagón X.A., Morales I., Ospina-Garcés S.M.</t>
  </si>
  <si>
    <t>57208100814;35068587900;57189689490;</t>
  </si>
  <si>
    <t>Arthropod Structure and Development</t>
  </si>
  <si>
    <t>https://www.scopus.com/inward/record.uri?eid=2-s2.0-85134427819&amp;doi=10.1016%2fj.asd.2022.101192&amp;partnerID=40&amp;md5=c3b7aa5fe50285f7c7b5b3f86d843c5a</t>
  </si>
  <si>
    <t>Laboratorio de Entomología, Centro de Laboratorios LS214, Universidad Pedagógica y Tecnológica de Colombia, Avenida Central Del Norte 39-115, BY, Tunja, Colombia; Centro de Investigaciones Tropicales, Universidad Veracruzana, José María Morelos No. 44 y 46. Col. Centro, C.P., Veracruz, Xalapa, 91000, Mexico</t>
  </si>
  <si>
    <t>Galindo-Malagón, X.A., Laboratorio de Entomología, Centro de Laboratorios LS214, Universidad Pedagógica y Tecnológica de Colombia, Avenida Central Del Norte 39-115, BY, Tunja, Colombia; Morales, I., Laboratorio de Entomología, Centro de Laboratorios LS214, Universidad Pedagógica y Tecnológica de Colombia, Avenida Central Del Norte 39-115, BY, Tunja, Colombia; Ospina-Garcés, S.M., Centro de Investigaciones Tropicales, Universidad Veracruzana, José María Morelos No. 44 y 46. Col. Centro, C.P., Veracruz, Xalapa, 91000, Mexico</t>
  </si>
  <si>
    <t>The riffle bugs of the Rhagovelia angustipes complex have presented problems in taxonomy due to high intra-specific variability. Here we identified variation in the complex with morphometric techniques. We analyzed variation of the characters and performed a phylogenetic analysis of a combined matrix of linear measurements, geometric configurations, and discrete characters. We found that characters such as head length, metanotum length, femur width, and the evaluated shape of four characters (head, abdomen, fore tibia, hind femur) were important for the delimitation of species. In particular, we identified the metanotum length as a character that had not been previously considered in the taxonomy of the complex. The phylogenetic reconstruction allowed us to recover some relationships established for the taxonomy of the complex for the salina group, except for the species R. colombiana that was closer to R. calceola and R. calopa. This may be due to a similar natural history, since they share areas of distribution, while the R. bisignata and R. hambletoni groups could not be recovered, showing their low morphological support. In general, the geometric morphometric characters showed high levels of homology, with the head and the anterior tibia being the ones that had the best performance in the tree. Finally, the use of morphometric tools proved to be a powerful input for the taxonomic resolution of species complexes that have problems in their delimitation. © 2022 Elsevier Ltd</t>
  </si>
  <si>
    <t>Bugs; Geometric morphometrics; Gerromorpha; Integrative taxonomy; Traditional morphometrics</t>
  </si>
  <si>
    <t>abdomen; article; controlled study; femur length; Hemiptera; history; morphometry; nonhuman; phylogeny; species complex; taxonomy; tibia; anatomy and histology; animal; arthropod; Heteroptera; Animals; Arthropods; Heteroptera; Phylogeny</t>
  </si>
  <si>
    <t>BPIN 2020000100003, SGI 2907; CLUA035/CEMUA230</t>
  </si>
  <si>
    <t>We thank for the curators of the biological collections CEBUC (Lucimar Gomes and Camilo Llano), UCO-CMA (Luisa Fernanda Álvarez), LimnoBase and Biotamar (CLUA035/CEMUA230) (Mario Londoño), CIUQ (Lorena García) and CEUMAG (Larry Jiménez). XG and IM benefited from the project “La biodiversidad de Boyacá: complementación y síntesis a través de gradientes altitudinales e implicaciones de su incorporación en proyectos de apropiación social de conocimiento y de efectos de cambio climático, suscrito en el Grupo de Investigación Biodiversidad y Conservación, en el departamento de Boyacá Código BPIN 2020000100003- Sistema General de Regalías- Código SGI 2975” and “Análisis biogeográfico de la región Andina colombiana a través de áreas de endemismo de chinches semiacuáticas (Hemiptera: Gerromorpha), SGI 2907”. We acknowledge to the reviewers for their valuable comments.</t>
  </si>
  <si>
    <t>Adams, D.C., Otálora- Castillo, E., Geomorph: an R package for the collection and analysis of geometric morphometric shape data (2013) Methods Ecol. Evol., 4 (4), pp. 393-399; Adams, D., Collyer, M., Kaliontzopoulou, A., Package ‘geomorph’: Geometric Morphometric Analyses of 2D/3D Landmark Data (2019), https://github.com/geomorphR/geomorph, Repository CRAN ver. 3.1.3; Aguilar-Medrano, R., Frédérich, B., Balart, E.F., de Luna, E., Diversification of the pectoral fin shape in damselfishes (Perciformes, Pomacentridae) of the Eastern Pacific (2012) Zoomorphology, 132, pp. 197-213; Aguirre, H., Sarmiento, C., Shaw, S., Taxonomic revision and morphometric analysis of Meteorus Haliday, 1835 (Hymenoptera: Braconidae: Meteorinae) from Colombia (2011) Zootaxa, 2938, pp. 1-68; Andersen, N.M., (1982) The Semiaquatic Bugs (Hemiptera, Gerromorpha) Phylogeny, Adaptations, Biogeography and Classification, 3. , Scandinavian Science Press LTD Klampenborg, Denmark; Ariza-Marín, E.R., De Luna, E., Linear and geometric morphometric analyses of variation of the plectrum in four species of bess beetles, tribe Proculini (Coleoptera: Passalidae) (2020) Arthropod Struct. Dev., 59; Armisén, D., Viala, S., Cordeiro, I., Crumière, A., Hendaoui, A., Le Bouquin, A., Duchemin, W., Khila, A., Transcriptome-based phylogeny of the semi-aquatic bugs (Hemiptera: heteroptera: Gerromorpha) reveals patterns of lineage expansion in a series of new adaptive zones (2022) bioRxiv, , 2022, 01.08.475494; Avendaño, J., Barão, K., Grazia, J., Schwertner, C., Synonymy of two important crop pests of burrower bugs, Cyrtomenus mirabilis and C. bergi (Hemiptera: Cydnidae), based in a multi-source approach (2018) Zootaxa, 4504 (4), pp. 489-500; Bacon, J., A taxonomic study of the genus Rhagovelia (Hemiptera, Veliidae) of the western hemisphere (1956) Kans. Univ. sci. bull., 38 (10), pp. 695-913; Bechara, W.Y., Liria, J., Morfometría geométrica en cinco especies de Buthidae y Scorpionidae (Arachnida: Scorpiones) de Venezuela (2012) Rev. Mex. Biodivers., 83, pp. 421-431. , https://www.redalyc.org/articulo.oa?id=42523421013, ISSN: 1870-3453; Benítez, H.A., Püschel, T.A., Modelando la Varianza de la Forma: Morfometría Geométrica Aplicaciones en Biología Evolutiva (2014) Int. J. Morphol., 32 (3), pp. 998-1008; Bookstein, F.L., Morphometric Tools for Landmark Data: Geometry and Biology (1991), Cambridge University Press Cambridge; Calle, D.A., Quiñones, M.L., Erazo, H.F., Jaramillo, N., Discriminación por morfometría geométrica de once especies de Anopheles (Nyssorhynchus) presentes en Colombia (2008) Biomedica, 28 (3), pp. 371-385; Catalano, S.A., Goloboff, P.A., Giannini, N.P., Phylogenetic morphometrics (I): the use of landmark data in a phylogenetic framework (2010) Cladistics, 26 (5), pp. 539-549; Cohen, J., Statistical Power Analysis for the Behavioral Sciences (1988), second ed. Erlbaum Hillsdale, NJ; Collyer, M., Adams, D., RRPP: an R package for fitting linear models to high- dimensional data using residual randomization (2018) Methods Ecol. Evol., 9, pp. 1772-1779; Collyer, M.L., Adams, D.C., RRPP: Linear Model Evaluation with Randomized Residuals in a Permutation Procedure (2019), https://cran.r- project.org/web/packages/RRPP/index.html, R package version 0.4.0. Available at:; Crumière, A., Khila, A., Hox Genes Mediate the Escalation of Sexually Antagonistic Traits in Water Striders (2018), bioRxiv 425504; Crumière, A., Santos, M., Sémon, M., Armisén, D., Moreira, F.F.F., Diversity in morphology and locomotory behavior is associated with Niche expansion in the semiaquatic bugs (2016) Curr. Biol., 26, pp. 3336-3342; Crumière, A., Armisén, D., Vargas-Lowman, A., Kubarakos, M., Moreira, F.F.F., Khila, A., Escalation and morphological constraints of antagonistic armaments in water striders (2019) Front. Ecol. Evol., 7, p. 215; Da Motta, F., Moreira, F.F.F., Crumiere, A., Santos, M., Khila, A., A new species of Rhagovelia Mayr, 1865 (Hemiptera: heteroptera: Veliidae) from French Guiana, with new records of Gerromorpha from the country (2018) Zootaxa, 4433 (3), pp. 520-530; Damgaard, J., Phylogeny of the semiaquatic bugs (Hemiptera-Heteroptera, Gerromorpha) (2008) Insect Systemat. Evol., 39, pp. 431-460; Dayrat, B., Towards integrative taxonomy (2005) Biol. J. Linn. Soc., 85, pp. 407-415; Dela Cruz, L.M.L., Torres, M.A.J., Barrion, A.T., Joshi, R., Sebastian, L.S., Demayo, C.G., Geometric morphometric analysis of the head, pronotum and genitalia of the rice black bug associated with selected rice types. Egypt (2011) Acad. J. biolog. Sci., 4 (1), pp. 21-31; Dryden, I., Package ‘shapes’: Statistical Shape Analysis (2019), http://www.maths.nottingham.ac.uk/∼ild/shapes, Repository CRAN Ver. 1.2.5; Galindo-Malagón, X.A., Morales, I., Moreira, F.F.F., Revision of the Rhagovelia angustipes complex (Insecta: Hemiptera: Veliidae) from Colombia (2021) Zootaxa, 4958 (1), pp. 167-225; Garraffoni, A.R.S., Araújo, T.Q., Lourenço, A.P., Guidi, L., Balsamo, M., Integrative taxonomy of a new Redudasys species (Gastrotricha: Macrodasyida) sheds light on the invasion of fresh water habitats by macrodasyids (2019) Sci. Rep., 9, p. 2067; Goloboff, P.A., Catalano, S., TNT version 1.5, including a full implementation of phylogenetic morphometrics (2016) Cladistics, 32 (3), pp. 221-238; Horikoshi, M., Tang, Y., Dickey, A., Grenié, M., Thompson, R., Selzer, L., Strbenac, D., Voronin, K., Package Ggfortify: Data Visualization Tools for Statistical Analysis Results (2019), https://github.com/sinhrks/ggfortify, Repository CRAN ver. 0.4.7; Klingenberg, C., Multivariate morphometrics of geographic variation of Gerris costae (heteroptera: Gerridae) in Europe (1992) Rev. Suisse Zool., 99 (1), pp. 11-30. , http://flywings.org.uk/PDFfiles/RevSuisseZool1992.pdf, Retrieved from; Lecocq, T., Dellicour, S., Michez, D., Dehon, M., Dewulf, A., De Meulemeester, T., Brasero, N., Rasmont, P., Methods for species delimitation in bumblebees (Hymenoptera, Apidae, Bombus): towards an integrative approach (2015) Zool. Scripta, 44 (3), pp. 281-297; Legendre, P., Legendre, L., Numerical Ecology (Third Engl) (2012), Elsevier Great Britain; Manzano, M., Nieser, N., Caicedo, G., (1995) Lista preliminar de heterópteros acuáticos en la Isla de Gorgona y Llanura del Pacífico. Biblioteca José Jerónimo Triana, 11, pp. 47-72. , Instituto de Ciencias Naturales (Colombia); Matojo, N., Yarro, J., Anatomic morphometrics of the “Senene” Tettigoniid Ruspolia differens Serville (orthoptera: conocephalidae) from NorthWest Tanzania (2013) ISRN Entomology, 2013, pp. 1-12. , 176342; Menke, A.S., The semiaquatic and aquatic Hemiptera of California (Heteroptera: Hemiptera) (1979) Bull. Calif. Insect Surv., 21, pp. 1-166; Mitteroecker, P., Gunz, P., Windhager, S., Schaefer, K., A brief review of shape, form, and allometry in geometric morphometrics, with applications to human facial morphology (2013) Hystrix, 24 (1), pp. 59-66; Molano, F., Morales, I., Moreira, F.F.F., Two new species and key to the salina group of the genus Rhagovelia Mayr, 1865 (Hemiptera: heteroptera: Veliidae) from Colombia (2018) Zootaxa, 4457 (2), pp. 305-314; Molano-Rendón, F., Morales, I., Chinches patinadoras marinas (Hemiptera: heteroptera: Gerromorpha): diversidad de los hábitats oceánicos del Neotrópico (2017) Biota Colomb., 18 (1), pp. 172-191; Moreira, F.F.F., The semiaquatic Gerromorphans (2015) True Bugs of the Neotropics, pp. 113-150. , A G.J. Panizzi second ed. Springer Science+Business Media Dordrecht New York London; Nattero, J., Piccinali, R., Lopes, C., Hernández, M., Abrahan, L., Lobbia, P., Rodrígues, C., de la Fuente, A., Morphometric variability among the species of the Sordida subcomplex (Hemiptera: Reduviidae: Triatominae): evidence for differentiation across the distribution range of Triatoma sordida (2017) Parasites Vectors, 10 (412), pp. 1-14; Oksanen, J., Blanchet, F., Friendly, M., Kindt, R., Legendre, P., McGlinn, D., Minchin, P., Wagner, H., Package ‘vegan’ (2019), https://cran.r-project.org, https://github.com/vegandevs/vegan Repository CRAN Community Ecology Package. Ver. 2.5.6; Ortiz-Sepúlveda, C.M., Van Bocxlaer, B., Meneses, A.D., Fernández, F., Molecular and morphological recognition of species boundaries in the neglected ant genus Brachymyrmex (Hymenoptera: formicidae): toward a taxonomic revision (2019) Org. Divers. Evol., 19, pp. 447-542; Ospina-Garcés, S.M., Hernández-Cárdenas, J.A., Toledo-Hernández, V.H., Corona-López, A.M., Flores-Palacios, A., Head shape variation in cerambycid saproxylic beetles as a function of host plant selection (2018) Arthropod Struct. Dev., 47 (1), pp. 2-11; Padial, J., Miralles, A., Riva, I., Vences, M., The integrative future of taxonomy (2010) Front. Zool., 7, p. 16; Padilla-Gil, D.N., Two new species of Rhagovelia in the salina group from Colombia (Hemiptera: heteroptera: Veliidae) (2010) Zootaxa, 2621, pp. 63-68; Padilla-Gil, D.N., Ten new species of Rhagovelia in the R. angustipes complex from Colombia (heteroptera: Veliidae) (2011) Aquat. Insects, 33 (3), pp. 203-231; Padilla-Gil, D.N., Ten new species of Rhagovelia in the angustipes complex (Hemiptera: heteroptera: Veliidae) from Colombia, with a key to the Colombian species (2015) Zootaxa, 4059 (1), pp. 71-95; Padilla-Gil, D.N., Nuevas especies de Rhagovelia, Microvelia, Buenoa. Registros nuevos de otros heterópteros de Colombia (Gerromorpha, Nepomorpha, Leptopodomorpha) (2019), p. 242. , Editorial Académica Española Beau Bassin; Padilla-Gil, D.N., García-López, J.P., Variación morfométrica de la pata mesotorácica de Rhagovelia gastrotricha (Hemiptera: Veliidae) en los Andes de Colombia (2016) HIDROBIOLOGICA, 26 (3), pp. 395-401; Pante, E., Schoelinck, C., Puillandre, N., From integrative taxonomy to species description: one step beyond (2015) Syst. Biol., 64 (1), pp. 152-160; Polhemus, D.A., Systematics of the Genus Rhagovelia Mayr (Heteroptera: Velliidae) in the Western Hemisphere (Exclusive of the Angustipes Complex) (1997), p. 386. , Entomological Society of America Lanham; Polhemus, J., Manzano, M., Marine heteroptera of the Eastern tropical Pacific (Gelastocoridae, Gerridae, Mesoveliidae, Saldidae, Veliidae) (1992) Insects of Panama and Mesoamerica. Selected Studies, pp. 302-320. , D. Quintero A. Aiello Oxford University Press; R Core Team, R: A Language and Environment for Statistical Computing (2019), R Foundation for Statistical Computing Vienna, Austria; Ramírez-Sánchez, M., de Luna, E., Cramer, C., Geometric and traditional morphometrics for the assessment of character state identity: multivariate statistical analyses of character variation in the genus Arrenurus (Acari, Hydrachnidia, Arrenuridae) (2016) Zool. J. Linn. Soc., 176, pp. 1-30; Rohlf, F., The TPS Series of Software (2015), Department of Ecology and Evolution, State University of New York at Stony Brook New York, NY; Rohlf, F., Tps Utility Program. Ecology &amp; Evolution and Anthropology. New York, NY (2018), Stony Brook University of New York; Romero-Zuñiga, R., Chamorro-Rengifo, J., Lopes-Andrade, C., Morfometría comparada de las tegminas de saltamontes (Orthoptera: Tettigoniidae) (2018) Bol. Cient. Mus. Hist. Nat., 22 (1), pp. 151-162; Schlager, S., Jefferis, G., Ian, D., Package ‘Morpho’: Calculations and Visualisations Related to Geometric Morphometrics (2019), https://github.com/zarquon42b/Morpho, Repository CRAN ver. 2.7; Talarico, F., Romeo, M., Massolo, A., Brandmayr, P., Zetto, T., Morphometrics and eye morphology in three species of Carabus (Coleoptera: carabidae) in relation to habitat demands (2007) J. Zool. Syst. Evol. Res., 45 (1), pp. 33-38; Toro, I.M.V., Manríquez, S.G., Suazo, G.I., Morfometría geométrica y el estudio de las formas biológicas: de la morfología descriptiva a la morfología cuantitativa (2010) Int. J. Morphol., 28 (4), pp. 977-990; Torres, R.A., Atencia, P.L., Liria, J., Morphogeometric variation in Phrynus barbadensis (Pocock, 1893) (Amblypyghi: Phrynidae) from Colombia (2018) Rev. Soc. Entomol. Argent., 77 (1), pp. 18-23; Wei, T., Simko, V., Levy, M., Xie, Y., Jin, Y., Zemla, J., Package ‘corrplot’ Ver. 0.84 (2017), https://github.com/taiyun/corrplot, Repository CRAN; Zelditch, M., Swidesrski, D., Sheets, H., Geometric Morphometrics for Biologists: A Primer (Second) (2012), Elsevier; Zhao, Y., Galvão, C., Cai, W., Rhodnius micki, a new species of Triatominae (Hemiptera, Reduviidae) from Bolivia (2021) ZooKeys, 1012, pp. 71-93</t>
  </si>
  <si>
    <t>Ospina-Garcés, S.M.; Centro de Investigaciones Tropicales, José María Morelos No. 44 y 46. Col. Centro, C.P., Veracruz, Mexico; email: ospinagarcess@gmail.com</t>
  </si>
  <si>
    <t>ASDRC</t>
  </si>
  <si>
    <t>2-s2.0-85134427819</t>
  </si>
  <si>
    <t>Gaona I.M.S., Moncada-Villa E., Ortiz-Otálora C.A., Munevar J., Vargas C.A.P.</t>
  </si>
  <si>
    <t>57315253300;55228664300;57791160700;35092943800;57226159836;</t>
  </si>
  <si>
    <t>Structural and magnetic properties of LaBa1-xSrxCuFeO5+δ and YbBa1-xSrxCuFeO5+δ (x = 0, 0.25 and 0.5) ceramic systems</t>
  </si>
  <si>
    <t>Materials Characterization</t>
  </si>
  <si>
    <t>https://www.scopus.com/inward/record.uri?eid=2-s2.0-85133762402&amp;doi=10.1016%2fj.matchar.2022.112079&amp;partnerID=40&amp;md5=c2b44ed28cf3cd9667fba27e5f29c32d</t>
  </si>
  <si>
    <t>Grupo Física de Materiales (GFM), Universidad Pedagógica y Tecnológica de Colombia, Avenida Central Del Norte 39-115 Tunja, Boyacá, 15001, Colombia; Grupo Física de Teórica y Computacional (GFTC), Universidad Pedagógica y Tecnológica de Colombia, Avenida Central del Norte 39-115 Tunja, Boyacá, 15001, Colombia; Grupo Superficies Electroquímica y Corrosión (GSEC), Universidad Pedagógica y Tecnológica de Colombia, Avenida Central del Norte 39-115 Tunja, Boyacá, 15001, Colombia; Centro de Ciências Naturais e Humanas (CCNH), Universidade Federal Do ABC (UFABC), SP, Santo André, 09210-580, Brazil</t>
  </si>
  <si>
    <t>Gaona, I.M.S., Grupo Física de Materiales (GFM), Universidad Pedagógica y Tecnológica de Colombia, Avenida Central Del Norte 39-115 Tunja, Boyacá, 15001, Colombia; Moncada-Villa, E., Grupo Física de Materiales (GFM), Universidad Pedagógica y Tecnológica de Colombia, Avenida Central Del Norte 39-115 Tunja, Boyacá, 15001, Colombia, Grupo Física de Teórica y Computacional (GFTC), Universidad Pedagógica y Tecnológica de Colombia, Avenida Central del Norte 39-115 Tunja, Boyacá, 15001, Colombia; Ortiz-Otálora, C.A., Grupo Superficies Electroquímica y Corrosión (GSEC), Universidad Pedagógica y Tecnológica de Colombia, Avenida Central del Norte 39-115 Tunja, Boyacá, 15001, Colombia; Munevar, J., Centro de Ciências Naturais e Humanas (CCNH), Universidade Federal Do ABC (UFABC), SP, Santo André, 09210-580, Brazil; Vargas, C.A.P., Grupo Física de Materiales (GFM), Universidad Pedagógica y Tecnológica de Colombia, Avenida Central Del Norte 39-115 Tunja, Boyacá, 15001, Colombia</t>
  </si>
  <si>
    <t>We present a systematic study of structural and magnetic properties of LaBa1-xSrxCuFeO5+δ (La-x) and YbBa1-xSrxCuFeO5+δ (Yb-x) (x = 0.0, 0.25 and 0.5) ceramic compounds, synthesized with solid-state method. X-ray powder diffraction (XRD) technique indicates that La-x and Yb-x systems present single phases consistent with an orthorhombic symmetry (space group Immm (71)) and tetragonal symmetries (space group P4mm (99)), respectively, and a decreasing lattice parameter as the content of Sr increases. The results of infrared spectrums show the typical energy bands of a perovskite with a layered structure, and surface morphologic analysis evidenced the formation of polycrystalline material with diverse grain shape. The compositional characterization, obtained via the energy-dispersive X-ray spectroscopy technique, suggests that we achieve the desired material stoichiometry with the absence of impurities. Finally, vibrating sample magnetometry measurements evidenced an antiferromagnetic transition at a temperature around the 160 K only for x = 0, which is attributed to the dominant magnetic moments of rare earth ions. © 2022 Elsevier Inc.</t>
  </si>
  <si>
    <t>AFM; Antiferromagnetic; Ceramics magnetic oxides; FTIR; SEM; VSM; XRD</t>
  </si>
  <si>
    <t>Antiferromagnetism; Barium compounds; Copper compounds; Energy dispersive spectroscopy; Fourier transform infrared spectroscopy; Iron compounds; Lanthanum compounds; Magnetic moments; Magnetic properties; Metal ions; Perovskite; Polycrystalline materials; Rare earths; AFM; Antiferromagnetics; Ceramic magnetic oxide; Ceramic systems; FTIR; Magnetic oxides; Space Groups; Structural and magnetic properties; Systematic study; VSM; X ray powder diffraction</t>
  </si>
  <si>
    <t>Authors acknowledges financial support from research direction of Universidad Pedagógica y Tecnológica de Colombia .</t>
  </si>
  <si>
    <t>Klyndyuk, A.I., Chizhova, E.A., Structure and electrical and transport properties of cation-deficient samples of perovskite ferrocuprates RBaCuFeO5+δ (R= Y, La) (2008) Phys. Solid State, 50 (4), pp. 603-608; Suescun, L., Jones, C.Y., Cardoso, C.A., Lynn, J.W., Toby, B.H., Araújo-Moreira, F.M., Mombrú, A.W., Structural and magnetic study of LaBaCoCuO5+δ (2005) Phys. Rev. B, 71 (14); Lai, Y.C., Du, C., Lai, C.H., Liang, Y.H., Wang, C.W., Rule, K.C., Chou, F.C., Magnetic ordering and dielectric relaxation in the double perovskite YBaCuFeO5 (2017) J. Phys. Condens. Matter, 29 (14); Kimura, T., Sekio, Y., Nakamura, H., Siegrist, T., Ramirez, A.P., Cupric oxide as an induced-multiferroic with high-TC (2008) Nat. Mater., 7 (4), pp. 291-294; Kundys, B., Maignan, A., Simon, C., Multiferroicity with high-Tc in ceramics of the YBaCuFeO 5 ordered perovskite (2009) Appl. Phys. Lett., 94 (7); Lal, S., Yadav, C.S., Mukherjee, K., Effect of doping of Co, Ni and Ga on magnetic and dielectric properties of layered perovskite multiferroic YBaCuFeO5 (2020) J. Magn. Magn. Mater., 498; Lal, S., Mukherjee, K., Yadav, C.S., Low temperature magnetic and dielectric properties of LnBaCuFeO5 (Ln= Nd, Eu, Gd, Ho and Yb) (2019) Phys. B Condens. Matter, 570, pp. 35-40; Lal, S., Mukherjee, K., Yadav, C.S., Effect of crystalline electric field on heat capacity of LnBaCuFeO5 (Ln= Gd, Ho, Yb) (2018) Solid State Commun., 270, pp. 130-134; Lal, S., Upadhyay, S.K., Mukherjee, K., Yadav, C.S., Evolution of magnetic and dielectric properties in Sr-substituted high-temperature multiferroic YBaCuFeO5 (2017) EPL (Europhys. Lett.), 117 (6), p. 67006; Zhou, Q., Wang, W., Wei, T., Qi, X., Li, Y., Zou, Y., Wu, Y., LaBaCuFeO5+δ–Ce0.8Sm0.2O1.9 as composite cathode for solid oxide fuel cells (2012) Ceram. Int., 38 (2), pp. 1529-1532; Zhou, Q., He, T., He, Q., Ji, Y., Electrochemical performances of LaBaCuFeO5+x and LaBaCuCoO5+x as potential cathode materials for intermediate-temperature solid oxide fuel cells (2009) Electrochem. Commun., 11 (1), pp. 80-83; Lal, S., Yadav, C.S., Mukherjee, K., Effect of (Cu/Fe)O5 bipyramid size and separation on magnetic and dielectric properties of rare earth layered perovskite LaBaCuFeO5 and LuBaCuFeO5 (2019) J. Appl. Phys., 126 (14); Klyndyuk, A.I., Chizhova, E.A., Heterovalent cation substitutions in the layered compound YBaCuFeO5+δ (2007) Inorg. Mater., 43 (8), pp. 866-872; Pardo, H., Ortiz, W.A., Araujo-Moreira, F.M., Suescun, L., Toby, B., Quagliata, E., Mombrú, A.W., A new structure in the REBaCuFeO5+δ series: LaBaCuFeO5+δ. Structure and magnetic properties in the La1−xPrxBaCuFeO5+δ system (1999) Physica C: Supercond., 313 (1-2), pp. 105-114; Mombrú, A.W., Pardo, H., Suescun, L., Toby, B.H., Ortiz, W.A., Negreira, C.A., Araújo-Moreira, F.M., Influence of oxygen disorder on the magnetic properties of LaBaCuFeO5+δ: an EXAFS and neutron diffraction study (2021) Physica C. Supercond., 356 (1-2), pp. 149-159; Klyndyuk, A.L., Chizhova, E.A., The effect of La and Ba substitution on properties of LaBaCuFeO5+d (2008) Vestsi Akadehmii Navuk. Belarusi., 1, pp. 5-8; Saavedra Gaona, I.M., Munevar, J., Parra Vargas, C.A., Evaluation of rare earth substitution in the structural and magnetic properties of the REBa1-xSrxCuFeO5 (x= 0.0, 0.25 and 0.5) system (2022) Mater. Sci. Eng. B: Solid-State Mater. Adv. Technol., 280, p. 115719; Routray, K.L., Behera, D., Study of Structural and Electrical Transport Properties of YBaCuFeO5 Multiferroic (2015); Morin, M., Canévet, E., Raynaud, A., Bartkowiak, M., Sheptyakov, D., Ban, V., Medarde, M., Tuning magnetic spirals beyond room temperature with chemical disorder (2016) Nat. Commun., 7 (1), pp. 1-7; Lightfoot, P., Pei, S., Jorgensen, J.D., Chang, Y.C., Jiang, P.Z., Veal, B.W., Structural refinements of Yb2BaCuO5 and Lu2BaCuO5 by powder neutron diffraction (1990) J. Solid State Chem., 89 (2), pp. 85-388; Gomes, J.A., Sousa, M.H., da Silva, G.J., Tourinho, F.A., Mestnik-Filho, J., Itri, R., Azevedo, G.D.M., Depeyrot, J., Cation distribution in copper ferrite nanoparticles of ferrofluids: a synchrotron XRD and EXAFS investigation (2006) J. Magn. Magn. Mater., 300, pp. e213-e216; Saavedra Gaona, I.M., Caro Anzola, E.W., Turatti, A.M., Pimentel, J.L., Jr., Mesquita, F., Morán, O., Parra Vargas, C.A., Effects of TM-doping on structural, magnetic and transport properties in CaTi0.8TM0.2O3 (TM = Mo, Co, and Mn) (2021) Ceram. Int., 47 (7), pp. 9984-9989; Xiadong, Z., Romaguera, A., Fabelo, A., Fauth, F., Tuning the tilting of the spiral plane by Mn doping in YBaCuFeO5 multiferroic (2021) Acta Mater., 206 (6), p. 116608; Morin, M., Scaramucci, A., Bartkowiak, M., Pomjakushina, E., Deng, G., Sheptyakov, D., Medarde, M., Incommensurate magnetic structure, Fe/Cu chemical disorder, and magnetic interactions in the high temperature multiferroic YBaCuFeO5 (2015) Phys. Rev. B, 91 (6); Sedky, A., Salah, A., Fluctuation, diamagnetic transition, and FTIR spectra of La substituting Ca in (Bi, Pb): 2223 superconductor (2020) J. Supercond. Nov. Magn., 33 (12), pp. 3705-3715; Chizhova, E.A., Klyndyuk, A.I., Bashkirov, L.A., Petrov, G.S., Yanushkevich, K.I., Structure and properties of solid solutions in the system YBaCuFeO5-YBaCuCoO5 (2005) Russ. J. Appl. Chem., 78 (5), pp. 702-706; Zheng, C., Zhang, B., Butt, S., Liu, Y., Electrical and Thermal Conduction Behaviors in La-Substituted GdBaCuFeO5+δ Ceramics (2015) J. Am. Ceram. Soc., 98 (10), pp. 3179-3184; Klyndyuk, A., Layered perovskite-like oxides 0112 type. Structure, properties, and possible applications (2011) ChemInform, 42 (13); Kundys, B., Maignan, A., Simon, C., Multiferroicity with high-Tc in ceramics of the YBaCuFeO5 ordered perovskite (2009) Appl. Phys. Lett., 94 (7); Zhang, X., Romaguera, A., Sandiumenge, F., Magnetic properties of a highly ordered single crystal of the layered perovskite YBaCuFe0.95Mn0.05O5 (2022) J. Magn. Magn. Mater., 551, p. 169165; Dey, D., Nandy, S., Yadav, C.S., Taraphder, A., Nature of the spiral state, electric polarisation and magnetic transitions in Sr-doped YBaCuFeO5: A first-principles study (2017) Cond-mat, , arXiv:1703.07311; Gubkin, A.F., Sherstobitova, E.A., Terentyev, P.B., Hoser, A., Baranov, N.V., A cluster-glass magnetic state in R5Pd2 (R= Ho, Tb) compounds evidenced by AC-susceptibility and neutron scattering measurements (2013) J. Phys. Condens. Matter, 25 (23); Mombru, A.W., Christides, C., Lappas, A., Prassides, K., Pissas, M., Mitros, C., Niarchos, D., Magnetic structure of the oxygen-deficient perovskite YBaCuFeO5+δ (1994) Inorg. Chem., 33 (7), pp. 1255-1258; Wang, Y., Saal, J.E., Wu, P., Wang, J., Shang, S., Liu, Z.K., Chen, L.Q., First-principles lattice dynamics and heat capacity of BiFeO3 (2011) Acta Mater., 59 (10), pp. 4229-4234</t>
  </si>
  <si>
    <t>Gaona, I.M.S.; Grupo Física de Materiales (GFM), Avenida Central Del Norte 39-115 Tunja, Colombia; email: indry.saavedra@uptc.edu.co</t>
  </si>
  <si>
    <t>Elsevier Inc.</t>
  </si>
  <si>
    <t>MACHE</t>
  </si>
  <si>
    <t>Mater Charact</t>
  </si>
  <si>
    <t>2-s2.0-85133762402</t>
  </si>
  <si>
    <t>Mora L.Y.C., Tarazona D.Y.G., Bohórquez Quintero M.A., Barrera E.J.A., Ruíz J.S.U., Moreno D.M.A., Pérez Z.Z.O.</t>
  </si>
  <si>
    <t>57699614700;57700229900;57191594864;57699614800;56548013400;57699920600;57699294300;</t>
  </si>
  <si>
    <t>Plant Cell, Tissue and Organ Culture</t>
  </si>
  <si>
    <t>https://www.scopus.com/inward/record.uri?eid=2-s2.0-85130337962&amp;doi=10.1007%2fs11240-022-02317-1&amp;partnerID=40&amp;md5=d92a322f04f0171cb7a02fc4638ea5e1</t>
  </si>
  <si>
    <t>Grupo de Investigación BIOPLASMA, Facultad de Ciencias, Universidad Pedagógica y Tecnológica de Colombia, Avenida Central del Norte 39-115, Boyacá, Tunja, Colombia; Maestría en Ciencias Biológicas, Facultad de Ciencias, Universidad Pedagógica y Tecnológica de Colombia, Avenida Central del Norte 39-115, Boyacá, Tunja, Colombia; Maestría en Geomática, Facultad de Ciencias Agrarias, Universidad Nacional de Colombia, Carrera 30 # 45-03, Bld. 500, Bogotá D.C., Colombia</t>
  </si>
  <si>
    <t>Mora, L.Y.C., Grupo de Investigación BIOPLASMA, Facultad de Ciencias, Universidad Pedagógica y Tecnológica de Colombia, Avenida Central del Norte 39-115, Boyacá, Tunja, Colombia, Maestría en Ciencias Biológicas, Facultad de Ciencias, Universidad Pedagógica y Tecnológica de Colombia, Avenida Central del Norte 39-115, Boyacá, Tunja, Colombia; Tarazona, D.Y.G., Grupo de Investigación BIOPLASMA, Facultad de Ciencias, Universidad Pedagógica y Tecnológica de Colombia, Avenida Central del Norte 39-115, Boyacá, Tunja, Colombia; Bohórquez Quintero, M.A., Grupo de Investigación BIOPLASMA, Facultad de Ciencias, Universidad Pedagógica y Tecnológica de Colombia, Avenida Central del Norte 39-115, Boyacá, Tunja, Colombia; Barrera, E.J.A., Grupo de Investigación BIOPLASMA, Facultad de Ciencias, Universidad Pedagógica y Tecnológica de Colombia, Avenida Central del Norte 39-115, Boyacá, Tunja, Colombia; Ruíz, J.S.U., Maestría en Geomática, Facultad de Ciencias Agrarias, Universidad Nacional de Colombia, Carrera 30 # 45-03, Bld. 500, Bogotá D.C., Colombia; Moreno, D.M.A., Grupo de Investigación BIOPLASMA, Facultad de Ciencias, Universidad Pedagógica y Tecnológica de Colombia, Avenida Central del Norte 39-115, Boyacá, Tunja, Colombia; Pérez, Z.Z.O., Grupo de Investigación BIOPLASMA, Facultad de Ciencias, Universidad Pedagógica y Tecnológica de Colombia, Avenida Central del Norte 39-115, Boyacá, Tunja, Colombia</t>
  </si>
  <si>
    <t>The high nutritional potential of native potatoes makes them an invaluable genetic resource for breeding. However, pathogens have caused both yield and industrial quality losses, and plant tissue culture is a promising alternative to obtain clean plant material. We compared distinct segments excised from apical and lateral sprouts taken from tubers as initial explants for in vitro culture of sixteen native potato genotypes. Thus, apical-distal (AD), mid-apical, lateral-distal, and mid-lateral segments were all grown on Murashige &amp; Skoog medium. These explants were aseptic, reactive, and viable for all genotypes (with a probability greater than 30%), yielding cumulative proliferation rates of up to 1:10 individualizable segments, and about 86% of in vitro plants with 2 to 11 roots of up to 117 mm long. Responses were genotype-dependent during all stages of cultivation, and the best responding genotypes were Maravillosa, Duraznillo and Pepina Rodeo. On the other hand, AD sprouts were the best sprout type and segment for in vitro establishment, regardless of genotype. This is the first study of its kind with such a large range of Andean potato genotypes and should contribute to their germplasm conservation and increased multiplication efficiency. © 2022, The Author(s), under exclusive licence to Springer Nature B.V.</t>
  </si>
  <si>
    <t>Germplasm conservation; Micropropagation; Morphogenic potential; Native potato</t>
  </si>
  <si>
    <t>Conservation; Plants (botany); Germplasm conservation; Germplasms; In-vitro; Micropropagation; Morphogenic; Morphogenic potential; Native potato; Potato genotypes; Solanum tuberosum; Vitro propagation; Tissue culture; Breeding; Conservation; Cultivation; Explants; Genotypes; Probability; Sprouts; Tissue Culture</t>
  </si>
  <si>
    <t>The authors thank the Ministry of Science, Technology and Innovation of Colombia, the Government of Boyacá, Boyacá and Colombia Bio Program, the Universidad Pedagógica y Tecnológica de Colombia (UPTC), the Vice-rectory for Research and Extension of UPTC and the Young Researcher Program of the UPTC, the Mayor’s Office of the municipality of Chiscas, and the company Tesoros Nativos SAS, for financing and support during the development of the research. Additionally, the authors thank the BIOPLASMA-UPTC research group.</t>
  </si>
  <si>
    <t>Agramonte, D., (1999) Métodos biotecnológicos para la producción de semilla original de papa (Solanum tuberosum L.), , Instituto de Biotecnología de las Plantas, Cuba; Aguilar, M.E., Villalobos, V.M., Vasquez, N., Production of cocoa plants (Theobroma cacao L.) via micrografting of somatic embryos (1992) Vitr Cell Dev Biol Plant, 28P, pp. 15-19; Araque Barrera, E.J., Pacheco Díaz, J.E., Propagación y tuberización in vitro de dos variedades de papa (2018) Cienc en Desarro, 9, pp. 21-31; Arellano, M., García, M., Villavicencio, E., García, S., (2010) Producción de plántulas y semilla prebásica de variedades comerciales de papa libres de enfermedades, Instituto Nacional de Investigaciones Forestales, Agrícolas y Pecuarias, Centro de Investigación Regional Noreste, , 1, Campo Experimental Saltillo, Saltillo; Badoni, A., Chauhan, J.S., In vitro sterilization protocol for micropropagation of Solanum tuberosum cv. ‘Kufri Himalini’ (2010) Acad Arena, 2, pp. 24-27; Berdugo-Cely, J., Valbuena, R.I., Sánchez-Betancourt, E., Genetic diversity and association mapping in the colombian central collection of Solanum tuberosum L. Andigenum group using SNPs markers (2017) PLoS ONE, 12; Bradeen, J., Haynes, K., Introduction to potato (2011) Genetics genomics and breeding potato, pp. 6-14. , James M, (ed), CRC Press, Boca Raton; Bradshaw, J., Ramsay, G., Potato origin and production (2009) Advances in potato chemistry and technology, pp. 1-26. , 1, Elsevier Ltd, Amsterdam; Calliope, S., Oscar, M., Sammán, N., Biodiversity of andean potatoes: morphological, nutritional and functional characterization (2018) Food Chem, 238, pp. 42-50; Chanatásig, C., (2004) Inducción de la embriogénesis somática en clones superiores de cacao (Theobroma cacao L.), con resistencia a enfermedades fungosas, , Centro Agronómico Tropical de Investigación y Enseñanza CATIE, Cartago; Fawzia, E., Marwa, E., El-kazzaz, A.A., Micropropagation of four potato cultivars in vitro (2015) Acad J Agric Res, 3, pp. 184-188; Fock, I., Collonnier, C., Purwito, A., Resistance to bacterial wilt in somatic hybrids between Solanum tuberosum and Solanum phureja (2000) Plant Sci, 160, pp. 165-176; Gao, X., Zhang, Y., He, Z., Fu, X., Gibberellins (2017) Hormone metabolism and signaling in plants, pp. 107-160. , Li J, Li C, Smith SM, (eds), Academic Press, London; García-Águila, L., Rodríguez, M., La, O.M., Propagación in vitro de variedades cubanas de Solanum tuberosum L. ‘yuya’, ‘marinca’, ‘grettel’ e ‘Ibis’ (2015) Biotecnol Veg, 15, pp. 75-83; Ha, C.M., Jun, J.H., Fletcher, J.C., Shoot apical meristem form and function (2010) Curr Top Dev Biol, 91, pp. 103-140. , COI: 1:CAS:528:DC%2BC3cXhsFOgu7rP; Hardigan, M.A., Laimbeer, F.P.E., Newton, L., Genome diversity of tuber-bearing Solanum uncovers complex evolutionary history and targets of domestication in the cultivated potato (2017) Proc Natl Acad Sci USA, 114, pp. E9999-E10008; Hernández, Y., González, M., Efectos de la contaminación y oxidación fenólica en el establecimiento in vitro de frutales perennes (2010) Cultiv Trop, 31 (4); Huamán, X., Ruíz-Sanchéz, M.E., Guerrero-Abad, J.C., Propagación in vitro de segmentos nodales de cedro (Cedrela odorata L.) obtenidos a partir de semillas botánicas (2012) Folia Amaz, 21, p. 109; Igarza, J., Agramonte, D., Alvarado, Y., Empleo de métodos biotecnológicos en la producción de semilla de papa (2012) Biotecnol Veg, 21, pp. 3-24; Lizana, C., Sandaña, P., Behn, A., Potato (2021) Crop physiology case histories for major crops, pp. 550-587. , Sadras VO, Calderini DF, (eds), Academic Press, London; Machida, R., Diversity of potato genetic resources (2015) Breed Sci, 65, pp. 26-40; Mohapatra, P.P., Batra, V.K., Tissue culture of potato (Solanum tuberosum L.): a review (2017) Int J Curr Microbiol Appl Sci, 6, pp. 489-495. , COI: 1:CAS:528:DC%2BC1cXhsFKgurbK; Moreno, J.D., Valbuena, L., Colección colombiana de papa: riqueza de variabilidad genética para el mejoramiento del cultivo (2006) Corpoica Rev Innovación y Cambio Tecnológico, 4, pp. 16-24; Mroginski, L., Sansberro, P., Flaschland, E., Establecimiento de cultivos de tejidos vegetales (2010) Biotecnología y Mejoramiento Vegetal II, pp. 17-25. , Instituto Nacional de Tecnología Agropecuaria, Bue Aires; Mukul, J., Ginzberg, I., Adventitious root formation in crops-potato as an example (2020) Physiol Plant, 172, pp. 124-133; Murashige, T., Skoog, F., A revised medium for rapid growth and bio-assays with tobacco tissue cultures (1962) Physiol Plant, 15, pp. 473-497. , COI: 1:CAS:528:DyaF3sXksFKm; Naik, P.S., Buckseth, T., Recent advances in virus elimination and tissue culture for quality potato seed production (2018) Biotechnologies of crop improvement, pp. 131-158. , Gosal S, Wani S, (eds), Springer, Cham; Núñez-Zarantes, V.M., La tecnología doble haploide en el mejoramiento genético de frutas exóticas: uchuva, Physalis peruviana L., como estudio de caso (2020) Rev Colomb Biotecnol, 22, pp. 2-5; Rzepka-Plevnes, D., Kulpa, D., Wajda, A., Initiation of in vitro cultures of Lycopersicon peruvianum var. humifusum (2009) J Food Agric Environ, 7, pp. 576-580. , COI: 1:CAS:528:DC%2BD1MXmt1WqtLg%3D; (2019) SAS University edition virtual application, , SAS Institute Inc, Cary; Shahriyar, S., Akram, S., Khan, K., In vitro plant regeneration of potato (Solanum tuberosum L.) at the rate of different hormonal concentration (2015) Asian J Med Biol Res, 1, pp. 297-303; Singh, C.R., Review on problems and its remedy in plant tissue culture (2018) Asian J Biol Sci, 11, pp. 165-172; Slavov, S., Phytotoxins and in vitro screening for improved disease resistant plants (2005) Biotechnol Biotechnol Equip, 19, pp. 48-55; Tacoronte, M., Vielma, M., Olivo, A., Chacín, N., Efectos de nitratos y sacarosa en la propagación in vitro de tres variedades de papa nativa (2017) Rev Colomb Biotecnol; Tapia, M., Fries, A., Origen de las plantas cultivadas en los Andes (2007) Guía de campo de los cultivos andinos, pp. 1-7. , Organizaciólas Naciones Unidas para la Agricultura y la Alimentación (FAO) y Asociación Nacional de Productores Ecológicos del Perú (ANPE), Lima; Tejeda, L., Mollinedo, P., Aliaga-Rossel, E., Peñarrieta, J.M., Antioxidants and nutritional composition of 52 cultivars of native Andean potatoes (2020) Potato Res, 63, pp. 579-588; Tekielska, D., Peňázová, E., Kovács, T., Bacterial contamination of plant in vitro cultures in commercial production detected by high-throughput amplicon sequencing (2019) Acta Univ Agric Silvic Mendelianae Brun, 67, pp. 1005-1014; Tinjacá, S., Rodríguez, L., (2015) Catálogo de papas nativas de Nariño, , Universidad Nacional De Colombia, Bogota; Valderrama, A., Abril, V., Reyes, J., Propagación clonal in vitro de especies y variedades de papa (Solanum spp.) en función del tiempo (2018) Big Bang, 7, pp. 4-8; Xhulaj, D., Gixhari, B., In vitro micropropagation of potato (Solanum tuberosum L). cultivars (2018) Agric For, 64, pp. 105-112</t>
  </si>
  <si>
    <t>Moreno, D.M.A.; Grupo de Investigación BIOPLASMA, Avenida Central del Norte 39-115, Boyacá, Colombia; email: diana.arias04@uptc.edu.co</t>
  </si>
  <si>
    <t>PTCED</t>
  </si>
  <si>
    <t>2-s2.0-85130337962</t>
  </si>
  <si>
    <t>Botelho G., Fávaro V.V., Pérez S.A.</t>
  </si>
  <si>
    <t>6701608281;35145543300;57194509819;</t>
  </si>
  <si>
    <t>Uncomplemented subspaces in operator and polynomial ideals</t>
  </si>
  <si>
    <t>Revista Matematica Complutense</t>
  </si>
  <si>
    <t>10.1007/s13163-021-00408-9</t>
  </si>
  <si>
    <t>https://www.scopus.com/inward/record.uri?eid=2-s2.0-85113694903&amp;doi=10.1007%2fs13163-021-00408-9&amp;partnerID=40&amp;md5=50500daa37cc6335f2af908a877d0516</t>
  </si>
  <si>
    <t>Faculdade de Matemática, Universidade Federal de Uberlândia, Uberlândia, 38.400-902, Brazil; Escuela de Matemáticas y Estadística, Universidad Pedagógica y Tecnológica de Colombia, Tunja, Colombia</t>
  </si>
  <si>
    <t>Botelho, G., Faculdade de Matemática, Universidade Federal de Uberlândia, Uberlândia, 38.400-902, Brazil; Fávaro, V.V., Faculdade de Matemática, Universidade Federal de Uberlândia, Uberlândia, 38.400-902, Brazil; Pérez, S.A., Escuela de Matemáticas y Estadística, Universidad Pedagógica y Tecnológica de Colombia, Tunja, Colombia</t>
  </si>
  <si>
    <t>Generalizing a number of known linear and nonlinear results, we establish conditions for the space of linear operators belonging to a given operator ideal not to be complemented in the space of bounded linear operators, and for the space of n-homogeneous polynomials belonging to a given polynomial ideal not to be complemented in the space of continuous n-homogeneous polynomials. Illustrative examples are provided. © 2021, Universidad Complutense de Madrid.</t>
  </si>
  <si>
    <t>Banach spaces; Operator ideals; Polynomial ideals; Uncomplemented subspaces</t>
  </si>
  <si>
    <t>Universidad Pedagógica y Tecnológica de Colombia, UPTC: SGI 2954; Conselho Nacional de Desenvolvimento Científico e Tecnológico, CNPq: 304262/2018-8, 310500/2017-6, PPM-00450-17; Fundação de Amparo à Pesquisa do Estado de Minas Gerais, FAPEMIG: PPM-00217-18</t>
  </si>
  <si>
    <t>V.V. Fávaro: Supported by CNPq 310500/2017-6 and FAPEMIG Grant PPM-00217-18.</t>
  </si>
  <si>
    <t>The authors thank the referees for their valuable suggestions that improved the final version of the manuscript. This paper was written while Sergio A. Pérez was a Postdoctoral Fellow in the School of Mathematics and Statistics at Universidad Pedagógica y Tecnológica de Colombia. He thanks Professor Richard Alexander De la Cruz Guerrero for being his advisor in this work. Sergio A. Pérez also thanks Fondo Nacional De Financiamiento Para La Ciencia, La Tecnología Y La Innovación “Francisco José De Caldas”- Minciencias and the Vicerrectoría de Investigación y Extensión (VIE) of the Universidad Pedagógica y Tecnológica de Colombia for supporting this project with SGI 2954. Finally this work will be part of the Grupo de Investigación de Ecuaciones Diferenciales, Modelación y Simulación (GEDMYS)-UPTC.</t>
  </si>
  <si>
    <t>G. Botelho: Supported by CNPq Grant 304262/2018-8 and Fapemig Grant PPM-00450-17.</t>
  </si>
  <si>
    <t>Aron, R.M., Rueda, P., I -bounded holomorphic functions (2015) J. Nonlinear Convex Anal., 16 (12), pp. 2539-2551; Aron, R.M., Schottenloher, M., Compact holomorphic mappings on Banach spaces and the approximation property (1976) J. Funct. Anal., 21, pp. 7-30; Bator, E., Lewis, P., Complemented spaces of operators (2002) Bull. Pol. Acad. Sci. Math., 50 (4), pp. 413-416; Berrios, S., Botelho, G., Approximation properties determined by operator ideals (2012) Stud. Math., 208, pp. 97-116; Bessaga, C., Pełczyński, A., On bases and unconditional convergence of series in Banach spaces (1958) Stud. Math., 17, pp. 151-164; Blasco, F., Complementation of symmetric tensor products and polynomials (1997) Stud. Math., 123, pp. 165-173; Botelho, G., Braunss, H.-A., Junek, H., Pellegrino, D., Holomorphy types and ideals of multilinear mappings (2006) Stud. Math., 177 (1), pp. 43-65; Botelho, G., Pellegrino, D., Two new properties of ideals of polynomials and applications (2005) Indag. Math. (N.S.), 16 (2), pp. 157-169; Botelho, G., Pellegrino, D., On symmetric ideals of multilinear mappings between Banach spaces (2006) J. Aust. Math. Soc., 81 (1), pp. 141-148; Botelho, G., Pellegrino, D., Rueda, P., On composition ideals of multilinear mappings and homogeneous polynomials (2007) Publ. Res. Inst. Math. Sci., 43, pp. 1139-1155; Botelho, G., Torres, E., Strongly factorable multilinear operators on Banach spaces (2018) Colloq. Math., 154, pp. 15-30; Caraballo, B.M., Fávaro, V.V., Strongly mixing convolution operators on Fréchet spaces of entire functions of a given type and order (2020) Integral Equ. Oper. Theory, 92 (4), p. 27; Carando, D., Dimant, V., Muro, S., Coherent sequences of polynomial ideals on Banach spaces (2009) Math. Nachr., 282 (8), pp. 1111-1133; Cilia, R., Gutiérrez, J.M., Universal mappings for certain classes of operators and polynomials between Banach spaces (2017) Math. Nachr., 290 (17-18), pp. 2788-2799; Çaliskan, E., Rueda, P., On distinguished polynomials and their projections (2012) Ann. Acad. Sci. Fenn. Math., 37, pp. 595-603; Defant, A., Floret, K., (1993) Tensor Norms and Operator Ideals, , North-Holland, Amsterdam; Diestel, J., (1984) Sequences and Series in Banach Spaces, , Springer, New York; Diestel, J., Jarchow, H., Tonge, A., (1995) Absolutely Summing Operators, , Cambridge Stud. Adv. Math. 43, Cambridge Univ. Press, Cambridge; Diestel, J., Jarchow, H., Pietsch, A., (2001) Operator Ideals, 1, pp. 437-496. , Handbook of the geometry of Banach spaces, North-Holland, Amsterdam; Diestel, J., Uhl, J., (1977) Vector Measures, , Mathematical Surveys Number 15, American Mathematical Society, Providence; Dineen, S., (1999) Complex Analysis on Infinite Dimensional Spaces, , Springer, Berlin; Emmanuele, G., Remarks on the uncomplemented subspace W(E; F) (1991) J. Funct. Anal., 99, pp. 125-130; Emmanuele, G., A remark on the containment of c in spaces of compact operators (1992) Math. Proc. Camb. Philos. Soc., 111, pp. 331-335; Fávaro, V.V., Mujica, J., Convolution operators on spaces of entire functions (2018) Math. Nachr., 291 (1), pp. 41-54; Feder, M., On the non-existence of a projection onto the space of compact Operators (1982) Can. Math. Bull., 25, pp. 78-81; Floret, K., García, D., On ideals of polynomials and multilinear mappings between Banach spaces (2003) Arch. Math. (Basel), 81 (3), pp. 300-308; Ghenciu, I., Complemented spaces of operators (2005) Proc. Am. Math. Soc., 133 (9), pp. 2621-2623; Ghenciu, I., Lewis, P., Unconditional convergence in the strong operator topology and ℓ∞ (2011) Glasg. Math. J., 53, pp. 583-598; González, M.G., Gutiérrez, J.M., The polynomial property (V) (2000) Arch. Math. (Basel), 75 (4), pp. 299-306; John, K., On the uncomplemented subspace K(X; Y) (1992) Czechoslov. Math. J., 42, pp. 167-173; Kalton, N., Spaces of compact operators (1974) Math. Ann., 208, pp. 267-278; Lassalle, S., Turco, P., Polynomials and holomorphic functions on A -compact sets in Banach spaces (2018) J. Math. Anal. Appl., 463 (2), pp. 1092-1108; Mujica, J., (2010) Complex Analysis in Banach Spaces, , Dover Publ, Mineola; Muro, S., Pinasco, D., Savransky, M., Dynamics of non-convolution operators and holomorphy types (2018) J. Math. Anal. Appl., 468 (2), pp. 622-641; Pełczyński, A., On Banach spaces containing L1(μ) (1968) Stud. Math., 30, pp. 231-246; Pełczyński, A., On weakly compact polynomial operators on B-spaces with Dunford–Pettis Property (1963) Bull. Pol. Acad. Sci. Math., 11, pp. 371-377; Pérez, S., Complemented subspaces of homogeneous polynomials (2018) Rev. Mat. Complut., 31, pp. 153-161; Pietsch, A., (1980) Operator Ideals, , North-Holland, Amsterdam; Pietsch, A., Ideals of multilinear functionals (1983) Proceedings of the Second International Conference on Operator Algebras, Ideals and Their Applications in Theoretical Physics, Leipzig Teubner Texte Math, 62, pp. 185-199; Ribeiro, J., Santos, F., Generalized multiple summing multilinear operators on Banach spaces (2019) Mediterr. J. Math., 16 (5), p. 20; Ribeiro, J., Santos, F., Torres, E.R., Coherence and compatibility: a stronger approach (2020) Linear Multilinear Algebra; Ryan, R., (1980) Applications of Topological Tensor Products to Infinite Dimensional Holomorphy, , Ph. D. Thesis, Trinity College, Dublin; Stephani, I., Generating systems of sets and quotients of surjective operator ideals (1980) Math. Nachr., 99, pp. 13-27</t>
  </si>
  <si>
    <t>Pérez, S.A.; Escuela de Matemáticas y Estadística, Colombia; email: sergio.perez05@uptc.edu.co</t>
  </si>
  <si>
    <t>Springer-Verlag Italia s.r.l.</t>
  </si>
  <si>
    <t>Rev. Mat. Complutense</t>
  </si>
  <si>
    <t>2-s2.0-85113694903</t>
  </si>
  <si>
    <t>Calonje M., Betancur J., Lindstrom A., Lopez-Gallego C., Castro J., Castro C., Niño S.M., Barraez D.C.</t>
  </si>
  <si>
    <t>36906337500;6602076663;7005981721;22954345100;57205319719;57218793878;8538684600;57968263800;</t>
  </si>
  <si>
    <t>Zamia orinoquiensis (Zamiaceae, Cycadales), a new species from the western Orinoquía region of Colombia</t>
  </si>
  <si>
    <t>Phytotaxa</t>
  </si>
  <si>
    <t>10.11646/phytotaxa.556.2.2</t>
  </si>
  <si>
    <t>https://www.scopus.com/inward/record.uri?eid=2-s2.0-85142019221&amp;doi=10.11646%2fphytotaxa.556.2.2&amp;partnerID=40&amp;md5=a792825b541b71532d47ada4fdae513b</t>
  </si>
  <si>
    <t>Montgomery Botanical Center, 11901 Old Cutler Road, Coral Gables, FL  33156, United States; Sociedad Colombiana de Cycadas, Antioquia, Medellín, Colombia; Instituto de Ciencias Naturales, Universidad Nacional de Colombia (sede Bogotá), Cra. 30 # 45-03, edificio 425, Bogotá, Colombia; Global Biodiversity Conservancy, 144/124 Moo 3, Soi Bua Thong, Bangsalae, Sattahip, Chonburi, 20250, Thailand; Instituto de Biología, Universidad de Antioquia, Calle 67 #53-108, Medellín, Antioquia, Colombia; Doctorado en Biodiversidad, UNELLEZ, Herbario PORT, Mesa de Cavacas, Guanare, estado, Portuguesa, Venezuela</t>
  </si>
  <si>
    <t>Calonje, M., Montgomery Botanical Center, 11901 Old Cutler Road, Coral Gables, FL  33156, United States, Sociedad Colombiana de Cycadas, Antioquia, Medellín, Colombia; Betancur, J., Instituto de Ciencias Naturales, Universidad Nacional de Colombia (sede Bogotá), Cra. 30 # 45-03, edificio 425, Bogotá, Colombia; Lindstrom, A., Global Biodiversity Conservancy, 144/124 Moo 3, Soi Bua Thong, Bangsalae, Sattahip, Chonburi, 20250, Thailand; Lopez-Gallego, C., Sociedad Colombiana de Cycadas, Antioquia, Medellín, Colombia, Instituto de Biología, Universidad de Antioquia, Calle 67 #53-108, Medellín, Antioquia, Colombia; Castro, J., Sociedad Colombiana de Cycadas, Antioquia, Medellín, Colombia, Instituto de Biología, Universidad de Antioquia, Calle 67 #53-108, Medellín, Antioquia, Colombia; Castro, C., Instituto de Ciencias Naturales, Universidad Nacional de Colombia (sede Bogotá), Cra. 30 # 45-03, edificio 425, Bogotá, Colombia; Niño, S.M., Doctorado en Biodiversidad, UNELLEZ, Herbario PORT, Mesa de Cavacas, Guanare, estado, Portuguesa, Venezuela; Barraez, D.C., Doctorado en Biodiversidad, UNELLEZ, Herbario PORT, Mesa de Cavacas, Guanare, estado, Portuguesa, Venezuela</t>
  </si>
  <si>
    <t>ZamiaorinoquiensisCalonje,Betancur&amp;A.Lindstr.,anewspeciesfromthewesternOrinoquíaregionofColombiaisdescribed and illustrated. The species is segregated from and compared to Z. muricata Willd., the latter which is morphologically recharacterized, illustrated, and recircumscribed to include populations from tropical dry forest and tropical moist forests in the Lara-Falcón Formation and the Cordillera de la Costa natural regions of Venezuela, as well as the Serranía de Macuira in La Guajira, Colombia. Zamia orinoquiensis is morphologically distinguished from Z. muricata by its leaves bearing fewer, coriaceous (vs. papyraceous) leaflets, eophylls with 2 (vs. 4) leaflets, pollen strobili that are brown to reddish brown (vs. cream to tan) with larger microsporophylls bearing more numerous microsporangia, and ovulate strobili that are dark brown to black (vs. dark olive green to olive brown) at maturity. Copyright © 2022 Magnolia Press.</t>
  </si>
  <si>
    <t>Colombian Cordillera Oriental; Gymnosperms; Llanos Orientales; Orinoquía</t>
  </si>
  <si>
    <t>Fieldwork funded by the Montgomery Botanical Center’s Plant Exploration Fund and The Cycad Society, Inc. Freddy Parra provided assistance in the field in Cundinamarca. Leyda Rodríguez (VEN herbarium) provided specimen images of Venezuelan Zamia muricata. Alicia Rojas (Universidad Industrial de Santander) provided access to cultivated plants of Z. orinoquiensis for study at Jardín Botánico Eloy Valenzuela in Floridablanca, Santander. Robinson Galindo (Parques Nacionales Naturales de Colombia) and Hernando García (Instituto Humboldt) provided images for study of Z. muricata in habitat in the Serrania de Macuira of Guajira, Colombia. Santiago Madriñan (Jardín Botánico de Cartagena “Guillermo Piñeres”) and Jorge Alcalá provided images of plants from the Serranía de Macuira in cultivation.</t>
  </si>
  <si>
    <t>Bachman, S.P., Moat, J., Hill, A., de la Torre, J., Scott, B., Supporting Red List threat assessments with GeoCAT: geospatial conservation assessment tool (2011) ZooKeys, p. 150. , https://doi.org/10.3897/zookeys.150.2109; Calonje, M., Stevenson, D.W., Osborne, R., The World List of Cycads (2020) Cycads, 5, pp. 77-119; Díaz-Pérez, C.N., Morales-Puentes, M.E., (2018) Las zamias: plantas con semillas mas antiguas de la tierra, , https://repositorio.uptc.edu.co/bitstream/001/4269/1/3478.pdf, Flora de Aguazul: muestra de diversidad. Grupo Sistemática Biológica (SisBio) UPTC. (Accessed 15 November 2021); Fick, S.E., Hijmans, R.J., WorldClim 2: new 1-km spatial resolution climate surfaces for global land areas (2017) International Journal of Climatology, 37, pp. 4302-4315. , https://doi.org/10.1002/joc.5086; Geiger, R., (1954) Classification of climates after W. Köppen. Landolt-Börnstein – Zahlenwerte und Funktionen aus Physik, Chemie, Astronomie, Geophysik und Technik, alte Serie, , Springer, Berlin; Holdridge, L.R., (1977) Life zone ecology, , San José, Costa Rica: IICA. Tropical Science Center; (2022) Guidelines for using the IUCN Red List Categories and Criteria, , https://doi.org/10.5962/p.37027, Version 15. Prepared by the Standards and Petitions Committee; Karger, D.N., Conrad, O., Bohner, J., Kawohl, T., Kreft, H., Soria-Auza, R.W., Zimmermann, N.E., Kessler, M., Climatologies at high resolution for the earth’s land surface areas (2017) Sci Data, 4, p. 170122. , https://doi.org/10.1038/sdata.2017.122; Köppen, W., Klassification der Klimate nach Temperatur, Niederschlag and Jahreslauf (1918) Petermanns Geographische Mitteilungen, 64, pp. 193-203. , 243–248; Kottek, M., Grieser, J., Beck, C., Rudolf, B., Rubel, F., World Map of the Köppen-Geiger climate classification updated (2006) Meteorologische Zeitschrift, 15, pp. 259-263. , https://doi.org/10.1127/0941-2948/2006/0130; López-Gallego, C., (2015) Plan de acción para la conservación de las zamias de Colombia, , Bogotá, D.C., Colombia: Ministerio de ambiente y desarrollo sostenible, Colombia Universidad de Antioquia; Ospina, D.R., (2005) La Orinoquia de Colombia, p. 190. , Banco de Occidente Credencial, Bogotá; Sandwith, N.Y., Humboldt and Bonpland’s Itinerary in Venezuela (1925) Bulletin of Miscellaneous Information (Royal Botanic Gardens, Kew), 1925, pp. 295-310. , https://doi.org/10.2307/4107508; Schneider, C.A., Rasband, W.S., Eliceiri, K.W., NIH Image to ImageJ: 25 years of image analysis (2012) Nature Methods, 9 (7), pp. 671-675. , https://doi.org/10.1038/nmeth.2089; Steyermark, J., (1994) Flora del parque nacional Morrocoy, , Caracas: Fundación Instituto Botánico de Venezuela: Agencia Española de Cooperación Internacional; Sugden, A.M., The Vegetation of the Serranía de Macuira, Guajira, Colombia: A Contrast of Arid Lowlands and an Isolated Cloud Forest (1982) Journal of the Arnold Arboretum, 63, pp. 1-30. , https://doi.org/10.5962/p.37027; Thiers, B., (2020) Index Herbariorum. Part I: The herbaria of the world, , https://www.sweetgum.nybg.org/ih, New York Botanical Garden. (accessed 7 July 2022); Willdenow, C.L., (1806) Caroli a Linné Species Plantarum exhibentes plantas rite cognitas adgenera relatas cum differentiis specificis, nominibus trivialibus, synonymis selectislocis natalibus, secundum systema sexuale digestas, editio quarta, 4 (2). , G.C. Nauk, Berlin</t>
  </si>
  <si>
    <t>Calonje, M.; Montgomery Botanical Center, 11901 Old Cutler Road, United States; email: michaelc@montgomerybotanical.org</t>
  </si>
  <si>
    <t>Magnolia Press</t>
  </si>
  <si>
    <t>2-s2.0-85142019221</t>
  </si>
  <si>
    <t>Useche L.S.V., Useche C.V.</t>
  </si>
  <si>
    <t>57427876000;57915189500;</t>
  </si>
  <si>
    <t>Anaesthesia, Pain and Intensive Care</t>
  </si>
  <si>
    <t>https://www.scopus.com/inward/record.uri?eid=2-s2.0-85139244667&amp;doi=10.35975%2fapic.v26i4.1970&amp;partnerID=40&amp;md5=f46d17bdd29a8449fb5d207f276846d3</t>
  </si>
  <si>
    <t>Clínica Reina Sofía, Universidad Pedagógica y Tecnológica de Colombia, Colombia</t>
  </si>
  <si>
    <t>Useche, L.S.V., Clínica Reina Sofía, Universidad Pedagógica y Tecnológica de Colombia, Colombia; Useche, C.V., Clínica Reina Sofía, Universidad Pedagógica y Tecnológica de Colombia, Colombia</t>
  </si>
  <si>
    <t>The authors have touched a very important aspect of anesthesia and surgical practice, regarding the period of preoperative fasting for patients who are on enteral feeding. The authors recommend a fasting time between 45 min and 4 h (if the airway is to be manipulated during the procedure), is adequate to perform surgical procedures in patients with enteral tube nutrition. In other patients gastric suctioning before the procedure might be adequate. © 2022 Faculty of Anaesthesia, Pain and Intensive Care, AFMS. All rights reserved.</t>
  </si>
  <si>
    <t>Adult; Critical Illness / therapy; Elective Surgical Procedures; Enteral nutrition; Fasting; Humans; Intensive Care Units; Nutritional Status; Patient Safety; Practice Guidelines as Topic; Preoperative Care / methods; Preoperative Period; Risk Management</t>
  </si>
  <si>
    <t>abdominal surgery; airway; anesthesia; Article; caloric intake; consensus; dietary intake; enteric feeding; extubation; fasting; fasting time; gastrostomy; human; laparotomy; meta analysis (topic); practice guideline; preoperative period; pulmonary aspiration; stomach content; surgical technique; time; tracheostomy; vomiting</t>
  </si>
  <si>
    <t>Practice Guidelines for Preoperative Fasting and the Use of Pharmacologic Agents to Reduce the Risk of Pulmonary Aspiration: Application to Healthy Patients Undergoing Elective Procedures: An Updated Report by the American Society of Anesthesiologists Task Force on Preoperative Fasting and the Use of Pharmacologic Agents to Reduce the Risk of Pulmonary Aspiration (2017) Anesthesiology, 126, pp. 376-393. , https://doi.org/10.1097/ALN.0000000000001452, [PubMed]; Jenkins, B, Calder, PC, Marino, LV., Evaluation of implementation of fasting guidelines for enterally fed critical care patients (2019) Clin Nutr, 38 (1), pp. 252-257. , Feb; [PubMed]; Gonik, N, Tassler, A, Ow, TJ, Smith, RV, Shuaib, S, Cohen, HW, Sarta, C, Schiff, BA., Randomized Controlled Trial Assessing the Feasibility of Shortened Fasts in Intubated ICU Patients Undergoing Tracheotomy (2016) Otolaryngol Head Neck Surg, 154 (1), pp. 87-93. , Jan; [PubMed]; Segaran, E, Barker, I, Hartle, A., Optimising enteral nutrition in critically ill patients by reducing fasting times (2016) J Intensive Care Soc, 17 (1), pp. 38-43. , Feb; [PubMed] PMCID: PMC5606376; Jiyong, J, Tiancha, H, Huiqin, W, Jingfen, J., Effect of gastric versus post-pyloric feeding on the incidence of pneumonia in critically ill patients: observations from traditional and Bayesian random-effects meta-analysis (2013) Clin Nutr, 32 (1), pp. 8-15. , Feb; [PubMed]</t>
  </si>
  <si>
    <t>Useche, L.S.V.; Clínica Reina Sofía, Colombia; email: leonelvegau@gmail.com</t>
  </si>
  <si>
    <t>Faculty of Anaesthesia, Pain and Intensive Care, AFMS</t>
  </si>
  <si>
    <t>2-s2.0-85139244667</t>
  </si>
  <si>
    <t>Díaz-Valencia B.F., Moncada-Villa E., Gómez F.R., Porras-Montenegro N., Mejía-Salazar J.R.</t>
  </si>
  <si>
    <t>56330816800;55228664300;57103605300;10642104700;35223639100;</t>
  </si>
  <si>
    <t>https://www.scopus.com/inward/record.uri?eid=2-s2.0-85137585637&amp;doi=10.3390%2fmolecules27165312&amp;partnerID=40&amp;md5=77daf7db4d43e7c235934b925e195fa7</t>
  </si>
  <si>
    <t>Departamento de Física, Universidad del Valle, A.A., Cali, 25360, Colombia; Escuela de Física, Universidad Pedagógica y Tecnológica de Colombia, Avenida Central del Norte, Tunja, 39115, Colombia; Instituto de Física de São Carlos, Universidade de São Paulo, P.O. Box 369, São Carlos, 13566-590, Brazil; Instituto Nacional de Telecomunicações (Inatel), Santa Rita do Sapucaí, 37540-000, Brazil</t>
  </si>
  <si>
    <t>Díaz-Valencia, B.F., Departamento de Física, Universidad del Valle, A.A., Cali, 25360, Colombia; Moncada-Villa, E., Escuela de Física, Universidad Pedagógica y Tecnológica de Colombia, Avenida Central del Norte, Tunja, 39115, Colombia; Gómez, F.R., Instituto de Física de São Carlos, Universidade de São Paulo, P.O. Box 369, São Carlos, 13566-590, Brazil; Porras-Montenegro, N., Departamento de Física, Universidad del Valle, A.A., Cali, 25360, Colombia; Mejía-Salazar, J.R., Instituto Nacional de Telecomunicações (Inatel), Santa Rita do Sapucaí, 37540-000, Brazil</t>
  </si>
  <si>
    <t>We demonstrate a concept for the giant enhancement of the transverse magneto-optical Kerr effect (TMOKE) using bulk plasmon polariton (BPP) modes in non-magnetic multilayer hyperbolic metamaterials (HMMs). Since the BPP modes are excited through the attenuated total reflection (ATR) mechanism, using a Si-based prism-coupler, we considered a single dielectric magneto-optical (MO) spacer between the prism and the HMM. The working wavelength was estimated, using the effective medium approach for a semi-infinite dielectric-plasmonic multilayer, considering the region where the system exhibits type II HMM dispersion relations. Analytical results, by means of the scattering matrix method (SMM), were used to explain the physical principle behind our concept. Numerical results for giant TMOKE values (close to their maximum theoretical values, (Formula presented.)) were obtained using the finite element method (FEM), applying the commercial software COMSOL Multiphysics. Our proposal comprises a simple and experimentally feasible structure that enables the study of MO phenomena in HMMs, which may find application in future nanostructured magnetoplasmonic metamaterials for active nanophotonic devices. © 2022 by the authors.</t>
  </si>
  <si>
    <t>magneto-optical materials; magnetoplasmonics; TMOKE</t>
  </si>
  <si>
    <t>Departamento Administrativo de Ciencia, Tecnología e Innovación (COLCIENCIAS): 848; Instituto Nacional de Telecomunicações; Conselho Nacional de Desenvolvimento Científico e Tecnológico, CNPq: 314671/2021-8; Universidade de São Paulo, USP; Ministério da Ciência, Tecnologia, Inovações e Comunicações, MCTIC: 01245.010604/2020-14</t>
  </si>
  <si>
    <t>Partial financial support was received from RNP, with resources from MCTIC, Grant No. 01245.010604/2020-14, under the Brazil 6G project of the Radiocommunication Reference Center (Centro de Referência em Radiocomunicações—CRR) of the National Institute of Telecommunications (Instituto Nacional de Telecomunicações—Inatel), Brazil. We also acknowledge financial support from the Brazilian agencies National Council for Scientific and Technological Development-CNPq (314671/2021-8). B. F. Díaz-Valencia acknowledges the financial support from the Colombian agency COLCIENCIAS (Postdoctoral Fellowship—No. 848). F. Reyes-Gómez acknowledges the financial support from the University of São Paulo (Postdoctoral Fellowship—PIPAE).</t>
  </si>
  <si>
    <t>Moccia, M., Castaldi, G., Galdi, V., Alù, A., Engheta, N., Optical isolation via unidirectional resonant photon tunneling (2014) J. Appl. Phys, 115, p. 043107; Shoji, Y., Shirato, Y., Mizumoto, T., Silicon Mach–Zehnder interferometer optical isolator having 8 nm bandwidth for over 20 dB isolation (2014) Jpn. J. Appl. Phys, 53, p. 022202; Belotelov, V.I., Doskolovich, L.L., Zvezdin, A.K., Extraordinary Magneto-Optical Effects and Transmission through Metal-Dielectric Plasmonic Systems (2007) Phys. Rev. Lett, 98, p. 077401. , 17359058; Gambino, R.J., Suzuki, T., (2000) Magneto-Optical Recording Materials, , 1st ed., IEEE Press, Hoboken, NJ, USA; Vahaplar, K., Kalashnikova, A.M., Kimel, A.V., Hinzke, D., Nowak, U., Chantrell, R., Tsukamoto, A., Rasing, T., Ultrafast Path for Optical Magnetization Reversal via a Strongly Nonequilibrium State (2009) Phys. Rev. Lett, 103, p. 117201. , 19792396; Belyaev, V.K., Rodionova, V.V., Grunin, A.A., Inoue, M., Fedyanin, A.A., Magnetic field sensor based on magnetoplasmonic crystal (2020) Sci. Rep, 10, p. 7133; Caballero, B., García-Martín, A., Cuevas, J.C., Hybrid Magnetoplasmonic Crystals Boost the Performance of Nanohole Arrays as Plasmonic Sensors (2016) ACS Photonics, 3, pp. 203-208; Kuei-Hsu, C., En-Ping, L., Te-Chang, C., Chih-Huang, L., Liang-Wei, W., Ko-Wei, C., Gwo-Bin, L., Ming-Chang, M.L., Application of strong transverse magneto-optical Kerr effect on high sensitive surface plasmon grating sensors (2014) Opt. Express, 22, p. 19794; Zvezdin, A.K., Kotov, V.A., (1997) Modern Magnetooptics and Magnetooptical Materials, , 1st ed., Taylor and Francis, London, UK; Halagacka, L., Vanwolleghem, M., Postava, K., Dagens, B., Pistora, J., Coupled mode enhanced giant magnetoplasmonics transverse Kerr effect (2013) Opt. Express, 21, p. 21741; Ignatyeva, D.O., Knyazev, G.A., Kapralov, P.O., Dietler, G., Sekatskii, S.K., Belotelov, V.I., Magneto-optical plasmonic heterostructure with ultranarrow resonance for sensing applications (2016) Sci. Rep, 6, p. 28007; Rizal, C., Kapralov, P.O., Ignatyeva, D., Belotelov, V., Pisana, S., Comparison of the effects of surface plasmon resonance and the transverse magneto-optic Kerr effect in magneto-optic plasmonic nanostructures (2020) J. Phys. D Appl. Phys, 53, p. 02LT02; Almpanis, E., Amanollahi, M., Zamani, M., Controlling the transverse magneto-optical Kerr effect with near-zero refractive index bi-gyrotropic metamaterials (2020) Opt. Mater, 99, p. 109539; Diaz-Valencia, B.F., Mejía-Salazar, J.R., Oliveira, O.N., Jr., Porras-Montenegro, N., Albella, P., Enhanced Transverse Magneto-Optical Kerr Effect in Magnetoplasmonic Crystals for the Design of Highly Sensitive Plasmonic (Bio)sensing Platforms (2017) ACS Omega, 2, pp. 7682-7685. , 30023560; Mejía-Salazar, J.R., Oliveira, O.N., Jr., Plasmonic Biosensing (2018) Chem. Rev, 118, p. 10617. , 30247025; Rizal, C., Manera, M.G., Ignatyeva, D.O., Mejía-Salazar, J.R., Rella, R., Belotelov, V.I., Pineider, F., Maccaferri, N., Magnetophotonics for sensing and magnetometry toward industrial applications (2021) J. Appl. Phys, 130, p. 230901; Pfaffenbach, E.S., Carvalho, W.O.F., Oliveira, O.N., Jr., Mejía-Salazar, J.R., Design of Nanoarchitectures for Magnetoplasmonic Biosensing with Near-Zero-Transmittance Conditions (2021) ACS Appl. Mater. Int, 13, p. 60672. , 34882403; Kolmychec, I.A., Pomozov, A.R., Leontiev, A.P., Napolskii, K.S., Murzina, T.V., Magneto-optical effects in hyperbolic metamaterials (2018) Opt. Lett, 43, p. 3917; Fan, B., Nasir, M.E., Nicholls, L.H., Zayats, A.V., Podolskiy, V.A., Magneto-Optical Metamaterials: Nonreciprocal Transmission and Faraday Effect Enhancement (2019) Adv. Opt. Mater, 7, p. 1801420; Wang, X., Wang, H., Jian, J., Rutherford, B.X., Gao, X., Xu, X., Zhang, X., Wang, H., Metal-Free Oxide-Nitride Heterostructure as a Tunable Hyperbolic Metamaterial Platform (2020) Nano Lett, 20, p. 6614; Wang, X., Wang, H., Jian, J., Wang, H., Liu, J., Pachaury, Y., Lu, P., Xu, X., Nitride-Oxide-Metal Heterostructure with Self-Assembled Core–Shell Nanopillar Arrays: Effect of Ordering on Magneto-Optical Properties (2021) Small, 17, p. 2007222; Moncada-Villa, E., Oliveira, O.N., Jr., Mejía-Salazar, J.R., Uniaxial ε-near-zero metamaterials for giant enhancement of the transverse magneto-optical Kerr effect (2020) Phys. Rev. B, 102, p. 165304; Díaz-Valencia, B.F., Porras-Montenegro, N., Oliveira, O.N., Jr., Mejía-Salazar, J.R., Nanostructured Hyperbolic Metamaterials for Magnetoplasmonic Sensors (2022) ACS Appl. Nano Mater, 5, p. 1740; Poddubny, A., Iorsh, I., Belov, P., Kivshar, Y., Hyperbolic metamaterials (2013) Nat. Photon, 7, pp. 948-957; Wang, X., Choi, J., Liu, J., Malis, O., Li, X., Bermel, P., Zhang, X., Wang, H., 3D Hybrid Trilayer Heterostructure: Tunable Au Nanorods and Optical Properties (2020) ACS Appl. Mater. Interf, 12, pp. 45015-45022. , 32960570; Sreekanth, K.V., Alapan, Y., ElKabbash, M., Ilker, E., Hinczewski, M., Gurkan, U.A., Luca, A.D., Strangi, G., Extreme sensitivity biosensing platform based on hyperbolic metamaterials (2016) Nat. Mater, 15, p. 621. , 27019384; Chen, X., Zhang, C., Yang, F., Liang, G., Li, Q., Guo, L.J., Plasmonic Lithography Utilizing Epsilon Near Zero Hyperbolic Metamaterial (2017) ACS Nano, 11, p. 9863; Avrutsky, I., Salakhutdinov, I., Elser, J., Podolskiy, V., Highly confined optical modes in nanoscale metal-dielectric multilayers (2007) Phys. Rev. B, 75, p. 241402; Díaz-Valencia, B.F., Extraordinary transverse magneto-optical Kerr effect through excitation of bulk plasmon polariton modes in type II magneto-optical hyperbolic metamaterials (2021) Opt. Lett, 46, p. 4863; Wei, D., Harris, C., Law, S., Volume plasmon polaritons in semiconductor hyperbolic metamaterials (2017) Opt. Mater. Express, 7, pp. 2672-2681; Bi, L., Hu, J., Jiang, P., Kim, H.S., Kim, D.H., Onbasli, M.C., Dionne, G.F., Ross, C.A., Magneto-Optical Thin Films for On-Chip Monolithic Integration of Non-Reciprocal Photonic Devices (2013) Materials, 6, pp. 5094-5117; Onbasli, M.C., Goto, T., Sun, X., Huynh, N., Ross, C.A., Integration of bulk-quality thin film magneto-optical cerium-doped yttrium iron garnet on silicon nitride photonic substrates (2014) Opt. Exp, 22, pp. 25183-25192; Onbasli, M.C., Beran, L., Zahradník, M., Kučera, M., Antoš, R., Mistrík, J., Dionne, G.F., Ross, C.A., Optical and magneto-optical behavior of Cerium Yttrium Iron Garnet thin films at wavelengths of 200–1770 nm (2016) Sci. Rep, 6, p. 23640. , 27025269; Sreekanth, K.V., Luca, A.D., Strangi, G., Experimental demonstration of surface and bulk plasmon polaritons in hypergratings (2013) Sci. Rep, 3, p. 3291. , 24256947; Sreekanth, K.V., Luca, A.D., Strangi, G., Excitation of volume plasmon polaritons in metal-dielectric metamaterials using 1D and 2D diffraction gratings (2014) J. Opt, 16, p. 105103; Johnson, P.B., Christy, R.W., Optical Constants of the Noble Metals (1972) Phys. Rev. B, 6, p. 4370; Malitson, I.H., Interspecimen Comparison of the Refractive Index of Fused Silica (1965) J. Opt. Soc. Am, 55, pp. 1205-1209; Višňovský, Š., (2006) Optics in Magnetic Multilayers and Nanostructures, , Taylor &amp; Francis Group, London, UK</t>
  </si>
  <si>
    <t>Mejía-Salazar, J.R.; Instituto Nacional de Telecomunicações (Inatel)Brazil; email: jrmejia@inatel.br</t>
  </si>
  <si>
    <t>MOLEF</t>
  </si>
  <si>
    <t>2-s2.0-85137585637</t>
  </si>
  <si>
    <t>Medina-Jaramillo C., Gomez-Delgado E., López-Córdoba A.</t>
  </si>
  <si>
    <t>57000466000;57877521800;55915687700;</t>
  </si>
  <si>
    <t>https://www.scopus.com/inward/record.uri?eid=2-s2.0-85137331578&amp;doi=10.3390%2ffoods11162425&amp;partnerID=40&amp;md5=e364d26e05ecbde0f496a21679768e14</t>
  </si>
  <si>
    <t>Grupo de Investigación en Bioeconomía y Sostenibilidad Agroalimentaria, Escuela de Administración de Empresas Agropecuarias, Facultad Seccional Duitama, Universidad Pedagógica y Tecnológica de Colombia, Carrera 18 con Calle 22, Duitama, 150461, Colombia</t>
  </si>
  <si>
    <t>Medina-Jaramillo, C., Grupo de Investigación en Bioeconomía y Sostenibilidad Agroalimentaria, Escuela de Administración de Empresas Agropecuarias, Facultad Seccional Duitama, Universidad Pedagógica y Tecnológica de Colombia, Carrera 18 con Calle 22, Duitama, 150461, Colombia; Gomez-Delgado, E., Grupo de Investigación en Bioeconomía y Sostenibilidad Agroalimentaria, Escuela de Administración de Empresas Agropecuarias, Facultad Seccional Duitama, Universidad Pedagógica y Tecnológica de Colombia, Carrera 18 con Calle 22, Duitama, 150461, Colombia; López-Córdoba, A., Grupo de Investigación en Bioeconomía y Sostenibilidad Agroalimentaria, Escuela de Administración de Empresas Agropecuarias, Facultad Seccional Duitama, Universidad Pedagógica y Tecnológica de Colombia, Carrera 18 con Calle 22, Duitama, 150461, Colombia</t>
  </si>
  <si>
    <t>Welsh onion (Allium fistulosum) leaves contain several bioactive compounds that can be extracted and used to develop new value-added products (e.g., functional foods and dietary supplements). In the current work, optimal ultrasound-assisted extraction (UAE) conditions to obtain extracts with high polyphenols content and DPPH (1,1-diphenyl-2-picrylhydrazil) scavenging activity were identified using response surface methodology. A complete 3k factorial design was used to evaluate the effect of different variables of the UAE (extraction temperature, time, and ethanol concentration) on the polyphenols content and the DPPH scavenging activity of the extracts. The best conditions for UAE to reach both the highest values of total polyphenols content (51.78 mg GAE/100 g) and DPPH scavenging activity (34.07 mg Trolox equivalents/100 g) were an extraction temperature of 60 °C, time of 10 min, and ethanol concentration of 70% v/v. The antioxidant activity of the extracts obtained at the optimal conditions was also evaluated by 2,2′-azino-bis-3-ethylbenzthiazoline-6-sulphonic acid (ABTS) and ferric reducing antioxidant power (FRAP) assays obtaining values of 155.51 ± 2.80 μM Trolox/100 g and 1300.21 ± 65.55 μM Trolox/100 g, respectively. Moreover, these extracts were characterized by UHPLC-ESI+-Orbitrap-MS analysis finding that cyanidin (6.0 mg/kg) was the phenolic compound found in the highest amount followed by quercetin-3-glucoside (4.4 mg/kg). © 2022 by the authors.</t>
  </si>
  <si>
    <t>Allium fistulosumL; antioxidant activity; optimization; polyphenols; response surface methodology; ultrasound-assisted extraction</t>
  </si>
  <si>
    <t>75550, 865-2019; Universidad Pedagógica y Tecnológica de Colombia, UPTC; Gobernación de Boyacá</t>
  </si>
  <si>
    <t>The authors would like to thank the Universidad Pedagógica y Tecnológica de Colombia (UPTC) for its financial support.</t>
  </si>
  <si>
    <t>This research was funded by Minciencias, and the Gobernación de Boyacá through the PATRIMONIO AUTONOMO FONDO NACIONAL DE FINANCIAMIENTO PARA LA CIENCIA, LA TECNOLOGÍA Y LA INNOVACIÓN FRANCISCO JOSÉ DE CALDAS (project 75550. Conv. 865-2019).</t>
  </si>
  <si>
    <t>Food and Agriculture Data, , http://www.fao.org/faostat/en/?#home, Available online; Poojary, M.M., Putnik, P., Kovačević, D.B., Barba, F.J., Lorenzo, J.M., Dias, D.A., Shpigelman, A., Stability and Extraction of Bioactive Sulfur Compounds from Allium Genus Processed by Traditional and Innovative Technologies (2017) J. Food Compos. Anal, 61, pp. 28-39; Kurnia, D., Ajiati, D., Heliawati, L., Sumiarsa, D., Antioxidant Properties and Structure-Antioxidant Activity Relationship of Allium Species Leaves (2021) Molecules, 26. , 34885755; Vlase, L., Parvu, M., Parvu, E.A., Toiu, A., Phytochemical Analysis of Allium Fistulosum L. and A. Ursinum L (2013) Dig. J. Nanomater. Biostructures, 8, pp. 457-467; Singh, B.K., Ramakrishna, Y., Welsh Onion (Allium Fistulosum L.): A Promising Spicing-Culinary Herb of Mizoram (2017) Indian J. Hill Farming, 30, pp. 201-208; Rubatzky, V.E., Yamaguchi, M., World Vegetables Principles, Production, and Nutritive Values (1997) Fruits, 5, p. 381; Medina-Jaramillo, C., Usgame-Fagua, K., Franco-González, N., López-Córdoba, A., Single and Combined Effect of Mild-Heat Treatment and Alginate Coatings on Quality Preservation of Minimally Processed Bunching Green Onions (2022) Foods, 11; El-Hadidy, E.M., Mossa, M.E.A., Habashy, H.N., Effect of Freezing on the Pungency and Antioxidants Activity in Leaves and Bulbs of Green Onion in Giza 6 and Photon Varieties (2014) Ann. Agric. Sci, 59, pp. 33-39; Ajayi, G.O., Akinsanya, M.A., Agbabiaka, A.T., Oyebanjo, K.S., Hungbo, T.D., Olagunju, J.A., D-Limonene: A Major Bioactive Constituent in Allium Fistulosum Identified by GC-MS Analysis (2019) J. Phytopharm, 8, pp. 257-259; De Whalley, C.V., Rankin, S.M., Hoult, J.R.S., Jessup, W., Leake, D.S., Flavonoids Inhibit the Oxidative Modification of Low Density Lipoproteins by Macrophages (1990) Biochem. Pharmacol, 39, pp. 1743-1750; Piechowiak, T., Grzelak-Błaszczyk, K., Bonikowski, R., Balawejder, M., Optimization of Extraction Process of Antioxidant Compounds from Yellow Onion Skin and Their Use in Functional Bread Production (2020) LWT, 117, p. 108614; Zolfaghari, B., Yazdiniapour, Z., Sadeghi, M., Akbari, M., Troiano, R., Lanzotti, V., Cinnamic Acid Derivatives from Welsh Onion (Allium Fistulosum) and Their Antibacterial and Cytotoxic Activities (2021) Phytochem. Anal, 32, pp. 84-90. , 32023359; Lanzotti, V., Scala, F., Bonanomi, G., Compounds from Allium Species with Cytotoxic and Antimicrobial Activity (2014) Phytochem. Rev, 13, pp. 769-791; Țigu, A.B., Moldovan, C.S., Toma, V.-A., Farcaș, A.D., Moț, A.C., Jurj, A., Fischer-Fodor, E., Pârvu, M., Phytochemical Analysis and in Vitro Effects of Allium Fistulosum L. And Allium Sativum L. Extracts on Human Normal and Tumor Cell Lines: A Comparative Study (2021) Molecules, 26; Chang, T.-C., Jang, H.-D., Lin, W.-D., Duan, P.-F., Antifungal Activities of Commercial Rice Wine Extracts of Taiwanese Allium Fistulosum (2016) Adv. Microbiol, 6, p. 471; Karabegović, I., Nikolova, M., Veličković, D., Stojičević, S., Veljković, V., Lazić, M., Comparison of Antioxidant and Antimicrobial Activities of Methanolic Extracts of the Artemisia Sp. Recovered by Different Extraction Techniques (2011) Chin. J. Chem. Eng, 19, pp. 504-511; Štajner, D., Milić, N., Čanadanović-Brunet, J., Kapor, A., Štajner, M., Popović, B.M., Exploring Allium Species as a Source of Potential Medicinal Agents (2006) Phytother. Res. Int. J. Devoted Pharmacol. Toxicol. Eval. Nat. Prod. Deriv, 20, pp. 581-584; Yusoff, I.M., Mat Taher, Z., Rahmat, Z., Chua, L.S., A Review of Ultrasound-Assisted Extraction for Plant Bioactive Compounds: Phenolics, Flavonoids, Thymols, Saponins and Proteins (2022) Food Res. Int, 157, p. 111268; Carrera, C., Ruiz-Rodríguez, A., Palma, M., Barroso, C.G., Ultrasound Assisted Extraction of Phenolic Compounds from Grapes (2012) Anal. Chim. Acta, 732, pp. 100-104; Barbosa-Cánovas, G.V., Donsì, F., Yildiz, S., Candoğan, K., Pokhrel, P.R., Guadarrama-Lezama, A.Y., Nonthermal Processing Technologies for Stabilization and Enhancement of Bioactive Compounds in Foods (2021) Food Eng. Rev, 14, pp. 63-99; Chemat, F., Khan, M.K., Applications of Ultrasound in Food Technology: Processing, Preservation and Extraction (2011) Ultrason. Sonochem, 18, pp. 813-835; Chen, F., Sun, Y., Zhao, G., Liao, X., Hu, X., Wu, J., Wang, Z., Optimization of Ultrasound-Assisted Extraction of Anthocyanins in Red Raspberries and Identification of Anthocyanins in Extract Using High-Performance Liquid Chromatography—Mass Spectrometry (2007) Ultrason. Sonochem, 14, pp. 767-778. , 17321780; Zhao, S., Baik, O.D., Application of Ultrasound as Pretreatment for Extraction of Podophyllotoxin from Rhizomes of Podophyllum Peltatum (2012) Ultrason. Sonochem, 19, pp. 22-31. , 21664168; Cirak, C., Radusiene, J., Raudone, L., Vilkickyte, G., Seyis, F., Marksa, M., Ivanauskas, L., Yayla, F., Phenolic Compounds and Antioxidant Activity of Achillea Arabica Populations (2022) S. Afr. J. Bot, 147, pp. 425-433; Ghitescu, R.E., Volf, I., Carausu, C., Bühlmann, A.M., Gilca, I.A., Popa, V.I., Optimization of Ultrasound-Assisted Extraction of Polyphenols from Spruce Wood Bark (2015) Ultrason. Sonochem, 22, pp. 535-541; Paz, J.E.W., Márquez, D.B.M., Ávila, G.C.G.M., Cerda, R.E.B., Aguilar, C.N., Ultrasound-Assisted Extraction of Polyphenols from Native Plants in the Mexican Desert (2015) Ultrason. Sonochem, 22, pp. 474-481; D’Alessandro, L.G., Kriaa, K., Nikov, I., Dimitrov, K., Ultrasound Assisted Extraction of Polyphenols from Black Chokeberry (2012) Sep. Purif Technol, 93, pp. 42-47; Chien, W.-J., Saputri, D.S., Lin, H.-Y., Valorization of Taiwan’s Citrus Depressa Hayata Peels as a Source of Nobiletin and Tangeretin Using Simple Ultrasonic-Assisted Extraction (2022) Curr. Res. Food Sci, 5, pp. 278-287; Hemwimol, S., Pavasant, P., Shotipruk, A., Ultrasound-Assisted Extraction of Anthraquinones from Roots of Morinda Citrifolia (2006) Ultrason. Sonochem, 13, pp. 543-548; Mrkonjić, Ž., Rakić, D., Olgun, E.O., Canli, O., Kaplan, M., Teslić, N., Zeković, Z., Pavlić, B., Optimization of Antioxidants Recovery from Wild Thyme (Thymus Serpyllum L.) by Ultrasound-Assisted Extraction: Multi-Response Approach (2021) J. Appl. Res. Med. Aromat. Plants, 24, p. 100333; Altemimi, A., Watson, D.G., Choudhary, R., Dasari, M.R., Lightfoot, D.A., Ultrasound Assisted Extraction of Phenolic Compounds from Peaches and Pumpkins (2016) PLoS ONE, 11; Shreelakshmi, S.V., Nazareth, M.S., Matam, P., Dorairaj, D., Shetty, N.P., Chemometric Evaluation of Functional Components and Anti-quorum Sensing Activity of Mulberry Leaves from Indian Cultivars: A Potential Contribution to the Food Industry (2022) J. Sci. Food Agric, 102, pp. 567-574. , 34148238; Singleton, V.L., Rossi, J.A., Colorimetry of Total Phenolics with Phosphomolybdic-Phosphotungstic Acid Reagents (1965) Am. J. Enol. Vitic, 16, pp. 144-158; Guideline Q2(R2) on Validation of Analytical Procedures (2017) ICH Qual. Guidel, 5, pp. 127-166; Brand-Williams, W., Cuvelier, M.-E., Berset, C., Use of a Free Radical Method to Evaluate Antioxidant Activity (1995) LWT-Food Sci. Technol, 28, pp. 25-30; Re, R., Pellegrini, N., Proteggente, A., Pannala, A., Yang, M., Rice-Evans, C., Antioxidant Activity Applying an Improved ABTS Radical Cation Decolorization Assay (1999) Free. Radic. Biol. Med, 26, pp. 1231-1237; Benzie, I.F.F., Strain, J.J., The Ferric Reducing Ability of Plasma (FRAP) as a Measure of “Antioxidant Power”: The FRAP Assay (1996) Anal. Biochem, 239, pp. 70-76; Sierra, L.J., Córdoba, Y., Mejía, J.J., Rueda, E.Q., Ocazionez, R.E., Avila-Acevedo, J.G., García-Bores, A.M., del Rosario González-Valle, M., Photoprotective Activity of Ipomoea Horsfalliae Flower Extract (2020) Rev. Bras. Farmacogn, 30, pp. 69-79; Martínez-Patiño, J.C., Gullón, B., Romero, I., Ruiz, E., Brnčić, M., Žlabur, J.Š., Castro, E., Optimization of Ultrasound-Assisted Extraction of Biomass from Olive Trees Using Response Surface Methodology (2019) Ultrason. Sonochem, 51, pp. 487-495. , 29880395; Kumar, K., Srivastav, S., Sharanagat, V.S., Ultrasound Assisted Extraction (UAE) of Bioactive Compounds from Fruit and Vegetable Processing by-Products: A Review (2021) Ultrason. Sonochem, 70, p. 105325; Hanen, N., Fattouch, S., Ammar, E., Neffati, M., Allium Species, Ancient Health Food for the Future? (2012) Scientific, Health and Social Aspects of the Food Industry, pp. 343-354. , Valdez B., (ed), Intech, London, UK; Gallo, M., Formato, A., Giacco, R., Riccardi, G., Luongo, D., Formato, G., Amoresano, A., Naviglio, D., Mathematical Optimization of the Green Extraction of Polyphenols from Grape Peels through a Cyclic Pressurization Process (2019) Heliyon, 5, p. e01526; Tomšik, A., Pavlić, B., Vladić, J., Ramić, M., Brindza, J., Vidović, S., Optimization of Ultrasound-Assisted Extraction of Bioactive Compounds from Wild Garlic (Allium Ursinum L.) (2016) Ultrason. Sonochem, 29, pp. 502-511; González-De-peredo, A.V., Vázquez-Espinosa, M., Espada-Bellido, E., Ferreiro-González, M., Carrera, C., Barbero, G.F., Palma, M., Development of Optimized Ultrasound-Assisted Extraction Methods for the Recovery of Total Phenolic Compounds and Anthocyanins from Onion Bulbs (2021) Antioxidants, 10. , 34829626; Bordin Viera, V., Piovesan, N., Mello, R.D.O., Barin, J.S., Fogaça, A.D.O., Bizzi, C.A., de Moraes Flores, É.M., Soares, J.K.B., Ultrasonic _assisted Extraction of Phenolic Compounds with Evaluation of Red Onion Skin (Allium Cepa L.) Antioxidant Capacity (2021) J. Culin. Sci. Technol, pp. 1-17; Siddeeg, A., AlKehayez, N.M., Abu-Hiamed, H.A., Al-Sanea, E.A., AL-Farga, A.M., Mode of Action and Determination of Antioxidant Activity in the Dietary Sources: An Overview (2021) Saudi J. Biol. Sci, 28, pp. 1633-1644. , 33732049; Sadeer, N.B., Montesano, D., Albrizio, S., Zengin, G., Mahomoodally, M.F., The Versatility of Antioxidant Assays in Food Science and Safety—Chemistry, Applications, Strengths, and Limitations (2020) Antioxidants, 9; Siddiq, M., Roidoung, S., Sogi, D.S., Dolan, K.D., Total Phenolics, Antioxidant Properties and Quality of Fresh-Cut Onions (Allium Cepa L.) Treated with Mild-Heat (2013) Food Chem, 136, pp. 803-806. , 23122130; Santas, J., Carbó, R., Gordon, M.H., Almajano, M.P., Comparison of the Antioxidant Activity of Two Spanish Onion Varieties (2008) Food Chem, 107, pp. 1210-1216; Rodríguez Galdón, B., Rodríguez Rodríguez, E.M., Díaz Romero, C., Flavonoids in Onion Cultivars (Allium Cepa L.) (2008) J. Food Sci, 73, pp. 599-605. , 19019103; Slimestad, R., Fossen, T., Vågen, I.M., Onions: A Source of Unique Dietary Flavonoids (2007) J. Agric. Food Chem, 55, pp. 10067-10080. , 17997520; Park, Y.-S., Towantakavanit, K., Kowalska, T., Jung, S.-T., Ham, K.-S., Heo, B.-G., Cho, J.-Y., Gorinstein, S., Bioactive Compounds and Antioxidant and Antiproliferative Activities of Korean White Lotus Cultivars (2009) J. Med. Food, 12, pp. 1057-1064. , 19857070; Kuntzler, S.G., Costa, J.A.V., de Morais, M.G., Development of Electrospun Nanofibers Containing Chitosan/PEO Blend and Phenolic Compounds with Antibacterial Activity (2018) Int. J. Biol. Macromol, 117, pp. 800-806. , 29859278; Baltacıoğlu, H., Baltacıoğlu, C., Okur, I., Tanrıvermiş, A., Yalıç, M., Optimization of Microwave-Assisted Extraction of Phenolic Compounds from Tomato: Characterization by FTIR and HPLC and Comparison with Conventional Solvent Extraction (2021) Vib. Spectrosc, 113, p. 103204</t>
  </si>
  <si>
    <t>López-Córdoba, A.; Grupo de Investigación en Bioeconomía y Sostenibilidad Agroalimentaria, Carrera 18 con Calle 22, Colombia; email: alex.lopez01@uptc.edu.co</t>
  </si>
  <si>
    <t>2-s2.0-85137331578</t>
  </si>
  <si>
    <t>de Figueiredo F.A.P., Moncada-Villa E., Mejía-Salazar J.R.</t>
  </si>
  <si>
    <t>55844394700;55228664300;35223639100;</t>
  </si>
  <si>
    <t>Optimization of Magnetoplasmonic ε-Near-Zero Nanostructures Using a Genetic Algorithm</t>
  </si>
  <si>
    <t>https://www.scopus.com/inward/record.uri?eid=2-s2.0-85137141429&amp;doi=10.3390%2fs22155789&amp;partnerID=40&amp;md5=04cc0d8e925232069344560468373c64</t>
  </si>
  <si>
    <t>Instituto Nacional de Telecomunicações (Inatel), Santa Rita do Sapucaí, 37540-000, Brazil; Escuela de Física, Universidad Pedagógica y Tecnológica de Colombia, Avenida Central del Norte 39-115, Tunja, 150003, Colombia</t>
  </si>
  <si>
    <t>de Figueiredo, F.A.P., Instituto Nacional de Telecomunicações (Inatel), Santa Rita do Sapucaí, 37540-000, Brazil; Moncada-Villa, E., Escuela de Física, Universidad Pedagógica y Tecnológica de Colombia, Avenida Central del Norte 39-115, Tunja, 150003, Colombia; Mejía-Salazar, J.R., Instituto Nacional de Telecomunicações (Inatel), Santa Rita do Sapucaí, 37540-000, Brazil</t>
  </si>
  <si>
    <t>Magnetoplasmonic permittivity-near-zero ((Formula presented.) -near-zero) nanostructures hold promise for novel highly integrated (bio)sensing devices. These platforms merge the high-resolution sensing from the magnetoplasmonic approach with the (Formula presented.) -near-zero-based light-to-plasmon coupling (instead of conventional gratings or bulky prism couplers), providing a way for sensing devices with higher miniaturization levels. However, the applications are mostly hindered by tedious and time-consuming numerical analyses, due to the lack of an analytical relation for the phase-matching condition. There is, therefore, a need to develop mechanisms that enable the exploitation of magnetoplasmonic (Formula presented.) -near-zero nanostructures’ capabilities. In this work, we developed a genetic algorithm (GA) for the rapid design (in a few minutes) of magnetoplasmonic nanostructures with optimized TMOKE (transverse magneto-optical Kerr effect) signals and magnetoplasmonic sensing. Importantly, to illustrate the power and simplicity of our approach, we designed a magnetoplasmonic (Formula presented.) -near-zero sensing platform with a sensitivity higher than (Formula presented.) and a figure of merit in the order of (Formula presented.). These last results, higher than any previous magnetoplasmonic (Formula presented.) -near-zero sensing approach, were obtained by the GA intelligent program in times ranging from 2 to 5 min (using a simple inexpensive dual-core CPU computer). © 2022 by the authors.</t>
  </si>
  <si>
    <t>genetic algorithm optimization; magneto-optics; magnetoplasmonics; sensing; TMOKE</t>
  </si>
  <si>
    <t>Genetic algorithms; Optical Kerr effect; Phase matching; Biosensing; Genetic-algorithm optimizations; High resolution; Magnetoplasmonic; Optimisations; Plasmon coupling; Resolution sensing; Sensing; Sensing devices; Transverse magneto-optical kerr effects; Nanostructures</t>
  </si>
  <si>
    <t>Instituto Nacional de Telecomunicações; Conselho Nacional de Desenvolvimento Científico e Tecnológico, CNPq: 314671/2021-8; Ministério da Ciência, Tecnologia, Inovações e Comunicações, MCTIC: 01245.010604/2020-14</t>
  </si>
  <si>
    <t>Partial financial support was received from RNP, with resources from MCTIC, Grant No. 01245.010604/2020-14, under the Brazil 6G project of the Radiocommunication Reference Center (Centro de Referência em Radiocomunicações—CRR) of the National Institute of Telecommunications (Instituto Nacional de Telecomunicações—Inatel), Brazil. We also acknowledge financial support from the Brazilian agencies National Council for Scientific and Technological Development-CNPq (314671/2021-8).</t>
  </si>
  <si>
    <t>Mejía-Salazar, J.R., Oliveira, O.N., Jr., Plasmonic biosensing: Focus review (2018) Chem. Rev, 118, pp. 10617-10625. , 30247025; Fang, Y., Sun, M., Nanoplasmonic waveguides: Towards applications in integrated nanophotonic circuits (2015) Light. Sci. Appl, 4, p. e294; Dhiman, M., Plasmonic nanocatalysis for solar energy harvesting and sustainable chemistry (2020) J. Mater. Chem. A, 8, pp. 10074-10095; Brongersma Mark, L., Shalaev Vladimir, M., The Case for Plasmonics (2010) Science, 328, pp. 440-441. , 20413483; Schuller, J.A., Barnard, E.S., Cai, W., Jun, Y.C., White, J.S., Brongersma, M.L., Plasmonics for extreme light concentration and manipulation (2010) Nat. Mater, 9, pp. 193-204. , 20168343; Fedyanin, D.Y., Yakubovsky, D.I., Kirtaev, R.V., Volkov, V.S., Ultralow-Loss CMOS Copper Plasmonic Waveguides (2016) Nano Lett, 16, pp. 362-366; Xu, Y., Gao, B., He, A., Zhang, T., Zhang, J., Three-dimensional plasmonic nano-router via optical antennas (2021) Nanophotonics, 10, pp. 1931-1939; He, X., Hu, H., Yang, Z., Cai, Y., Wang, W., Han, Z., Shi, J., Xu, H., On-Chip Detection of Multiwavelength Surface Plasmon Polaritons Based on Plasmonic Demultiplexers (2022) ACS Photonics, 9, pp. 391-397; Mossayebi, M., Parini, A., Wright, A.J., Somekh, M.G., Bellanca, G., Larkins, E.C., Hybrid photonic-plasmonic platform for high-throughput single-molecule studies (2019) Opt. Mater. Express, 9, pp. 2511-2522; Giannini, V., Fernández-Domínguez, A.I., Heck, S.C., Maier, S.A., Plasmonic nanoantennas: Fundamentals and their use in controlling the radiative properties of nanoemitters (2011) Chem. Rev, 111, pp. 3888-3912; Agrawal, A.K., Ninawe, A., Dhawan, A., Non-Uniform Narrow Groove Plasmonic Nano-Gratings for SPR Sensing and Imaging (2021) IEEE Access, 9, pp. 10136-10152; Traviss, D., Bruck, R., Mills, B., Abb, M., Muskens, O.L., Ultrafast plasmonics using transparent conductive oxide hybrids in the epsilon-near-zero regime (2013) Appl. Phys. Lett, 102, p. 121112; Halterman, K., Elson, J.M., Near-perfect absorption in epsilon-near-zero structures with hyperbolic dispersion (2014) Opt. Express, 22, pp. 7337-7348; Yoon, J., Zhou, M., Badsha, M.A., Kim, T.Y., Jun, Y.C., Hwangbo, C.K., Broadband Epsilon-Near-Zero Perfect Absorption in the Near-Infrared (2015) Sci. Rep, 5, p. 12788; Wang, Z., Zhou, P., Zheng, G., Electrically switchable highly efficient epsilon-near-zero metasurfaces absorber with broadband response (2019) Results Phys, 14, p. 102376; Sadatgol, M., Rahman, M., Forati, E., Levy, M., Güney, D.O., Enhanced Faraday rotation in hybrid magneto-optical metamaterial structure of bismuth-substituted-iron-garnet with embedded-gold-wires (2016) J. Appl. Phys, 119, p. 103105; Armelles, G., Cebollada, A., García-Martín, A., González, M.U., Magnetoplasmonics: Combining magnetic and plasmonic functionalities (2013) Adv. Opt. Mater, 1, pp. 10-35; David, S., Polonschii, C., Luculescu, C., Gheorghiu, M., Gáspár, S., Gheorghiu, E., Magneto-plasmonic biosensor with enhanced analytical response and stability (2015) Biosens. Bioelectron, 63, pp. 525-532; Maccaferri, N., Gregorczyk, K.E., de Oliveira, T.V.A.G., Kataja, M., van Dijken, S., Pirzadeh, Z., Dmitriev, A., Vavassori, P., Ultrasensitive and label-free molecular-level detection enabled by light phase control in magnetoplasmonic nanoantennas (2015) Nat. Commun, 6, p. 6150; Manera, M.G., Pellegrini, G., Lupo, P., Bello, V., de Julián Fernández, C., Casoli, F., Rella, S., Mattei, G., Functional magneto-plasmonic biosensors transducers: Modelling and nanoscale analysis (2017) Sens. Actuators B Chem, 239, pp. 100-112; Rizal, C., Manera, M.G., Ignatyeva, D.O., Mejía-Salazar, J.R., Rella, R., Belotelov, V.I., Pineider, F., Maccaferri, N., Magnetophotonics for sensing and magnetometry toward industrial applications (2021) J. Appl. Phys, 130, p. 230901; Girón-Sedas, J.A., Reyes Gómez, F., Albella, P., Mejía-Salazar, J.R., Oliveira, O.N., Giant enhancement of the transverse magneto-optical Kerr effect through the coupling of ε-near-zero and surface plasmon polariton modes (2017) PRB, 96, p. 075415; Moncada-Villa, E., Oliveira, O.N., Mejía-Salazar, J.R., ε-Near-Zero Materials for Highly Miniaturizable Magnetoplasmonic Sensing Devices (2019) J. Phys. Chem. C, 123, pp. 3790-3794; Moncada-Villa, E., Oliveira, O.N., Mejía-Salazar, J.R., Uniaxial ε-near-zero metamaterials for giant enhancement of the transverse magneto-optical Kerr effect (2020) PRB, 102, p. 165304; Johnson, J.M., Rahmat-Samii, V., Genetic algorithms in engineering electromagnetics (1997) IEEE Antennas Propag. Mag, 39, pp. 7-21; de Figueiredo, F.A.P., Ynoguti, C.A., Blind Source Separation in Reverberant Environments Using Genetic Algorithms Proceedings of the International Workshop on Telecommunications—IWT2011, , Santa Rita do Sapucaí, Brazil, 5 May 2011; Li, D., Zhou, H., Hui, X., He, X., Mu, X., Plasmonic Biosensor Augmented by a Genetic Algorithm for Ultra-Rapid, Label-Free, and Multi-Functional Detection of COVID-19 (2021) Anal. Chem, 93, pp. 9437-9444; Mayer, A., Bi, H., Griesse-Nascimento, S., Hackens, B., Loicq, J., Mazur, E., Deparis, O., Lobet, M., Genetic-algorithm-aided ultra-broadband perfect absorbers using plasmonic metamaterials (2022) Opt. Express, 30, pp. 1167-1181; Chen, X., Zhang, C., Yang, F., Liang, G., Li, Q., Guo, L.J., Plasmonic Lithography Utilizing Epsilon Near Zero Hyperbolic Metamaterial (2017) ACS Nano, 11, pp. 9863-9868; Wang, X., Choi, J., Liu, J., Malis, O., Li, X., Bermel, P., Zhang, X., Wang, H., 3D Hybrid Trilayer Heterostructure: Tunable Au Nanorods and Optical Properties (2020) ACS Appl. Mater. Interfaces, 12, pp. 45015-45022; Alekseyev, L.V., Narimanov, E.E., Tumkur, T., Li, H., Barnakov, Y.A., Noginov, M.A., Uniaxial epsilon-near-zero metamaterial for angular filtering and polarization control (2010) Appl. Phys. Lett, 97, p. 131107; Aschenbach, B., X-ray telescopes (1985) Rep. Prog. Phys, 48, pp. 579-629; Caballero, B., García-Martín, A., Cuevas, J.C., Generalized scattering-matrix approach for magneto-optics in periodically patterned multilayer systems (2012) PRB, 85, p. 245103; Ferreiro-Vila, E., González-Díaz, J.B., Fermento, R., González, M.U., García-Martín, A., García-Martín, J.M., Cebollada, A., Sandoval, E., Intertwined magneto-optical and plasmonic effects in Ag/Co/Ag layered structures (2009) Phys. Rev. B, 80, p. 125132; Bingham, J.M., Anker, J.N., Kreno, L.E., Van Duyne, R.P., Gas Sensing with High-Resolution Localized Surface Plasmon Resonance Spectroscopy (2010) J. Am. Chem. Soc, 132, pp. 17358-17359; Pfaffenbach, E.S., Carvalho, W.O., Oliveira, O.N., Jr., Mejía-Salazar, J.R., Design of Nanoarchitectures for Magnetoplasmonic Biosensing with Near-Zero-Transmittance Conditions (2021) ACS Appl. Mater. Interfaces, 13, pp. 60672-60677</t>
  </si>
  <si>
    <t>2-s2.0-85137141429</t>
  </si>
  <si>
    <t>Otálora M.C., Wilches-Torres A., Gómez Castaño J.A.</t>
  </si>
  <si>
    <t>56607137200;57209231473;57215004240;</t>
  </si>
  <si>
    <t>https://www.scopus.com/inward/record.uri?eid=2-s2.0-85136934108&amp;doi=10.3390%2ffoods11152380&amp;partnerID=40&amp;md5=852c8bdac614441a68c7a76c168b642e</t>
  </si>
  <si>
    <t>Grupo de Investigación en Ciencias Básicas (NÚCLEO), Facultad de Ciencias e Ingeniería, Universidad de Boyacá, Tunja, Boyacá, 050030, Colombia; Grupo Química-Física Molecular y Modelamiento Computacional (QUIMOL®), Escuela de Ciencias Químicas, Universidad Pedagógica y Tecnológica de Colombia, Sede Tunja, Avenida Central del Norte, Boyacá, Tunja, 050030, Colombia</t>
  </si>
  <si>
    <t>Otálora, M.C., Grupo de Investigación en Ciencias Básicas (NÚCLEO), Facultad de Ciencias e Ingeniería, Universidad de Boyacá, Tunja, Boyacá, 050030, Colombia; Wilches-Torres, A., Grupo de Investigación en Ciencias Básicas (NÚCLEO), Facultad de Ciencias e Ingeniería, Universidad de Boyacá, Tunja, Boyacá, 050030, Colombia; Gómez Castaño, J.A., Grupo Química-Física Molecular y Modelamiento Computacional (QUIMOL®), Escuela de Ciencias Químicas, Universidad Pedagógica y Tecnológica de Colombia, Sede Tunja, Avenida Central del Norte, Boyacá, Tunja, 050030, Colombia</t>
  </si>
  <si>
    <t>The substitution of artificial colorants for pigments extracted from fruits is a highly desirable strategy in the food industry for the manufacture of natural, functional, and safe products. In this work, a 100% natural spray-dried (SD) microencapsulated colorant of pink guava pulp, using aloe vera (AV) or Opuntia ficus-indica (OFI) mucilage as functional encapsulating material, was prepared and evaluated as an additive into a yogurt (Y) matrix. The characterization of yogurt samples supplemented with OFI (Y-SD-OFI) and AV (Y-SD-AV) mucilage-covered guava pulp microcapsules was carried out through carotenoid quantification using UV–vis and HPLC–MS techniques, dietary fiber content, antioxidant capacity, colorimetry, and textural analysis, as well as by an evaluation of color stability after 25 days of storage at 4 °C in the dark. These physicochemical characteristics and color stability on the Y-SD-OFI and Y-SD-AV samples were compared with those of a commercial yogurt (control sample, Y-C) containing sunset yellow FCF synthetic colorant (E110). Y-SD-OFI and Y-SD-AV samples exhibited a high content of lycopene, dietary fiber, and antioxidant activity, which were absent in the control sample. Microencapsulated lycopene imparted a highly stable color to yogurt, contrary to the effect provided by the E110 dye in the control sample. The texture profile analysis revealed an increase in firmness, consistency, and cohesion in the Y-SD-OFI sample, contrary to the Y-SD-AV and Y-C samples, which was attributed to the variation in fiber concentration in the microcapsules. The incorporation of OFI and AV mucilage microparticles containing pink guava pulp into yogurt demonstrated its potential application as a functional natural colorant for dairy products. © 2022 by the authors.</t>
  </si>
  <si>
    <t>aloe vera; microencapsulation; natural colorant; Opuntia ficus-indica; spray drying; yogurt</t>
  </si>
  <si>
    <t>The authors greatly acknowledge the financial support provided by the Universidad de Boyacá and the Universidad Pedagógica y Tecnológica de Colombia.</t>
  </si>
  <si>
    <t>(2020) Overview of Food Ingredients, Additives &amp; Colors, , https://www.fda.gov/food/food-ingredients-packaging/overview-food-ingredients-additives-colors, Available online; Amchova, P., Kotolova, H., Ruda-Kucerova, J., Health safety issues of synthetic food colorants (2015) Regul. Toxicol. Pharmacol, 73, pp. 914-922. , 26404013; Rodriguez-Concepcion, M., Avalos, J., Bonet, M.L., Boronat, A., Gomez-Gomez, L., Hornero-Mendez, D., Limon, M.C., Palou, A., A global perspective on carotenoids: Metabolism, biotechnology, and benefits for nutrition and health (2018) Prog. Lipid Res, 70, pp. 62-93. , 29679619; De Freitas Santos, P.D., Rubio, F.T.V., da Silva, M.P., Pinho, L.S., Favaro-Trindade, C.S., Microencapsulation of carotenoid-rich materials: A review (2021) Food Res. Int, 147, p. 110571. , 34399544; Rodriguez-Amaya, D.B., Update on natural food pigments—A mini-review on carotenoids, anthocyanins, and betalains (2019) Food Res. Int, 124, pp. 200-205; Bakry, A.M., Abbas, S., Ali, B., Majeed, H., Abouelwafa, M.Y., Mousa, A., Liang, L., Microencapsulation of Oils: A Comprehensive Review of Benefits, Techniques, and Applications (2015) Compr. Rev. Food Sci. Food Saf, 15, pp. 143-182; Otálora, M.C., Wilches-Torres, A., Castaño, J.A.G., Spray-Drying Microencapsulation of Pink Guava (Psidium guajava) Carotenoids Using Mucilage from Opuntia ficus-indica Cladodes and Aloe Vera Leaves as Encapsulating Materials (2022) Polymers, 14; Dick, M., Magro, L.D., Rodrigues, R., Rios, A.D.O., Flôres, S.H., Valorization of Opuntia monacantha (Willd.) Haw. cladodes to obtain a mucilage with hydrocolloid features: Physicochemical and functional performance (2018) Int. J. Biol. Macromol, 123, pp. 900-909; Messina, C.M., Arena, R., Morghese, M., Santulli, A., Liguori, G., Inglese, P., Seasonal characterization of nutritional and antioxidant properties of Opuntia ficus-indica [(L.) Mill.] mucilage (2020) Food Hydrocoll, 111, p. 106398; Samborska, K., Boostani, S., Geranpour, M., Hosseini, H., Dima, C., Khoshnoudi-Nia, S., Rostamabadi, H., Akbari-Alavijeh, S., Green biopolymers from by-products as wall materials for spray drying microencapsulation of phytochemicals (2021) Trends Food Sci. Technol, 108, pp. 297-325; De Campo, C., Assis, R.Q., da Silva, M.M., Costa, T.M.H., Paese, K., Guterres, S.S., de Oliveira Rios, A., Flôres, S.H., Incorporation of zeaxanthin nanoparticles in yogurt: Influence on physicochemical properties, carotenoid stability and sensory analysis (2019) Food Chem, 301, p. 125230; Adinepour, F., Pouramin, S., Rashidinejad, A., Jafari, S.M., Fortification/enrichment of milk and dairy products by encapsulated bioactive ingredients (2022) Food Res. Int, 157, p. 111212; Jurić, S., Jurić, M., Król-Kilińska, Ź., Vlahoviček-Kahlina, K., Vinceković, M., Dragović-Uzelac, V., Donsi, F., Sources, stability, encapsulation and application of natural pigments in foods (2020) Food Rev. Int, 36, pp. 1-56; Rutz, J.K., Borges, C.D., Zambiazi, R.C., Crizel-Cardozo, M.M., Kuck, L.S., Noreña, C.P.Z., Microencapsulation of palm oil by complex coacervation for application in food systems (2017) Food Chem, 220, pp. 59-66; Gomez-Estaca, J., Comunian, T.A., Montero, P., Favaro-Trindade, C.S., Physico-Chemical Properties, Stability, and Potential Food Applications of Shrimp Lipid Extract Encapsulated by Complex Coacervation (2018) Food Bioprocess Technol, 11, pp. 1596-1604; Mihalcea, L., Turturică, M., Barbu, V., Ioniţă, E., Pătraşcu, L., Cotârleţ, M., Dumitraşcu, L., Stănciuc, N., Transglutaminase mediated microencapsulation of sea buckthorn supercritical CO2 extract in whey protein isolate and valorization in highly value added food products (2018) Food Chem, 262, pp. 30-38; Iturriaga, L., Quinzio, C., Corvalan, M., Mishima, B., Study of the stability at coalescence in mucilage emulsions (2009) Acta Hortic, 811, pp. 427-430; Otálora, M., Wilches-Torres, A., Castaño, J., Extraction and Physicochemical Characterization of Dried Powder Mucilage from Opuntia ficus-indica Cladodes and Aloe Vera Leaves: A Comparative Study (2021) Polymers, 13; https://static1.buchi.com/sites/default/files/downloads/B290_OM_en_I_0.pdf?cf595fc09d939d0eb8f2bee907c35bca8feeee47, Available online; Re, R., Pellegrini, N., Proteggente, A., Pannala, A., Yang, M., Rice-Evans, C., Antioxidant activity applying an improved ABTS radical cation decolorization assay (1999) Free Radic. Biol. Med, 26, pp. 1231-1237; Cunniff, P., Enzymatic-gravimetric method (1997) Official Methods of Analysis of AOAC International, , 16th ed., AOAC, Gaithersburg, MD, USA; Di Rienzo, J.A., Casanoves, F., Balzarini, M.G., Gonzales, L., Tablada, M., Robledo, C.W., InfoStat Versión 2013. Grupo InfoStat, FCA, Universidad Nacional de Córdova, Argentina, , http://www.infostat.com.ar, Available online; Strickland, J.M., Wisnieski, L., Herdt, T.H., Sordillo, L.M., Serum retinol, β-carotene, and α-tocopherol as biomarkers for disease risk and milk production in periparturient dairy cows (2021) J. Dairy Sci, 104, pp. 915-927; Gad, A.S., Ghita, E.I., El-Din, H.M.F., Badran, S.M.A., Elmessery, T.M., Evaluation yogurt fortified with vegetable and fruit juice a natural source of nutritional sciences (2015) Int. J. Food Sci. Nutr, 4, pp. 21-28; Patel, P., Jethani, H., Radha, C., Vijayendra, S.V.N., Mudliar, S.N., Sarada, R., Chauhan, V.S., Development of a carotenoid enriched probiotic yogurt from fresh biomass of Spirulina and its characterization (2019) J. Food Sci. Technol, 56, pp. 3721-3731. , 31413399; Chen, W., Wang, W., Guo, M., Li, Y., Meng, F., Liu, D., Whey protein isolate-gum Acacia Maillard conjugates as emulsifiers for nutraceutical emulsions: Impact of glycation methods on physicochemical stability and in vitro bioaccessibility of β-carotene emulsions (2022) Food Chem, 375, p. 131706. , 34952387; Jovanović, J., Petronijević, R.B., Lukić, M., Karan, D., Parunović, N., Branković-Lazić, I., Verification of rapid method for estimation of added food colorant type in boiled sausages based on measurement of cross section color (2017) IOP Conf. Ser. Earth Environ. Sci, 85, p. 12081; Silva, M.P., Mesquita, M., Rubio, F.T.V., Thomazini, M., Favaro-Trindade, C.S., Fortification of yoghurt drink with microcapsules loaded with Lacticaseibacillus paracasei BGP-1 and guaraná seed extract (2021) Int. Dairy J, 125, p. 105230; Kim, S., Park, J.-B., Hwang, I.-K., Quality Attributes of Various Varieties of Korean Red Pepper Powders (Capsicum annuum L.) and Color Stability during Sunlight Exposure (2002) J. Food Sci, 67, pp. 2957-2961; Mesnier, X., Gregory, C., Fança-Berthon, P., Boukobza, F., Bily, A., Heat and light colour stability of beverages coloured with a natural carotene emulsion: Effect of synthetic versus natural water soluble antioxidants (2014) Food Res. Int, 65, pp. 149-155; Bassijeh, A., Ansari, S., Hosseini, S.M.H., Astaxanthin encapsulation in multilayer emulsions stabilized by complex coacervates of whey protein isolate and Persian gum and its use as a natural colorant in a model beverage (2020) Food Res. Int, 137, p. 109689; De Queiroz, J.L.C., Medeiros, I., Trajano, A.C., Piuvezam, G., Nunes, A.C.D.F., Passos, T.S., Morais, A.H.D.A., Encapsulation techniques perfect the antioxidant action of carotenoids: A systematic review of how this effect is promoted (2022) Food Chem, 385, p. 132593; Chung, C., Rojanasasithara, T., Mutilangi, W., McClements, D.J., Enhanced stability of anthocyanin-based color in model beverage systems through whey protein isolate complexation (2015) Food Res. Int, 76, pp. 761-768; Estupiñan, D., Schwartz, S., Garzón, G., Antioxidant Activity, Total Phenolics Content, Anthocyanin, and Color Stability of Isotonic Model Beverages Colored with Andes Berry (Rubus glaucus Benth) Anthocyanin Powder (2011) J. Food Sci, 76, pp. S26-S34; Borreani, J., Llorca, E., Quiles, A., Hernando, I., Designing dairy desserts for weight management: Structure, physical properties and in vitro gastric digestion (2017) Food Chem, 220, pp. 137-144; Hedayati, S., Niakousari, M., Babajafari, S., Mazloomi, S.M., Ultrasound-assisted extraction of mucilaginous seed hydrocolloids: Physicochemical properties and food applications (2021) Trends Food Sci. Technol, 118, pp. 356-361; Dai, S., Corke, H., Shah, N.P., Utilization of konjac glucomannan as a fat replacer in low-fat and skimmed yogurt (2016) J. Dairy Sci, 99, pp. 7063-7074; Paseephol, T., Small, D.M., Sherkat, F., Rheology and texture of set yogurt as affected by inulin addition (2008) J. Texture Stud, 39, pp. 617-634</t>
  </si>
  <si>
    <t>Otálora, M.C.; Grupo de Investigación en Ciencias Básicas (NÚCLEO), Colombia; email: marotalora@uniboyaca.co</t>
  </si>
  <si>
    <t>2-s2.0-85136934108</t>
  </si>
  <si>
    <t>Ballesteros-Ricaurte J.A., Fabregat R., Carrillo-Ramos A., Parra C., Pulido-Medellín M.O.</t>
  </si>
  <si>
    <t>56161725900;6602491428;55666303200;57863683800;56241968800;</t>
  </si>
  <si>
    <t>Electronics (Switzerland)</t>
  </si>
  <si>
    <t>https://www.scopus.com/inward/record.uri?eid=2-s2.0-85136788260&amp;doi=10.3390%2felectronics11152463&amp;partnerID=40&amp;md5=eb43411ea02eadd886aff95300c481fc</t>
  </si>
  <si>
    <t>Escuela de Ingeniería de Sistemas y Computación, Universidad Pedagógica y Tecnológica de Colombia, Tunja, 150003, Colombia; Doctorado en Ingeniería, Pontificia Universidad Javeriana, Bogotá, 110231, Colombia; Broadband Communications and Distributed Systems, University of Girona, Girona, 17007, Spain; Escuela de Medicina Veterinaria, Universidad Pedagógica y Tecnológica de Colombia, Tunja, 150003, Colombia</t>
  </si>
  <si>
    <t>Ballesteros-Ricaurte, J.A., Escuela de Ingeniería de Sistemas y Computación, Universidad Pedagógica y Tecnológica de Colombia, Tunja, 150003, Colombia, Doctorado en Ingeniería, Pontificia Universidad Javeriana, Bogotá, 110231, Colombia; Fabregat, R., Broadband Communications and Distributed Systems, University of Girona, Girona, 17007, Spain; Carrillo-Ramos, A., Doctorado en Ingeniería, Pontificia Universidad Javeriana, Bogotá, 110231, Colombia; Parra, C., Doctorado en Ingeniería, Pontificia Universidad Javeriana, Bogotá, 110231, Colombia; Pulido-Medellín, M.O., Escuela de Medicina Veterinaria, Universidad Pedagógica y Tecnológica de Colombia, Tunja, 150003, Colombia</t>
  </si>
  <si>
    <t>There are different bovine infectious diseases that show economic losses and social problems in various sectors of the economy. Most of the studies are focused on some diseases (for example, tuberculosis, salmonellosis, and brucellosis), but there are few studies on other diseases which are not officially controlled but also have an impact on the economy. This work is a systematic literature review on models (as a theoretical scheme, generally in mathematical form) used in the epidemiological analysis of bovine infectious diseases in the dairy farming sector. In this systematic literature review, criteria were defined for cattle, models, and infectious diseases to select articles on Scopus, IEEE, Xplorer, and ACM databases. The relations between the found models (model type, function and the proposed objective in each work) and the bovine infectious diseases, and the different techniques used and the works over infectious disease in humans, are presented. The outcomes obtained in this systematic literature review provide the state-of-the-art inputs for research on models for the epidemiological analysis of infectious bovine diseases. As a consequence of these outcomes, this work also presents an approach of EiBeLec, which is an adaptive and predictive system for the bovine ecosystem, combining a prediction model that uses machine-learning techniques and an adaptive model that adapts the information presented to end users. © 2022 by the authors.</t>
  </si>
  <si>
    <t>Enterprise Ireland: DT/2019/0014A; Science Foundation Ireland, SFI: 12/RC/2276-P2, 13/RC/2077-P2, 18/SIRG/5579</t>
  </si>
  <si>
    <t>This work has been supported in part by a research grant from Science Foundation Ireland (SFI) under grant numbers 18/SIRG/5579, 13/RC/2077-P2, and 12/RC/2276-P2 and a research grant from Enterprise Ireland under grant number DT/2019/0014A.</t>
  </si>
  <si>
    <t>Acero-Aguilar, M., Zoonosis y otros problemas de salud pública relacionados con los animales: Reflexiones a propósito de sus aproximaciones teóricas y metodológicas (2016) Rev. Gerenc. Polit. Salud, 15, pp. 232-245; Nandana, G., Mala, S., Rawat, A., Hotspot detection of dengue fever outbreaks using DBSCAN algorithm Proceedings of the 9th International Conference on Cloud Computing, Data Science &amp; Engineering (Confluence), pp. 158-161. , Noida, India, 10–11 January 2019; (2018) Organización de las Naciones Unidas Para la Alimentación y la Agricultura, , http://www.fao.org/animal-health/es/, Available online; Jones, K.E., Patel, N.G., Levy, M.A., Storeygard, A., Balk, D., Gittleman, J.L., Daszak, P., Global trends in emerging infectious diseases (2008) Nature, 451, pp. 1174-1181. , 18288193; Contalbrigo, L., Borgo, S., Pozza, G., Marangon, S., Data distribution in public veterinary service: Health and safety challenges push for context-aware systems (2017) BMC Vet. Res, 13. , 29273034; Sanz, I., Modelos Epidemiológicos Basados En Ecuaciones Diferenciales (2016) Bachelor’s Thesis, , Universidad de la Rioja, Logroño, Spain; Siettos, C.I., Russo, L., Mathematical modeling of infectious disease dynamics (2013) Virulence, 4, pp. 295-306; Duncan, A., Gunn, G., Lewis, F., Umstatter, C., Humphry, R., The influence of empirical contact networks on modelling diseases in cattle (2012) Epidemics, 4, pp. 117-123; Younsi, F.-Z., Bounnekar, A., Hamdadou, D., Boussaid, O., SEIR-SW, simulation model of influenza spread based on the Small World network (2015) Tsinghua Sci. Technol, 20, pp. 460-473; Keeling, M.J., Rohani, P., (2011) Modeling Infectious Diseases in Humans and Animals, , Princeton University Press, Princeton, NJ, USA; Volkova, V., Howey, R., Savill, N., Woolhouse, M., Potential for transmission of infections in networks of cattle farms (2010) Epidemics, 2, pp. 116-122; Ivorra, B., Ngom, D., Ramos, A.M., Be-CoDiS: A mathematical model to predict the risk of human diseases spread between countries—Validation and application to the 2014–2015 ebola virus disease epidemic (2015) Bull. Math. Biol, 77, pp. 1668-1704; Machado, G., Mendoza, M.R., Corbellini, L.G., What variables are important in predicting bovine viral diarrhea virus? A random forest approach (2015) Vet. Res, 46, p. 85; VanLeeuwen, J., Haddad, J., Dohoo, I., Keefe, G., Tiwari, A., Tremblay, R., Associations between reproductive performance and seropositivity for bovine leukemia virus, bovine viral-diarrhea virus, Mycobacterium avium subspecies paratuberculosis, and Neospora caninum in Canadian dairy cows (2010) Prev. Vet. Med, 94, pp. 54-64; Pulido-Medellín, M.O., García-Corredor, D.J., Vargas-Abella, J.C., Seroprevalencia de Neospora caninum en un Hato Lechero de Boyacá, Colombia (2016) Rev. Investig. Vet. Peru, 27, pp. 355-362; Ballesteros-Ricaurte, J.A., Carrillo-Ramos, A., Acevedo, C.A.P., Morantes, J.E.G., Adaptive system to support decision-making of dairy ecosystem in Boyacá department Proceedings of the 14th International Conference on Web Information Systems and Technologies (WEBIST 2018), pp. 253-260. , Seville, Spain, 18–20 September 2018; Ballesteros-Ricaurte, J.A., Carrillo-Ramos, A., Adaptive system to support decision-making, oriented to farmers of dairy ecosystem in Boyacá department Proceedings of the 13 CCC—Colombian Conference on Computing, pp. 137-152. , Cartagena, Colombia, 26–28 September 2018; Bernoulli, D., Essai d’une nouvelle analyse de la mortalité causée par la petite verole et des avantages de l’inoculation pour la prevenir (1766) Mem. Math. Phys. Acad. R. Sci, 1, pp. 1-45; VanderWaal, K., Enns, E., Picasso-Risso, C., Packer, C., Craft, M.E., Evaluating empirical contact networks as potential transmission pathways for infectious diseases (2016) J. R. Soc. Interface, 13, p. 20160166; Macdonald, J.M., Mcbride, W.D., The transformation of US livestock agriculture scale, efficiency, and risks (2009) Econ. Inf. Bull, 43, p. 40; Bradhurst, R., Roche, S., East, I., Kwan, P., Garner, M., Improving the computational efficiency of an agent-based spatiotemporal model of livestock disease spread and control (2016) Environ. Model. Softw, 77, pp. 1-12; Bauer, P., Engblom, S., Widgren, S., Fast event-based epidemiological simulations on national scales (2016) Int. J. High Perform. Comput. Appl, 30, pp. 438-453; Thompson, R.N., Gilligan, C.A., Cunniffe, N.J., Control fast or control smart: When should invading pathogens be controlled? (2018) PLOS Comput. Biol, 14; Swarup, S., Eubank, S.G., Marathe, M.V., Tech, V., Computational epidemiology as a challenge domain for multiagent systems Proceedings of the 13th International Conference on Autonomous Agents and Multiagent Systems (AAMAS 2014), pp. 23-27. , Paris, France, 5–9 May 2014; Moslonka-Lefebvre, M., Monod, H., Gilligan, C.A., Vergu, E., Filipe, J.A., Epidemics in markets with trade friction and imperfect transactions (2015) J. Theor. Biol, 374, pp. 165-178; O’Hare, A., Lycett, S.J., Doherty, T., Salvador, L.C.M., Kao, R.R., Broadwick: A framework for computational epidemiology (2016) BMC Bioinform, 17; Marathe, M.V., Ramakrishnan, N., Recent advances in computational epidemiology (2013) IEEE Intell. Syst, 28, pp. 96-101; Wang, J., Cao, Z., Zeng, D.D., Wang, Q., Wang, X., Qian, H., Epidemiological analysis, detection, and comparison of space-time patterns of Beijing hand-foot-mouth disease (2008–2012) (2014) PLoS ONE, 9. , 24663329; Brock, J., Lange, M., More, S., Graham, D., Thulke, H.-H., Reviewing age-structured epidemiological models of cattle diseases tailored to support management decisions: Guidance for the future (2019) Prev. Vet. Med, 174, p. 104814. , 31743817; Boklund, A., Cay, B., Depner, K., Földi, Z., Guberti, V., Masiulis, M., Miteva, A., Šatrán, P., Epidemiological analyses of African swine fever in the European Union (November 2017 until November 2018) (2018) EFSA J, 16, p. e05494; Shaban-Nejad, A., Lavigne, M., Okhmatovskaia, A., Buckeridge, D.L., PopHR: A knowledge-based platform to support integration, analysis, and visualization of population health data (2017) Ann. N. Y. Acad. Sci, 1387, pp. 44-53. , 27750378; Knight, G.M., Dharan, N.J., Fox, G.J., Stennis, N., Zwerling, A., Khurana, R., Dowdy, D.W., Bridging the gap between evidence and policy for infectious diseases: How models can aid public health decision-making (2016) Int. J. Infect. Dis, 42, pp. 17-23. , 26546234; Monsalve Torra, A., Sistemas de Ayuda a la Decisión Clínica en Enfermedades de Diagnóstico Complejo (2017) Ph.D. Thesis, , Universidad de Alicante, Alicante, Spain; Thulke, H.-H., Lange, M., Tratalos, J., Clegg, T., McGrath, G., O’Grady, L., O’Sullivan, P., More, S., Eradicating BVD, reviewing Irish programme data and model predictions to support prospective decision making (2018) Prev. Vet. Med, 150, pp. 151-161; Valdes-Donoso, P., VanderWaal, K., Jarvis, L.S., Wayne, S.R., Perez, A.M., Using machine learning to predict swine movements within a regional program to improve control of infectious diseases in the US (2017) Front. Vet. Sci, 4, p. 2; Alcaide-Muñoz, L., Rodríguez-Bolívar, M.P., Cobo, M.J., Herrera-Viedma, E., Analysing the scientific evolution of e-Government using a science mapping approach (2017) Gov. Inf. Q, 34, pp. 545-555; Martín, M.J.C., (2011) SciMat: Herramienta Software para el Análisis de la Evolución del Conocimiento Científico. Propuesta de una Metodología de Evaluación, , Universidad de Granada, Granada, Spain; Cobo, M.J., López-Herrare, A.G., Herrera-Viedma, E., Herrera, F., SciMAT: A new science mapping analysis software tool (2012) J. Am. Soc. Inf. Sci. Technol, 63, pp. 1609-1630; Garzon, C.A., Tracing the Creation and Evaluation of Accessible Open Educational Resources through Learning Analytics (2018) Ph.D. Thesis, , Universitat de Girona, Girona, Spain; Rony, M., Barai, D., Riad, Hasan, Z., Cattle external disease classification using deep learning techniques Proceedings of the 12th International Conference on Computing Communication and Networking Technologies (ICCCNT), , Kharagpur, India, 6–8 July 2021; Lu, Z., Gröhn, Y.T., Smith, R.L., Karns, J.S., Hovingh, E., Schukken, Y.H., Stochastic modeling of imperfect salmonella vaccines in an adult dairy herd (2014) Bull. Math. Biol, 76, pp. 541-565; Wolff, C., Boqvist, S., Ståhl, K., Masembe, C., Sternberg-Lewerin, S., Biosecurity aspects of cattle production in Western Uganda, and associations with seroprevalence of brucellosis, salmonellosis and bovine viral diarrhoea (2017) BMC Vet. Res, 13. , 29212482; Ansari-Lari, M., Mohebbi-Fani, M., Lyons, N., Azizi, N., Impact of FMD outbreak on milk production and heifers’ growth on a dairy herd in southern Iran (2017) Prev. Vet. Med, 144, pp. 117-122. , 28716192; O’Hare, A., Orton, R.J., Bessell, P.R., Kao, R., Estimating epidemiological parameters for bovine tuberculosis in British cattle using a Bayesian partial-likelihood approach (2014) Proc. R. Soc. B Biol. Sci, 281, p. 20140248. , 24718762; Gates, M.C., Woolhouse, M.E., Controlling infectious disease through the targeted manipulation of contact network structure (2015) Epidemics, 12, pp. 11-19; Mitchell, R.M., Medley, G.F., Collins, M.T., Schukken, Y.H., A meta-analysis of the effect of dose and age at exposure on shedding of Mycobacterium avium subspecies paratuberculosis (MAP) in experimentally infected calves and cows (2012) Epidemiol. Infect, 140, pp. 231-246; Gröhn, Y.T., Progression to multi-scale models and the application to food system intervention strategies (2015) Prev. Vet. Med, 118, pp. 238-246; Anderson, D., Gormley, A., Bosson, M., Livingstone, P., Nugent, G., Livestock as sentinels for an infectious disease in a sympatric or adjacent-living wildlife reservoir host (2017) Prev. Vet. Med, 148, pp. 106-114; Mekonnen, G.A., Ameni, G., Wood, J.L.N., Berg, S., Conlan, A.J.K., Network analysis of dairy cattle movement and associations with bovine tuberculosis spread and control in emerging dairy belts of Ethiopia (2019) BMC Vet. Res, 15; Cabezas, A.H., Sanderson, M.W., Jaberi-Douraki, M., Volkova, V.V., Clinical and infection dynamics of foot-and-mouth disease in beef feedlot cattle: An expert survey (2018) Prev. Vet. Med, 158, pp. 160-168; Al-Mamun, M.A., Smith, R.L., Nigsch, A., Schukken, Y.H., Gröhn, Y.T., A data-driven individual-based model of infectious disease in livestock operation: A validation study for paratuberculosis (2018) PLoS ONE, 13; Mohr, S., Deason, M., Churakov, M., Doherty, T., Kao, R.R., Manipulation of contact network structure and the impact on foot-and-mouth disease transmission (2018) Prev. Vet. Med, 157, pp. 8-18. , 30086853; Rawdon, T., Garner, M., Sanson, R., Stevenson, M., Cook, C., Birch, C., Roche, S., Dubé, C., Evaluating vaccination strategies to control foot-and-mouth disease: A country comparison study (2018) Epidemiol. Infect, 146, pp. 1138-1150. , 29785893; Özkan, Ş., Vitali, A., Lacetera, N., Amon, B., Bannink, A., Bartley, D.J., Blanco-Penedo, I., Elliott, J., Challenges and priorities for modelling livestock health and pathogens in the context of climate change (2016) Environ. Res, 151, pp. 130-144; Zabel, T.A., Agusto, F.B., Transmission dynamics of bovine anaplasmosis in a cattle herd (2018) Interdiscip. Perspect. Infect. Dis, 2018, p. 4373981. , 29853873; Kosmala, M., Miller, P., Ferreira, S., Funston, P., Keet, D., Packer, C., Estimating wildlife disease dynamics in complex systems using an Approximate Bayesian Computation framework (2016) Ecol. Appl, 26, pp. 295-308; Fernández-Carrión, E., Ivorra, B., Martínez-López, B., Ramos, A., Sánchez-Vizcaíno, J., Implementation and validation of an economic module in the Be-FAST model to predict costs generated by livestock disease epidemics: Application to classical swine fever epidemics in Spain (2016) Prev. Vet. Med, 126, pp. 66-73; He, Y., Liu, H., Xie, X., Gu, W., Mao, Y., Luo, W., Infectious disease prediction and analysis based on parametric-nonparametric hybrid model Proceedings of the 2nd International Conference on Artificial Intelligence and Information Systems, , Chongqing, China, 28–30 May 2021; Bhardwaj, T., Somvanshi, P., Machine learning toward infectious disease treatment (2019) Machine Intelligence and Signal Analysis, 748, pp. 683-693. , Springer, Singapore; Lahodny, G., Gautam, R., Ivanek, R., Estimating the probability of an extinction or major outbreak for an environmentally transmitted infectious disease (2015) J. Biol. Dyn, 9, pp. 128-155; Hasan, S.S., Gupta, S., Fox, E.A., Bisset, K., Marathe, M.V., Gupta, S., Data mapping framework in a digital library with computational epidemiology datasets Proceedings of the IEEE/ACM Joint Conference on Digital Libraries, pp. 449-450. , London, UK, 8–12 September 2014; Currie, C., Monks, T., Modeling diseases: Prevention, cure and management (2013) J. Chem. Inf. Model, 53, pp. 1689-1699; Chen, J., Dai, L., Barrett, L., James, J., Plaisance-Bonstaff, K., Post, S.R., Qin, Z., SARS-CoV-2 proteins and anti-COVID-19 drugs induce lytic reactivation of an oncogenic virus (2021) Commun. Biol, 4, p. 682; Mekuria, S., Gadissa, F., Survey on bovine trypanosomosis and its vector in Metekel and Awi zones of Northwest Ethiopia (2011) Acta Trop, 117, pp. 146-151; Bekara, M.E.A., Courcoul, A., Bénet, J.-J., Durand, B., Modeling tuberculosis dynamics, detection and control in cattle herds (2014) PLoS ONE, 9. , 25254369; Detilleux, J.C., Effectiveness analysis of resistance and tolerance to infection (2011) Genet. Sel. Evol, 43, p. 9. , 21362170; Perrin, J.-B., Durand, B., Gay, E., Ducrot, C., Hendrikx, P., Calavas, D., Hénaux, V., Simulation-based evaluation of the performances of an algorithm for detecting abnormal disease-related features in cattle mortality records (2015) PLoS ONE, 10; Schärrer, S., Presi, P., Hattendorf, J., Chitnis, N., Reist, M., Zinsstag, J., Demographic model of the Swiss cattle population for the years 2009-2011 stratified by gender, age and production type (2014) PLoS ONE, 9. , 25310680; Schumm, P., Scoglio, C., Scott, H.M., An estimation of cattle movement parameters in the Central States of the US (2015) Comput. Electron. Agric, 116, pp. 191-200; Alfieri, A.A., Ribeiro, J., de Carvalho Balbo, L., Lorenzetti, E., Alfieri, A.F., Dairy calf rearing unit and infectious diseases: Diarrhea outbreak by bovine coronavirus as a model for the dispersion of pathogenic microorganisms (2018) Trop. Anim. Health Prod, 50, pp. 1937-1940. , 29671238; Rahman, A.K.M.A., Smit, S., Devleesschauwer, B., Kostoulas, P., Abatih, E., Saegerman, C., Shamsuddin, M., Ward, M.P., Bayesian evaluation of three serological tests for the diagnosis of bovine brucellosis in Bangladesh (2019) Epidemiol. Infect, 147, p. e73; Santman-Berends, I., Mars, M., Van Duijn, L., Broek, K.V.D., Van Schaik, G., A quantitative risk-analysis for introduction of Bovine Viral Diarrhoea Virus in the Netherlands through cattle imports (2017) Prev. Vet. Med, 146, pp. 103-113; Dubiau, L., Ale, J.M., Análisis de sentimientos sobre un corpus en Español: Experimentación con un caso de estudio Proceedings of the 14th Argentine Symposium on Artificial Intelligence, ASAI 2013, pp. 36-47. , Córdoba, Argentina, 16–20 September 2013; Esperança, P.M., Blagborough, A.M., Da, D.F., Dowell, F.E., Churcher, T.S., Detection of Plasmodium berghei infected Anopheles stephensi using near-infrared spectroscopy (2018) Parasites Vectors, 11, p. 377; Weeramanthri, T.S., Robertson, A.G., Dowse, G.K., Effler, P.V., Leclercq, M.G., Burtenshaw, J.D., Oldham, S.J., Gladstones, H.M., Response to pandemic (H1N1) 2009 influenza in Australia—Lessons from a State health department perspective (2010) Aust. Health Rev, 34, pp. 477-486; Barrat, A., Cattuto, C., Tozzi, A.E., Vanhems, P., Voirin, N., Measuring contact patterns with wearable sensors: Methods, data characteristics and applications to data-driven simulations of infectious diseases (2014) Clin. Microbiol. Infect, 20, pp. 10-16; Lim, S., Tucker, C.S., Kumara, S., An unsupervised machine learning model for discovering latent infectious diseases using social media data (2017) J. Biomed. Inform, 66, pp. 82-94. , 28034788; Sahneh, F.D., Scoglio, C., Epidemic spread in human networks Proceedings of the 50th IEEE Conference on Decision and Control and European Control Conference, pp. 3008-3013. , Orlando, FL, USA, 12–15 December 2011; Marzo, J.L., Cosgaya, S.G., Scoglio, C., Network robustness simulator: A case study on epidemic models Proceedings of the 9th International Workshop on Resilient Networks Design and Modeling (RNDM), pp. 1-6. , Alghero, Italy, 4–6 September 2017; Ross, E.G., Shah, N.H., Dalman, R.L., Nead, K.T., Cooke, J.P., Leeper, N.J., The use of machine learning for the identification of peripheral artery disease and future mortality risk (2016) J. Vasc. Surg, 64, pp. 1515-1522.e3; Beckman, R., Bisset, K.R., Chen, J., Lewis, B., Marathe, M., Stretz, P., ISIS: A networked-epidemiology based pervasive web app for infectious disease pandemic planning and response Proceedings of the 20th ACM SIGKDD International Conference on Knowledge Discovery and Data Mining, pp. 1847-1856. , New York, NY, USA, 24–27 August 2017; Barrett, C.L., Bisset, K.R., Eubank, S.G., Feng, X., Marathe, M.V., EpiSimdemics: An efficient algorithm for simulating the spread of infectious disease over large realistic social networks Proceedings of the 2008 ACM/IEEE Conference on Supercomputing, pp. 1-12. , Austin, TX, USA, 15–21 November 2008; Damianos, L., Wohlever, S., Kozierok, R., Ponte, J., MiTAP: A case study of integrated knowledge discovery tools Proceedings of the 36th Annual Hawaii International Conference on System Sciences, , Big Island, HI, USA, 6–9 January 2003; Douglas, J.V., Bianco, S., Edlund, S., Engelhardt, T., Filter, M., Günther, T., Hu, K., Swaid, A., STEM: An open source tool for disease modeling (2019) Health Secur, 17, pp. 291-306. , 31433284; Cruz, J.A., Wishart, D.S., Applications of machine learning in cancer prediction and prognosis (2006) Cancer Inform, 2, pp. 59-78; Ding, F., Fu, J., Jiang, D., Hao, M., Lin, G., Mapping the spatial distribution of Aedes aegypti and Aedes albopictus (2018) Acta Trop, 178, pp. 155-162; Barhak, J., Isaman, D.J., Ye, W., Lee, D., Chronic disease modeling and simulation software (2010) J. Biomed. Inform, 43, pp. 791-799; Rat-Aspert, O., Fourichon, C., Modelling collective effectiveness of voluntary vaccination with and without incentives (2010) Prev. Vet. Med, 93, pp. 265-275; Benítez, N.G., Modelo matemático para el diagnóstico y pronóstico de Fasciola Hepática en el ganado bo (2014) Rev. Electron. Vet, 15, pp. 1-10; Detilleux, J., Theron, L., Duprez, J.-N., Reding, E., Humblet, M.-F., Planchon, V., Delfosse, C., Hanzen, C., Structural equation models to estimate risk of infection and tolerance to bovine mastitis (2013) Genet. Sel. Evol, 45, p. 6; Pomeroy, L.W., Kim, H., Xiao, N., Moritz, M., Garabed, R., Network analyses to quantify effects of host movement in multilevel disease transmission models using foot and mouth disease in Cameroon as a case study (2019) PLOS Comput. Biol, 15. , 31465448; Tarjan, L., Senk, I., Pracner, D., Rajkovic, D., Strbac, L., Possibilities for applying machine learning in dairy cattle breeding Proceedings of the 20th International Symposium INFOTEH-JAHORINA (INFOTEH), pp. 1-6. , East Sarajevo, Bosnia and Herzegovina, 17–19 March 2021; Ma, S., Yao, Q., Masuda, T., Higaki, S., Yoshioka, K., Arai, S., Takamatsu, S., Itoh, T., Development of noncontact body temperature monitoring and prediction system for livestock cattle (2021) IEEE Sens. J, 21, pp. 9367-9376; Prentice, J.C., Marion, G., White, P.C.L., Davidson, R.S., Hutchings, M.R., Demographic processes drive increases in wildlife disease following population reduction (2014) PLoS ONE, 9. , 24784544; Preedy, K.F., Schofield, P.G., Liu, S., Matzavinos, A., Chaplain, M.A., Hubbard, S.F., Modelling contact spread of infection in host–parasitoid systems: Vertical transmission of pathogens can cause chaos (2010) J. Theor. Biol, 262, pp. 441-451. , 19837087; Ivorra, B., Martínez-López, B., Sánchez-Vizcaíno, J.M., Ramos, A.M., Mathematical formulation and validation of the Be-FAST model for Classical Swine Fever Virus spread between and within farms (2014) Ann. Oper. Res, 219, pp. 25-47; Carr, S., Roberts, S., Planning for infectious disease outbreaks: A geographic disease spread, clinic location, and resource allocation simulation Proceedings of the 2010 Winter Simulation Conference, pp. 2171-2184. , Baltimore, MD, USA, 5–8 December 2010; Lamouroux, D., Nagler, J., Geisel, T., Eule, S., Paradoxical effects of coupling infectious livestock populations and imposing transport restrictions (2014) Proc. R. Soc. B Biol. Sci, 282, p. 20142805; Tago, D., Hammitt, J.K., Thomas, A., Raboisson, D., The impact of farmers’ strategic behavior on the spread of animal infectious diseases (2016) PLoS ONE, 11; Liu, H., Schumm, P., Lyubinin, A., Scoglio, C., Epirur_Cattle: A spatially explicit agent-based simulator of beef cattle movements (2012) Procedia Comput. Sci, 9, pp. 857-865; Ogola, J., Fèvre, E., Gitau, G., Christley, R., Muchemi, G., de Glanville, W., The topology of between-herd cattle contacts in a mixed farming production system in western Kenya (2018) Prev. Vet. Med, 158, pp. 43-50; Mat, B., Arikan, M.S., Akin, A.C., Çevrimli, M.B., Yonar, H., Tekindal, M.A., Determination of production losses related to lumpy skin disease among cattle in Turkey and analysis using SEIR epidemic model (2021) BMC Vet. Res, 17; Guo, K., Shen, C., Zhou, X., Ren, S., Hu, M., Shen, M., Chen, X., Guo, H., Traffic data-empowered XGBoost-LSTM framework for infectious disease prediction (2022) IEEE Trans. Intell. Transp. Syst, pp. 1-12; Rossi, G., De Leo, G.A., Pongolini, S., Natalini, S., Vincenzi, S., Bolzoni, L., Epidemiological modelling for the assessment of bovine tuberculosis surveillance in the dairy farm network in Emilia-Romagna (Italy) (2015) Epidemics, 11, pp. 62-70. , 25979283; McConnel, C., Lombard, J., Wagner, B., Kopral, C., Garry, F., Herd factors associated with dairy cow mortality (2015) Animal, 9, pp. 1397-1403; Viana, M., Shirima, G.M., John, K.S., Fitzpatrick, J., Kazwala, R.R., Buza, J.J., Cleaveland, S., Halliday, J.E.B., Integrating serological and genetic data to quantify cross-species transmission: Brucellosis as a case study (2016) Parasitology, 143, pp. 821-834; Zagmutt, F.J., Schoenbaum, M.A., Hill, A.E., The impact of population, contact, and spatial heterogeneity on epidemic model predictions (2016) Risk Anal, 36, pp. 939-953. , 26477887; Johnston, W., Vial, F., Gettinby, G., Bourne, F., Clifton-Hadley, R., Cox, D., Crea, P., Mitchell, A., Herd-level risk factors of bovine tuberculosis in England and Wales after the 2001 foot-and-mouth disease epidemic (2011) Int. J. Infect. Dis, 15, pp. e833-e840. , 21955576; Uyheng, J., Rosales, J.C., Espina, K., Estuar, M.R.J., Estimating parameters for a dynamical dengue model using genetic algorithms Proceedings of the Genetic and Evolutionary Computation Conference Companion, pp. 310-311. , Kyoto, Japan, 15–19 July 2018; Zimmer, C., Yaesoubi, R., Cohen, T., A likelihood approach for real-time calibration of stochastic compartmental epidemic models (2017) PLOS Comput. Biol, 13; Rodríguez-Prieto, V., Martínez-López, B., Barasona, J., Acevedo, P., Romero, B., Rodriguez-Campos, S., Gortázar, C., Vicente, J., A Bayesian approach to study the risk variables for tuberculosis occurrence in domestic and wild ungulates in South Central Spain (2012) BMC Vet. Res, 8; Holt, A.C., Salkeld, D.J., Fritz, C.L., Tucker, J.R., Gong, P., Spatial analysis of plague in California: Niche modeling predictions of the current distribution and potential response to climate change (2009) Int. J. Health Geogr, 8, p. 38; Wang, Y., Li, P.-F., Tian, Y., Ren, J.-J., Li, J.-S., A shared decision-making system for diabetes medication choice utilizing electronic health record data (2017) IEEE J. Biomed. Health Inform, 21, pp. 1280-1287; Livnat, Y., Rhyne, T.-M., Samore, M.H., Epinome: A visual-analytics workbench for epidemiology data (2012) IEEE Comput. Graph. Appl, 32, pp. 89-95. , 24804950; Ak, Ç., Ergonul, O., Gönen, M., A prospective prediction tool for understanding Crimean–Congo haemorrhagic fever dynamics in Turkey (2019) Clin. Microbiol. Infect, 26, pp. 123.e1-123.e7. , 31129282; Permanasari, A.E., Rohaya, D., Rambli, A., Dominic, P.D.D., Forecasting of Salmonellosis incidence in human using artificial neural network Proceedings of the 2010 2nd International Conference on Computer and Automation Engineering (ICCAE), 1, pp. 136-139. , Singapore, 26–28 February 2010; Mallah, S.I., Ghorab, O.K., Al-Salmi, S., Abdellatif, O.S., Tharmaratnam, T., Iskandar, M.A., Sefen, J.A.N., El-Lababidi, R., COVID-19: Breaking down a global health crisis (2021) Ann. Clin. Microbiol. Antimicrob, 20, pp. 1-36. , 34006330; Quiner, C.A., Nakazawa, Y., Ecological niche modeling to determine potential niche of Vaccinia virus: A case only study (2017) Int. J. Health Geogr, 16, pp. 1-12. , 28784125; Sedighi, T., Varga, L., Evaluating the bovine tuberculosis eradication mechanism and its risk factors in England’s cattle farms (2021) Int. J. Environ. Res. Public Health, 18; Lopes, L.B., Haddad, J.P.A., Melo, C.B., Leite, R.C., Efeito do perfil sorológico para diarreia viral bovina (bvd) nas taxas de descarte em rebanhos leiteiros (2010) Cienc. Anim. Bras, 11, pp. 133-138; Asamoah, J.K.K., Okyere, E., Yankson, E., Opoku, A.A., Adom-Konadu, A., Acheampong, E., Arthur, Y.D., Non-fractional and fractional mathematical analysis and simulations for Q. fever (2022) Chaos Solitons Fractals, 156, p. 111821; Van der Linden, F., Schmid, K., Rommes, E., Philips medical systems (2007) Software Product Lines in Action, , Springer, Berlin/Heidelberg, Germany; Kelly, R.F., Hamman, S.M., Morgan, K.L., Nkongho, E.F., Ngwa, V.N., Tanya, V., Andu, W.N., Handel, I.G., Knowledge of bovine tuberculosis, cattle husbandry and dairy practices amongst pastoralists and small-scale dairy farmers in Cameroon (2016) PLoS ONE, 11; Wang, X., Cheng, X., Chen, Z., Xu, F., A Method for individual identification of dairy cows based on deep learning Proceedings of the 2nd International Conference on Robotics, Intelligent Control and Artificial Intelligence, , Shanghai, China, 17–19 October 2020; Mörk, M.J., Wolff, C., Lindberg, A., Vågsholm, I., Egenvall, A., Validation of a national disease recording system for dairy cattle against veterinary practice records (2010) Prev. Vet. Med, 93, pp. 183-192; Brockmann, D., Global Connectivity and the Spread of Infectious Diseases (2017) Nova Acta Leopoldina, 419, pp. 129-136. , http://rocs.hu-berlin.de/papers/brockmann_2017b.pdf, Robert Koch-Institut, Berlin, Germany, Available online; Inayatulloh, Theresia, S., Early warning system for infectious diseases Proceedings of the 9th International Conference on Telecommunication Systems Services and Applications (TSSA), pp. 1-5. , Bandung, Indonesia, 25–26 November 2015</t>
  </si>
  <si>
    <t>Ballesteros-Ricaurte, J.A.; Escuela de Ingeniería de Sistemas y Computación, Colombia; email: javier.ballesteros@uptc.edu.co</t>
  </si>
  <si>
    <t>2-s2.0-85136788260</t>
  </si>
  <si>
    <t>Rodriguez-Barcenilla E., Ortega-Mohedano F.</t>
  </si>
  <si>
    <t>57861501000;55246316800;</t>
  </si>
  <si>
    <t>Moving towards the End of Gender Differences in the Habits of Use and Consumption of Mobile Video Games</t>
  </si>
  <si>
    <t>Information (Switzerland)</t>
  </si>
  <si>
    <t>10.3390/info13080380</t>
  </si>
  <si>
    <t>https://www.scopus.com/inward/record.uri?eid=2-s2.0-85136636071&amp;doi=10.3390%2finfo13080380&amp;partnerID=40&amp;md5=6c75449b994df2e7daf0d28744deb557</t>
  </si>
  <si>
    <t>Department of Sociology and Communication Salamanca, University of Salamanca, Salamanca, 37007, Spain</t>
  </si>
  <si>
    <t>Rodriguez-Barcenilla, E., Department of Sociology and Communication Salamanca, University of Salamanca, Salamanca, 37007, Spain; Ortega-Mohedano, F., Department of Sociology and Communication Salamanca, University of Salamanca, Salamanca, 37007, Spain</t>
  </si>
  <si>
    <t>The world of video games has become one of the most important entertainment niches for society. In the last decade it has surpassed in turnover audio-visual markets such as cinema and music, driving the development of a new form of communication. The increase in the number of female gamers has highlighted the need to discover differences and similarities between players, both in habits and motivations. We present a study based on a survey procedure for the completion of a questionnaire that aimed to cover the age range of 18 to 30 years of Spanish youngsters and that reached a total of 711 valid responses. The results showed that there were no significant differences in terms of hours spent playing video games between the two genders, although there were motivational differences in the reasons for playing, specifically in terms of competition and challenge. The discussion of the results was carried out by means of a comparative statistical analysis of means to confirm the hypotheses and meet the objectives. Despite the existence of significant differences between genders, these were not as notable as might be expected. When it comes to gaming, as we have detected in our study, there were some consumption habits with differentiated gender patterns; however, in relevant indicators such as hours of consumption, increase in lockdown consumption, and spending, there were no significant differences. The gender gap that existed a few years ago between video gamers is becoming progressively narrower. © 2022 by the authors.</t>
  </si>
  <si>
    <t>consumption; differences; gender; habits; mobile; motivations; video games</t>
  </si>
  <si>
    <t>Audio acoustics; Human computer interaction; Music; Surveys; Audio-visual; Consumption; Difference; Gender; Gender-differences; Habit; Mobile; Mobile video; New forms; Video-games; Motivation</t>
  </si>
  <si>
    <t>Orús, A., Distribución Porcentual de Los Jugadores de Deportes Electrónicos En España En 2019. 2020. Por Género. Statista, , https://es.statista.com/estadisticas/1059213/distribucion-por-genero-de-los-jugadores-de-esports-espana/, Available online; Diez-Gutierrez, E., Las raíces de la violencia y el machismo la socialización educativa a través de los videojuegos (2009) Papeles, 1, pp. 20-42; Aldegani, E., El videojuego en el escenario de la cultura mainstream. Repensar al videojuego como producto cultural y su inserción en el imaginario contemporáneo (2018) E-Tramas, 1, pp. 65-76; Licona-Vega, A., Carvalho-Levy, D., Los videojuegos en el contexto de las nuevas tecnologías: Relación entre las actividades lúdicas actuales, la conducta y el aprendizaje (2001) Pixel-Bit Rev. De Medios Y Educ, 17, pp. 33-45; Drąsutė, V., Dzindzalietienė, G., Kelpšaitė, N., Drąsutis, S., Canbulut, C., Videogames in Education: Analysis of Videogames and Apps Proceedings of the Advanced Learning Technologies and Applications. Games for Education-ALTA18’, pp. 25-28. , Kaunas, Lithuania, 5 December 2018; De Sousa, F., Rasmussen, I., Productive Disciplinary Engagement and Videogames: A Teacher’s Educational Design to Engage Students with Ethical Theories in Citizenship Education (2019) Nord. J. Digit. Lit, 14, pp. 99-116; Marín-Díaz, V., Sampedro-Requena, B., López-Pérez, M., Students’ perceptions about the use the videogames in secondary education (2020) Educ. Inf. Technol, 25, pp. 3251-3273; Waweru, B., Yap, H., Phan, K., Josephng, P., Eaw, H., Gamesy: How videogames serve as a better placement for school Proceedings of the 2020 IEEE Student Conference on Research and Development, , Virtual Event, 14 November 2020; Ciornei, C., The Application of Gamification in the Medical Activity in Romania: A Perspective of Doctors (2021) New Trends and Challenges in Information Science and Information Seeking Behaviour, pp. 139-151. , Springer, Cham, Switzerland; Yilmaz, E., Yel, S., Griffiths, M., Comparison of children’s social problem-solving skills who play videogames and traditional games: A cross-cultural study (2022) Comput. Educ, 187, p. 104548; Pindado, J., Las posiblidades educativas de los videojuegos. Una revisión de los estudios más significativos (2005) Pixel-Bit Rev. De Medios Y Educ, 26, pp. 55-67; Díaz-Pinzón, E., Sondeo sobre hábitos de consumo de los videojuegos (2020) Academia y Virtualidad, 13, pp. 9-18; Gonzalez, M., Aguilar, S., Cómo interactúan los adolescentes con los videojuegos? Preferencias y habilidades performativas (2019) Rev. Lat. De Comun. Soc, 74, pp. 360-382; Maya, C., Ojeda, S., Maldonado, J., Producir para consumir: Videojuegos de roles multijugador en línea y hábitos de consumo en niños y adolescentes (2017) Aletheia, 9, pp. 138-155; Chacón-Cuberos, R., Zurita Ortega, F., Castro-Sánchez, M., Espejo-Garcés, T., Martínez-Martínez, A., Pérez Cortés, J., Clima motivacional hacia el deporte y su relación con hábitos de ocio digital sedentario en estudiantes universitarios. Clima motivacional hacia el deporte y su relación con hábitos de ocio digital sedentario en estudiantes universitarios (2017) Saúde E Soc, 26, pp. 29-39; Potter, S.J., Flanagan, M., Seidman, M., Hodges, H., Stapleton, J.G., Developing and piloting videogames to increase college and university students’ awareness and efficacy of the bystander role in incidents of sexual violence (2019) Games Health J, 8, pp. 24-34. , 30183345; Sánchez-Zafra, M., Zurita-Ortega, F., Ramírez-Granizo, I., Puertas-Molero, P., González-Valero, G., Ubago-Jiménez, J., Niveles de autoconcepto y su relación con el uso de videojuegos en escolares del tercer ciclo de primaria (2019) J. Sport Health Res, 11, pp. 110-123; Iranzo, R., González, C., Paderewski, P., Arnedo-Moreno, J., Domenech, M., de Frutos, M., Generación Z y Fortnite: Lo que engancha a los más pequeños (2020) Rev. De La Asoc. Interacción Pers. Ordenad. (AIPO), 1, pp. 23-42; Chan, G., Huo, Y., Kelly, S., Leung, J., Tisdale, C., Gullo, M., The impact of eSports and online video gaming on lifestyle behaviours in youth: A systematic review (2022) Comput. Hum. Behav, 126, p. 106974; Chai, Y., The Extent of Exposure to Violent Videogames as a Risk Factor for Youth Aggression (2022) Proceedings of the 2021 International Conference on Social Development and Media Communication (SDMC 2021), pp. 1534-1538. , Sanya, China, 26–28 November 2021, Atlantis Press, Amsterdam, The Netherlands; Fox, J., Gilbert, M., Tang, W., Player experiences in a massively multiplayer online game: A diary study of performance, motivation, and social interaction (2018) New Media Soc, 20, pp. 4056-4073; Biolcati, R., Pupi, V., Mancini, G., Massively multiplayer online role-playing game (MMORPG) player profiles: Exploring player’s motives predicting internet addiction disorder (2021) Int. J. High Risk Behav. Addict, 10, p. e107530; Rodríguez, M., Redes sociales y hábitos de consumo en estudiantes universitarios, caso universidad pedagógica y tecnológica de Colombia (2018) Rev. Espac, 39, p. 37; Skopljakovic, E., (2019) Gaming as a Social Construct: Towards a Framework for Player Socialization in massive Multiplayer Online Videogames, , https://www.semanticscholar.org/paper/Gaming-as-a-Social-Construct%3A-Towards-a-Framework-Skopljakovic/d4ad0a78687a6003634dcaf3dd7046ad9ec7bab7, Available online; Olson, M., Harrel, F., I Don’t See Color: Characterizing Players’ Racial Attitudes and Experiences via an Anti-Bias Simulation Videogame Proceedings of the International Conference on the Foundations of Digital Games, pp. 1-4. , Malta, La Valeta, 15–18 September 2020; Marcelo-Martínez, P., Gallego-Domínguez, C., Hábitos de estudiantes universitarios de Educación Infantil en el uso de videojuegos (2016) I Congreso Internacional de Innovación y Tecnología Educativa En Educación Infantil (CITEI’16). Entrelazando Investigación y Práctica Para Una Educación Del Siglo XXI (2016), , Universidad de Sevilla, Grupo de Investigación Didáctica, Sevilla, Spain; Rosell, M., Sánchez-Carbonell, X., Jordana, C., Fargues, M., El adolescente ante las tecnologías de la información y la comunicación: Internet, móvil y videojuegos (2007) Pap. Del Psicólogo, 28, pp. 196-204; Barrio-Fernández, D., Los adolescentes y el uso de los teléfonos móviles y de videojuegos. Los adolescentes y el uso de los teléfonos móviles y de videojuegos (2014) Int. J. Dev. Educ. Psychol, 3; Valcarce, D., de Diego-Martínez, A., MArtín, J., Hábitos de uso de los videojuegos en España entre los mayores de 35 años (2009) Rev. Lat. De Comun. Soc, 12, pp. 694-704; Barujel, G., Paragarino, R., Niños y adolescentes frente a la Competencia Digital. Entre el teléfono móvil, youtubers y videojuegos (2017) Rev. Interuniv. De Form. Del Profr. RIFOP, 31, pp. 171-186; Dunas, V., Vartanov, A., Emerging digital media culture in Russia: Modeling the media consumption of generation Z (2020) J. Multicult. Discourses, 15, pp. 186-203; Albiar, M., Rodríguez, P., Martínez, M., Crespo, C., Amorós, O., Sánchez, E., Diferencias de sexo, característica de personalidad y afrontamiento en el uso de internet, el móvil y los videojuegos en la adolescencia (2012) Health Addict. Salud Y Drog, 12, pp. 61-82; Greenberg, S., Sherry, J., Lachlan, K., Lucas, K., Holmstrom, A., Orientations to video games among gender and age groups (2010) Simul. Gaming, 41, pp. 238-259; Lucas, K., Sherry, J., Sex differences in videogame play. A communication based explanation (2004) Commun. Res, 31, pp. 499-523; Cabras, C., Cubadda, L., Sechi, C., Relationships among violent and non-violent video games, anxiety, self-esteem, and aggression in female and male gamers (2019) Int. J. Gaming Comput.-Mediat. Simul, 11, pp. 15-37; Ferguson, J., Olson, K., Friends, fun, frustration and fantasy: Child motivations for videogame play (2013) Motiv. Emotion, 37, pp. 154-164; Hartmann, T., Klimmt, C., Gender and computer games: Exploring females’ dislikes (2006) J. Comput.-Mediat. Commun, 11, pp. 910-931; Villafuerte, A., Personalidad, hábitos de consumo y riesgo de adicción al Internet en estudiantes universitarios (2005) Rev. De Psicol, 23, pp. 65-112; González-Neira, A., Fernández-Martínez, M., Nuevos hábitos de consumo televisivo: Retos de la audiencia en diferido (2019) Index Comun, 9, pp. 75-92; González-Vázquez, A., Igartua, J., ¿Por qué los adolescentes juegan videojuegos? Propuesta de una escala de motivos para jugar videojuegos a partir de la teoría de usos y gratificaciones (2018) Cuad. Info, 42, pp. 135-146; Przybylski, A., Rigby, C., Ryan, R., A motivational model of video game engagement. Review of general psychology (2010) Rev. Gen. Psychol, 14, pp. 154-166; King, D., Delfabbro, P., Motivational differences in problem videogame play (2009) J. Cybertherapy Rehabil, 2, pp. 139-149; Marston, R., Kowert, R., What role can videogames play in the COVID-19 pandemic? (2020) Emerald Open Res, 2, p. 34; De Pasquale, C., Chiappedi, M., Sciacca, F., Martinelli, V., Hichy, Z., Online videogames use and anxiety in children during the COVID-19 pandemic (2021) Children, 8; Abbasi, A.Z., Rehman, U., Ting, D.H., Quraishi, M.A., Do pop-up ads in online videogames influence children’s inspired-to behavior? (2022) Young Consum, 23; Limone, T., Giusi, A., Psychological and emotional effects of Digital Technology on Children in COVID-19 Pandemic (2021) Brain Sci, 11; Türkay, S., Lin, A., Johnson, D., Formosa, J., Self-determination theory approach to understanding the impact of videogames on wellbeing during COVID-19 restrictions (2022) Behav. Inf. Technol, 2022, pp. 1-20; Ellis, L.A., Lee, M.D., Ijaz, K., Smith, J., Braithwaite, J., Yin, K., COVID-19 as ‘game changer’for the physical activity and mental well-being of augmented reality game players during the pandemic: Mixed methods survey study (2020) J. Med. Internet Res, 22, p. e25117; Riva, G., Mantovani, F., Wiederhold, B., Positive technology and COVID-19 (2020) Cyberpsychology Behav. Soc. Netw, 23, pp. 581-587. , 32833511; Alarcón-Aldana, A., Callejas-Cuervo, M., Bo, A., Upper limb physical rehabilitation using serious videogames and motion capture systems: A systematic review (2020) Sensors, 20; Pine, R., Fleming, T., McCallum, S., Sutcliffe, K., The effects of casual videogames on anxiety, depression, stress, and low mood: A systematic review (2020) Games Health J, 9, pp. 255-264; Szolin, K., Kuss, D., Nuyens, F., Griffiths, M., Gaming Disorder: A systematic review exploring the user-avatar relationship in videogames (2022) Comput. Hum. Behav, 128, p. 107124; Tyack, A., Wyeth, P., Johnson, D., Restorative play: Videogames improve player wellbeing after a need-frustrating event Proceedings of the 2020 CHI Conference on Human Factors in Computing Systems, pp. 1-15. , Honolulu, HI, USA, 25–30 April 2020; Xu, W., Liang, H.N., Baghaei, N., Wu Berberich, B., Yue, Y., Health benefits of digital videogames for the aging population: A systematic review (2020) Games Health J, 9, pp. 389-404. , 32589482; (2022), https://twitchtracker.com/statistics, Available online; Gómez-Gonzalvo, F., Pere, M., Devís-Devís, J., Which are the patterns of video game use in Spanish school adolescents? Gender as a key factor (2020) Entertain. Comput, 34, p. 100366; Gestos, M., Smith-Merry, J., Campbell, A., Representation of women in video games: A systematic review of literature in consideration of adult female wellbeing (2018) Cyberpsychol. Behav. Soc. Netw, 21, pp. 535-541; Forni, D., Horizon Zero Dawn: The educational influence of video games in counteracting gender stereotypes (2020) Trans. Digit. Games Res. Assoc, 5; Park, C.S., Kaye, B., Smartphone and self-extension: Functionally, anthropomorphically, and ontologically extending self via the smartphone (2019) Mob. Media Commun, 7, pp. 215-231</t>
  </si>
  <si>
    <t>Rodriguez-Barcenilla, E.; Department of Sociology and Communication Salamanca, Spain; email: edroba@usal.es</t>
  </si>
  <si>
    <t>Ortega-Mohedano</t>
  </si>
  <si>
    <t>2-s2.0-85136636071</t>
  </si>
  <si>
    <t>Becerra D., Abonia R., Castillo J.-C.</t>
  </si>
  <si>
    <t>36912568700;7004055138;27967485800;</t>
  </si>
  <si>
    <t>https://www.scopus.com/inward/record.uri?eid=2-s2.0-85135383321&amp;doi=10.3390%2fmolecules27154723&amp;partnerID=40&amp;md5=6336a3c70fc136702f3d31693bafd2c8</t>
  </si>
  <si>
    <t>Escuela de Ciencias Química, Facultad de Ciencias, Universidad Pedagógica y Tecnológica de Colombia, Avenida Central del Norte, Tunja, 150003, Colombia; Research Group of Heterocyclic Compounds, Department of Chemistry, Universidad del Valle, A.A. 25360, Cali, 76001, Colombia</t>
  </si>
  <si>
    <t>Becerra, D., Escuela de Ciencias Química, Facultad de Ciencias, Universidad Pedagógica y Tecnológica de Colombia, Avenida Central del Norte, Tunja, 150003, Colombia; Abonia, R., Research Group of Heterocyclic Compounds, Department of Chemistry, Universidad del Valle, A.A. 25360, Cali, 76001, Colombia; Castillo, J.-C., Escuela de Ciencias Química, Facultad de Ciencias, Universidad Pedagógica y Tecnológica de Colombia, Avenida Central del Norte, Tunja, 150003, Colombia</t>
  </si>
  <si>
    <t>Pyrazole and its derivatives are considered a privileged N-heterocycle with immense therapeutic potential. Over the last few decades, the pot, atom, and step economy (PASE) synthesis of pyrazole derivatives by multicomponent reactions (MCRs) has gained increasing popularity in pharmaceutical and medicinal chemistry. The present review summarizes the recent developments of multicomponent reactions for the synthesis of biologically active molecules containing the pyrazole moiety. Particularly, it covers the articles published from 2015 to date related to antibacterial, anticancer, antifungal, antioxidant, α-glucosidase and α-amylase inhibitory, anti-inflammatory, antimycobacterial, antimalarial, and miscellaneous activities of pyrazole derivatives obtained exclusively via an MCR. The reported analytical and activity data, plausible synthetic mechanisms, and molecular docking simulations are organized in concise tables, schemes, and figures to facilitate comparison and underscore the key points of this review. We hope that this review will be helpful in the quest for developing more biologically active molecules and marketed drugs containing the pyrazole moiety. © 2022 by the authors.</t>
  </si>
  <si>
    <t>biological activity; drug discovery; medicinal chemistry; multicomponent reactions (MCRs); pyrazole derivatives</t>
  </si>
  <si>
    <t>alpha glucosidase; antifungal agent; antiinfective agent; pyrazole derivative; medicinal chemistry; molecular docking; alpha-Glucosidases; Anti-Bacterial Agents; Antifungal Agents; Chemistry, Pharmaceutical; Molecular Docking Simulation; Pyrazoles</t>
  </si>
  <si>
    <t>alpha glucosidase, 9001-42-7; alpha-Glucosidases; Anti-Bacterial Agents; Antifungal Agents; Pyrazoles</t>
  </si>
  <si>
    <t>Universidad del Valle, Univalle</t>
  </si>
  <si>
    <t>D.B. and J.-C.C. acknowledge the Dirección de Investigaciones at the Universidad Pedagógica y Tecnológica de Colombia (Project SGI 3312). R.A. thanks MINCIENCIAS and Universidad del Valle for partial financial support. The authors thank Daniela Becerra-Córdoba for designing the graphical abstract.</t>
  </si>
  <si>
    <t>Hulme, C., Applications of multicomponent reactions in drug discovery–lead generation to process development (2005) Multicomponent Reactions, 1, pp. 311-341. , Zhu J., Bienaymé H., (eds), 1st ed., WILEY-VCH, Weinheim, German; Dömling, A., Wang, W., Wang, K., Chemistry and biology of multicomponent reactions (2012) Chem. Rev, 112, pp. 3083-3135; Ramachary, D.B., Jain, S., Sequential one-pot combination of multi-component and multi-catalysis cascade reactions: An emerging technology in organic synthesis (2011) Org. Biomol. Chem, 9, pp. 1277-1300. , 21120241; Kakuchi, R., Multicomponent reactions in polymer synthesis (2014) Angew. Chem. Int. Ed, 53, pp. 46-48. , 24302633; Abonia, R., Castillo, J., Insuasty, B., Quiroga, J., Nogueras, M., Cobo, J., Efficient catalyst-free four-component synthesis of novel γ-aminoethers mediated by a Mannich type reaction (2013) ACS Comb. Sci, 15, pp. 2-9. , 23167924; Insuasty, D., Castillo, J., Becerra, D., Rojas, H., Abonia, R., Synthesis of biologically active molecules through multicomponent reactions (2020) Molecules, 25; Younus, H.A., Al-Rashida, M., Hameed, A., Uroos, M., Salar, U., Rana, S., Khan, K.M., Multicomponent reactions (MCR) in medicinal chemistry: A patent review (2010–2020) (2021) Expert. Opin. Ther. Pat, 31, pp. 267-289; Strecker, A., Ueber die künstliche Bildung der Milchsäure und einen neuen, dem glycocoll homologen körper (1850) Ann. Chem. Pharm, 75, pp. 27-45; Hantzsch, A., Condensationprodukte aus aldehydammoniak und ketoniartigen verbindungen (1881) Chem. Ber, 14, pp. 1637-1638; Biginelli, P., Ueber aldehyduramide des acetessigäthers (1891) Chem. Ber, 24; Mannich, C., Krösche, W., Ueber ein kondensationsprodukt aus formaldehyd, ammoniak und antipyrin (1912) Arch. Pharm, 250, pp. 647-667; Passerini, M., Sopra gli isonitrili (I). Composto del p-isonitrilazobenzolo con acetone ed acido acetico (1921) Gazz. Chim. Ital, 51, pp. 126-129; Fields, E.K., The synthesis of esters of substituted amino phosphonic acids (1952) J. Am. Chem. Soc, 74, pp. 1528-1531; Asinger, F., Über die gemeinsame einwirkung von schwefel und ammoniak auf ketone (1956) Angew. Chem, 68; Ugi, I., Meyr, R., Fetzer, U., Steinbrückner, C., Versuche mit isonitrilen (1959) Angew. Chem, 71, pp. 373-388; Gewald, K., Schinke, E., Böttcher, H., Heterocyclen aus CH-aciden nitrilen, VIII. 2-Amino-thiophene aus methylenaktiven nitrilen, carbonylverbindungen und schwefel (1966) Chem. Ber, 99, pp. 94-100; Oldenziel, O.H., Van Leusen, D., Van Leusen, A.M., Chemistry of sulfonylmethyl isocyanides. 13. A general one-step synthesis of nitriles from ketones using tosylmethyl isocyanide. Introduction of a one-carbon unit (1977) J. Org. Chem, 42, pp. 3114-3118; Bienaymé, H., Bouzid, K., A new heterocyclic multicomponent reaction for the combinatorial synthesis of fused 3-aminoimidazoles (1998) Angew. Chem. Int. Ed, 37, pp. 2234-2237; Boltjes, A., Dömling, A., The Groebke-Blackburn-Bienaymé reaction (2019) Eur. J. Chem, 2019, pp. 7007-7049; Naim, M.J., Alam, O., Nawaz, F., Alam, J., Alam, P., Current status of pyrazole and its biological activities (2016) J. Pharm. Bioallied Sci, 8, pp. 2-17. , 26957862; Karrouchi, K., Radi, S., Ramli, Y., Taoufik, J., Mabkhot, Y.N., Al-aizari, F.A., Ansar, M., Synthesis and pharmacological activities of pyrazole derivatives: A review (2018) Molecules, 23; Ebenezer, O., Shapi, M., Tuszynski, J.A., A review of the recent development in the synthesis and biological evaluations of pyrazole derivatives (2022) Biomedicines, 10; Maddila, S., Jonnalagadda, S.B., Gangu, K.K., Maddila, S.N., Recent advances in the synthesis of pyrazole derivatives using multicomponent reactions (2017) Curr. Org. Synth, 14, pp. 634-6531; Castillo, J.-C., Portilla, J., Recent advances in the synthesis of new pyrazole derivatives (2018) TARGETS IN HETEROCYCLIC SYSTEMS: Chemistry and Properties, 22, pp. 194-223. , https://www.soc.chim.it/sites/default/files/ths/22/chapter_9.pdf, Attanasi O.A., Merino P., Spinelli D., (eds), Società Chimica Italiana, Rome, Italy, Available online; Sadeghpour, M., Olyaei, A., Recent advances in the synthesis of bis(pyrazolyl)methanes and their applications (2021) Res. Chem. Intermed, 47, pp. 4399-4441; Mali, G., Shaikh, B.A., Garg, S., Kumar, A., Bhattacharyya, S., Erande, R.D., Chate, A.V., Design, synthesis, and biological evaluation of densely substituted dihydropyrano[2,3-c]pyrazoles via a taurine-catalyzed green multicomponent approach (2021) ACS Omega, 6, pp. 30734-30742; El-Assaly, S.A., Ismail, A.E.H.A., Bary, H.A., Abouelenein, M.G., Synthesis, molecular docking studies, and antimicrobial evaluation of pyrano[2,3-c]pyrazole derivatives (2021) Curr. Chem. Lett, 10, pp. 309-328; Reddy, G.M., Garcia, J.R., Zyryanov, G.V., Sravya, G., Reddy, N.B., Pyranopyrazoles as efficient antimicrobial agents: Green, one-pot and multicomponent approach (2019) Bioorg. Chem, 82, pp. 324-331. , 30415166; Kendre, B.V., Landge, M.G., Bhusare, S.R., Synthesis and biological evaluation of some novel pyrazole, isoxazole, benzoxazepine, benzothiazepine and benzodiazepine derivatives bearing an aryl sulfonate moiety as antimicrobial and anti-inflammatory agents (2019) Arab. J. Chem, 12, pp. 2091-2097; Dehbalaei, M.G., Foroughifar, N., Pasdar, H., Facile green one-pot synthesis of pyrano[2,3-c]pyrazole and 1,8-dioxo-decahydroacridine derivatives using graphene oxide as a carbocatalyst and their biological evaluation as potent antibacterial agents (2018) Biointerface Res. Appl. Chem, 8, pp. 3016-3022; Barakat, A., Al-Majid, A.M., Al-Qahtany, B.M., Ali, M., Teleb, M., Al-Agamy, M.H., Naz, S., Ul-Haq, Z., Synthesis, antimicrobial activity, pharmacophore modeling and molecular docking studies of new pyrazole-dimedone hybrid architectures (2018) Chem. Cent. J, 12, p. 29; Vaarla, K., Kesharwani, R.K., Santosh, K., Rao, R., Kotamraju, S., Toopurani, M.K., Synthesis, biological activity evaluation and molecular docking studies of novel coumarin substituted thiazolyl-3-aryl-pyrazole-4-carbaldehydes (2015) Bioorg. Med. Chem. Lett, 25, pp. 5797-5803; Kathirvelan, D., Haribabu, J., Reddy, B.S.R., Balachandran, C., Duraipandiyan, V., Facile and diastereoselective synthesis of 3,2′-spiropyrrolidine-oxindoles derivatives, their molecular docking and antiproliferative activities (2015) Bioorg. Med. Chem. Lett, 25, pp. 389-399. , 25435149; Suresh, L., Kumar, P.S.V., Poornachandra, Y., Kumar, C.G., Chandramouli, G.V.P., Design, synthesis and evaluation of novel pyrazolo-pyrimido[4,5-d]pyrimidine derivatives as potent antibacterial and biofilm inhibitors (2017) Bioorg. Med. Chem. Lett, 27, pp. 1451-1457. , 28209374; Sivaganesh, T., Padmaja, P., Reddy, P.N., Efficient one-pot synthesis of pyrazole–pyrazol-3-one hybrid analogs and evaluation of their antimicrobial activity (2022) Russ. J. Org. Chem, 58, pp. 81-86; Mor, S., Khatri, M., Synthesis, antimicrobial evaluation, α-amylase inhibitory ability and molecular docking studies of 3-alkyl-1-(4-(aryl/heteroaryl)thiazol-2-yl)indeno[1,2-c]pyrazol-4(1H)-ones (2022) J. Mol. Struct, 1249; Zidan, A., El-Naggar, A.M., Abd El-Sattar, N.E.A., Ali, A.K., El Kaïm, L., Raising the diversity of Ugi reactions through selective alkylations and allylations of Ugi adducts (2019) Front. Chem, 7, p. 20. , 30761290; Rocha, R.O., Rodrigues, M.O., Neto, B.A.D., Review on the Ugi multicomponent reaction mechanism and the use of fluorescent derivatives as functional chromophores (2020) ACS Omega, 5, pp. 972-979; Pandya, K.M., Battula, S., Naik, P.J., Pd-catalyzed post-Ugi intramolecular cyclization to the synthesis of isoquinolone-pyrazole hybrid pharmacophores &amp; discover their antimicrobial and DFT studies (2021) Tetrahedron Lett, 81; Anantharaman, A., Rizvi, M.S., Sahal, D., Synergy with rifampin and kanamycin enhances potency, kill kinetics, and selectivity of DeNovo-designed antimicrobial peptides (2010) Antimicrob. Agents Chemother, 54, pp. 1693-1699; Makino, M., Fujimoto, Y., Flavanones from Baeckea frutescens (1999) Phytochemistry, 50, pp. 273-277; Bhavanarushi, S., Kanakaiah, V., Yakaiah, E., Saddanapu, V., Addlagatta, A., Rani, V.J., Synthesis, cytotoxic, and DNA binding studies of novel fluorinated condensed pyrano pyrazoles (2013) Med. Chem. Res, 22, pp. 2446-2454; Safari, F., Hosseini, H., Bayat, M., Ranjbar, A., Synthesis and evaluation of antimicrobial activity, cytotoxic and pro-apoptotic effects of novel spiro-4H-pyran derivatives (2019) RSC Adv, 9, pp. 24843-24851. , 35528646; Mobinikhaledi, A., Foroughifar, N., Mosleh, T., Hamta, A., Synthesis of some novel chromenopyrimidine derivatives and evaluation of their biological activities (2014) Iran. J. Pharm. Res, 13, pp. 873-879; Parmar, N.J., Pansuriya, B.R., Parmar, B.D., Barad, H.A., Solvent-free, one-pot synthesis and biological evaluation of some new dipyrazolo[3,4-b:4′,3′-e]pyranylquinolones and their precursors (2014) Med. Chem. Res, 23, pp. 42-56; Plechkova, N.V., Seddon, K.R., Applications of ionic liquids in the chemical industry (2008) Chem. Soc. Rev, 37, pp. 123-150; Dehbalaei, M.G., Foroughifar, N., Pasdar, H., Khajeh-Amiri, A., Foroughifar, N., Alikarami, M., Choline chloride based thiourea catalyzed highly efficient, eco-friendly synthesis and anti-bacterial evaluation of some new 6-amino-4-aryl-2,4-dihydro-3-phenylpyrano[2,3-c]pyrazole-5-carbonitrile derivatives (2017) Res. Chem. Intermed, 43, pp. 3035-3051; Jung, J.-C., Park, O.-S., Synthetic approaches and biological activities of 4-hydroxycoumarin derivatives (2009) Molecules, 14, pp. 4790-4803; Hussain, H., Hussain, J., Al-Harrasi, A., Krohn, K., The chemistry and biology of bicoumarins (2012) Tetrahedron, 68, pp. 2553-2578; Nain, S., Bhardwaj, V., Kumar, R., Efficient synthesis and antibacterial evaluation of a series of pyrazolylbiscoumarin and pyrazolylxanthenedione derivatives (2015) Pharm. Chem. J, 49, pp. 254-258; Böhm, H.J., Banner, D., Bendels, S., Kansy, M., Kuhn, B., Müller, K., Obst-Sander, U., Stahl, M., Fluorine in medicinal chemistry (2004) ChemBioChem, 5, pp. 637-643; Karad, S.C., Purohit, V.B., Avalani, J.R., Sapariya, N.H., Raval, D.K., Design, synthesis, and characterization of a fluoro substituted novel pyrazole nucleus clubbed with 1, 3, 4-oxadiazole scaffolds and their biological applications (2016) RSC Adv, 6, pp. 41532-41541; Karad, S.C., Purohit, V.B., Raval, D.K., Kalaria, P.N., Avalani, J.R., Thakor, P., Thakkar, V.R., Green synthesis and pharmacological screening of polyhydroquinoline derivatives bearing a fluorinated 5-aryloxypyrazole nucleus (2015) RSC Adv, 5, pp. 16000-16009; Sapariya, N.H., Vaghasiya, B.K., Thummar, R.P., Kamani, R.D., Patel, K.H., Thakor, P., Thakkar, S.S., Raval, D.K., Synthesis, characterization, in silico molecular docking study and biological evaluation of a 5-(phenylthio)pyrazole based polyhydroquinoline core moiety (2017) New J. Chem, 41, pp. 10686-10694; (2002) Performance Standards for Antimicrobial Susceptibility Testing: Twelfth Informational Supplement (2002), , NCCLS, Albany, NY, USA; Malladi, S., Isloor, A.M., Peethambar, S.K., Fun, H.K., Synthesis of new 3-aryl-4-(3-aryl-4, 5-dihydro-1H-pyrazol-5-yl)-1-phenyl-1H-pyrazole derivatives as potential antimicrobial agents (2013) Med. Chem. Res, 22, pp. 2654-2664; Baranda, A.B., Alonso, R.M., Jimenez, R.M., Weinmann, W., Instability of calcium channel antagonists during sample preparation for LC–MS–MS analysis of serum samples (2006) Forensic Sci. Int, 156, pp. 23-34; Viveka, S., Madhu, L.N., Nagaraja, G.K., Synthesis of new pyrazole derivatives via multicomponent reaction and evaluation of their antimicrobial and antioxidant activities (2015) Monatsh. Chem, 146, pp. 1547-1555; Aboelnaga, A., El-Sayed, T.H., Click synthesis of new 7-chloroquinoline derivatives by using ultrasound irradiation and evaluation of their biological activity (2018) Green. Chem. Lett. Rev, 11, pp. 254-263; Kerru, N., Gummidi, L., Bhaskaruni, S.V.H.S., Maddila, S.N., Jonnalagadda, S.B., Ultrasound-assisted synthesis and antibacterial activity of novel 1,3,4-thiadiazole-1H-pyrazol-4-yl-thiazolidin-4-one derivatives (2020) Monatsh. Chem, 151, pp. 981-990; Adib, M., Ansari, S., Fatemi, S., Bijanzadeh, H.R., Zhu, L.G., A multi-component synthesis of 3-aryl-1-(arylmethylideneamino)pyrrolidine-2,5-diones (2010) Tetrahedron, 66, pp. 2723-2727; Patel, H.B., Gohil, J.D., Patel, M.P., Microwave-assisted, solvent-free, one-pot, three-component synthesis of fused pyran derivatives containing benzothiazole nucleus catalyzed by pyrrolidine-acetic acid and their biological evaluation (2017) Monatsh. Chem, 148, pp. 1057-1067; Abunada, N.M., Hassaneen, H.H., Kandile, N.G., Miqdad, O.A., Synthesis and antimicrobial activity of some new pyrazole, fused pyrazolo[3,4-d]pyrimidine and pyrazolo[4,3-e][1,2,4]-triazolo[1,5-c]pyrimidine derivatives (2008) Molecules, 13, pp. 1501-1517; Barakat, A., Al-Majid, A.M., Shahidu, M.I., Warad, I., Masand, V.H., Yousuf, S., Choudhary, M.I., Molecular structure investigation and biological evaluation of Michael adducts derived from dimedone (2016) Res. Chem. Intermed, 42, pp. 4041-4053; Elshaier, Y.A.M.M., Barakat, A., Al-Qahtany, B.M., Al-Majid, A.M., Al-Agamy, M.H., Synthesis of pyrazole-thiobarbituric acid derivatives: Antimicrobial activity and docking studies (2016) Molecules, 21; Blower, T.R., Williamson, B.H., Kerns, R.J., Berger, J.M., Crystal structure and stability of gyrase-fluoroquinolone cleaved complexes from Mycobacterium tuberculosis (2016) Proc. Natl. Acad. Sci. USA, 113, pp. 1706-1713. , 26792525; Lu, J., Patel, S., Sharma, N., Soisson, S.M., Kishii, R., Takei, M., Fukuda, Y., Singh, S.B., Structures of kibdelomycin bound to Staphylococcus aureus GyrB and ParE showed a novel U-shaped binding mode (2014) ACS Chem. Biol, 19, pp. 2023-2031. , 24992706; Reddy, T.S., Kulhari, H., Reddy, V.G., Rao, A.V.S., Bansal, V., Kamal, A., Shukla, R., Synthesis and biological evaluation of pyrazolo–triazole hybrids as cytotoxic and apoptosis inducing agents (2015) Org. Biomol. Chem, 13, pp. 10136-10149; Thurston, D.E., Bose, D.S., Synthesis of DNA–interactive pyrrolo[2,1-c][1,4]benzodiazepines (1994) Chem. Rev, 94, pp. 433-465; Brahmbhatt, G.C., Sutariya, T.R., Atara, H.D., Parmar, N.J., Gupta, V.K., Lagunes, I., Padrón, J.M., Yadav, M.R., New pyrazolyl-dibenzo[b,e][1,4]diazepinones: Room temperature one-pot synthesis and biological evaluation (2020) Mol. Divers, 24, pp. 355-377. , 31127460; Li, X., Ma, S., Advances in the discovery of novel antimicrobials targeting the assembly of bacterial cell division protein FtsZ (2015) Eur. J. Med. Chem, 95, pp. 1-15; Viveka, S., Nagaraja, G.K., Shama, P., Basavarajaswamy, G., Rao, K.P., Sreenivasa, M.Y., One pot synthesis of thiazolo[2,3-b]dihydropyrimidinone possessing pyrazole moiety and evaluation of their anti-inflammatory and antimicrobial activities (2018) Med. Chem. Res, 27, pp. 171-185; Gediya, L.K., Njar, V.C., Promise and challenges in drug discovery and development of hybrid anticancer drugs (2009) Expert. Opin. Drug Discov, 4, pp. 1099-1111; Viegas-Junior, C., Danuello, A., da Silva Bolzani, V., Barreiro, E.J., Fraga, C.A.M., Molecular hybridization: A useful tool in the design of new drug prototypes (2007) Curr. Med. Chem, 14, pp. 1829-1852; Sindhu, J., Singh, H., Khurana, J.M., Bhardwaj, J.K., Saraf, P., Sharma, C., Synthesis and biological evaluation of some functionalized 1H-1,2,3-triazole tethered pyrazolo[3,4-b]pyridin-6(7H)-ones as antimicrobial and apoptosis inducing agents (2016) Med. Chem. Res, 25, pp. 1813-1830; Song, C.E., Enantioselective chemo- and bio-catalysis in ionic liquids (2004) Chem. Commun, pp. 1033-1043. , 15116175; Nia, R.H., Mamaghani, M., Shirini, F., Tabatabaeian, K., Heidary, M., Rapid and efficient synthesis of 1,4-dihydropyridines using a sulfonic acid functionalized ionic liquid (2014) Org. Prep. Proc. Int, 46, pp. 152-163; Mamaghani, M., Nia, R.H., Shirini, F., Tabatabaeian, K., Rassa, M., An efficient and eco-friendly synthesis and evaluation of antibactrial activity of pyrano[2,3-c]pyrazole derivatives (2015) Med. Chem. Res, 24, pp. 1916-1926; Reddy, G.M., Garcia, J.R., Synthesis of pyranopyrazoles under eco-friendly approach by using acid catalysis (2017) J. Heterocycl. Chem, 54, pp. 89-94; Zaki, M.E.A., Soliman, H.A., Hiekal, O.A., Rashad, A.E.Z., Pyrazolopyranopyrimidines as a class of anti-inflammatory agents (2006) Naturforsch, 61, pp. 1-5. , 16610208; Reddy, G.M., Garcia, J.R., Reddy, V.H., Kumari, A.K., Zyryanov, G.V., Yuvaraja, G., An efficient and green approach: One pot, multi component, reusable catalyzed synthesis of pyranopyrazoles and investigation of biological assays (2019) J. Saudi Chem. Soc, 23, pp. 263-273; Ambethkar, S., Padmini, V., Bhuvanesh, N., A green and efficient protocol for the synthesis of dihydropyrano[2,3-c]pyrazole derivatives via a one-pot, four component reaction by grinding method (2015) J. Adv. Res, 6, pp. 975-985; Ziarani, G.M., Lashgari, N., Badiei, A., Sulfonic acid-functionalized mesoporous silica (SBA-Pr-SO3H) as solid acid catalyst in organic reactions (2015) J. Mol. Catal. A: Chem, 397, pp. 166-191; Ziarani, G.M., Aleali, F., Lashgari, N., Badiei, A., Soorki, A.A., Efficient synthesis and antimicrobial evaluation of pyrazolopyranopyrimidines in the presence of SBA-Pr-SO3H as a nanoporous acid catalyst (2018) Iran. J. Pharm. Res, 17, pp. 525-534; Souza, L.G., Rennó, M.N., Figueroa-Villar, J.D., Coumarins as cholinesterase inhibitors: A review (2016) Chem. Biol. Interact, 254, pp. 11-23. , 27174134; Sahoo, C.R., Sahoo, J., Mahapatra, M., Lenka, D., Sahu, P.K., Dehury, B., Padhy, R.N., Paidesetty, S.K., Coumarin derivatives as promising antibacterial agent(s) (2021) Arab. J. Chem, 14; Chougala, M.M., Samundeeswari, S., Holiyachi, M., Shastri, L.A., Dodamani, S., Jalalpure, S., Dixit, S.R., Sunagar, V.A., Synthesis, characterization and molecular docking studies of substituted 4-coumarinylpyrano[2,3-c]pyrazole derivatives as potent antibacterial and anti-inflammatory agents (2017) Eur. J. Med. Chem, 125, pp. 101-116. , 27657808; Vitaku, E., Smith, D.T., Njardarson, J.T., Analysis of the structural diversity, substitution patterns, and frequency of nitrogen heterocycles among US. FDA approved pharmaceuticals (2014) J. Med. Chem, 57, pp. 10257-10274; Martins, P., Jesus, J., Santos, S., Raposo, L.R., Roma-Rodrigues, C., Baptista, P.V., Fernandes, A.R., Heterocyclic anticancer compounds: Recent advances and the paradigm shift towards the use of nanomedicine’s tool box (2015) Molecules, 20, pp. 16852-16891; Lang, D.K., Kaur, R., Arora, R., Saini, B., Arora, S., Nitrogen-containing heterocycles as anticancer agents: An overview (2020) Anticancer Agents Med. Chem, 20, pp. 2150-2168; Abonia, R., Insuasty, D., Castillo, J., Insuasty, B., Quiroga, J., Nogueras, M., Cobo, J., Synthesis of novel quinoline-2-one based chalcones of potential anti-tumor activity (2012) Eur. J. Med. Chem, 57, pp. 29-40; Insuasty, B., Becerra, D., Quiroga, J., Abonia, R., Nogueras, M., Cobo, J., Microwave-assisted synthesis of pyrimido[4,5-b][1,6]naphthyridin-4(3H)-ones with potential antitumor activity (2013) Eur. J. Med. Chem, 60, pp. 1-9; Castillo, J.-C., Jiménez, E., Portilla, J., Insuasty, B., Quiroga, J., Moreno-Fuquen, R., Kennedy, A.R., Abonia, R., Application of a catalyst-free Domino Mannich/Friedel-Crafts alkylation reaction for the synthesis of novel tetrahydroquinolines of potential antitumor activity (2018) Tetrahedron, 74, pp. 932-947; Serrano-Sterling, C., Becerra, D., Portilla, J., Rojas, H., Macías, M., Castillo, J.-C., Synthesis, biological evaluation and X-ray crystallographic analysis of novel (E)-2-cyano-3-(het)arylacrylamides as potential anticancer agents (2021) J. Mol. Struct, 1244; Insuasty, D., García, S., Abonia, R., Insuasty, B., Quiroga, J., Nogueras, M., Cobo, J., Laali, K.K., Design, synthesis, and molecular docking study of novel quinoline-based bis-chalcones as potential antitumor agents (2021) Arch. Pharm, 354; Sharma, A., Chowdhury, R., Dash, S., Pallavi, B., Shukla, P., Fast microwave assisted synthesis of pyranopyrazole derivatives as new anticancer agents (2016) Curr. Microw. Chem, 3, pp. 78-84; Salama, S.K., Mohamed, M.F., Darweesh, A.F., Elwahy, A.H.M., Abdelhamid, I.A., Molecular docking simulation and anticancer assessment on human breast carcinoma cell line using novel bis(1,4-dihydropyrano[2,3-c]pyrazole-5-carbonitrile) and bis(1,4-dihydropyrazolo[4’,3’:5,6]pyrano[2,3-b]pyridine-6-carbonitrile)derivatives (2017) Bioorg. Chem, 71, pp. 19-29. , 28143658; Yakaiah, S., Kumar, P.S.V., Rani, P.B., Prasad, K.D., Aparna, P., Design, synthesis and biological evaluation of novel pyrazolo-oxothiazolidine derivatives as antiproliferative agents against human lung cancer cell line A549 (2018) Bioorg. Med. Chem. Lett, 28, pp. 630-636; Kumar, P., Duhan, M., Kadyan, K., Bhardwaj, J.K., Saraf, P., Mittal, M., Multicomponent synthesis of some molecular hybrid containing thiazole pyrazole as apoptosis inducer (2018) Drug Res, 68, pp. 72-79; Demjén, A., Alföldi, R., Angyal, A., Gyuris, M., Hackler, L., Szebeni, G.J., Wölfling, J., Kanizsai, I., Synthesis, cytotoxic characterization, and SAR study of imidazo[1,2-b]pyrazole-7-carboxamides (2018) Arch. Pharm, 351; Ansari, A.J., Joshi, G., Yadav, U.P., Maurya, A.K., Agnihotri, V.K., Kalra, S., Kumar, R., Sawant, D.M., Exploration of Pd-catalysed four-component tandem reaction for one-pot assembly of pyrazolo[1,5-c]quinazolines as potential EGFR inhibitors (2019) Bioorg. Chem, 93; El-Sayed, A.A., Amr, A.E.G.E., EL-Ziaty, A.K., Elsayed, E.A., Cytotoxic effects of newly synthesized heterocyclic candidates containing nicotinonitrile and pyrazole moieties on hepatocellular and cervical carcinomas (2019) Molecules, 24; Hosseinzadeh, L., Mahmoudian, N., Ahmadi, F., Adibi, H., Synthesis of 4-phenyl-4,5-dihydropyranopyrazolone derivatives with activated potassium carbonate: Evaluation of anticancer activity on cancer cell lines and apoptosis mechanism (2019) J. Rep. Pharm. Sci, 8, pp. 262-269; Alharthy, R.D., Design and synthesis of novel pyrazolo[3,4-d]pyrimidines: In vitro cytotoxic evaluation and free radical scavenging activity studies (2020) Pharm. Chem. J, 54, pp. 273-278; Castillo, J.-C., Bravo, N.-F., Tamayo, L.-V., Mestizo, P.-D., Hurtado, J., Macías, M., Portilla, J., Water-compatible synthesis of 1,2,3-triazoles under ultrasonic conditions by a Cu(I) complex-mediated click reaction (2020) ACS Omega, 5, pp. 30148-30159. , 33251449; Komarnicka, U.K., Starosta, R., Płotek, M., Almeida, R.F.M., Jeżowska-Bojczuk, M., Kyzioł, A., Copper(I) complexes with phosphine derived from sparfloxacin. Part II: A first insight into the cytotoxic action mode (2016) Dalton Trans, 45, pp. 5052-5063; Rani, M.R., Singh, A., Garg, N., Kaur, N., Singh, N., Mitochondria- and nucleolus-targeted copper(I) complexes with pyrazole-linked triphenylphosphine moieties for live cell imaging (2020) Analyst, 145, pp. 83-90; Rashdan, H.R.M., Shehadi, I.A., Abdelmonsef, A.H., Synthesis, anticancer evaluation, computer-aided docking studies, and ADMET prediction of 1,2,3-triazolyl-pyridine hybrids as human aurora B kinase inhibitors (2021) ACS Omega, 6, pp. 1445-1455. , 33490804; Dayal, N., Řezníčková, E., Hernandez, D.E., Peřina, M., Torregrosa-Allen, S., Elzey, B.D., Škerlová, J., Vojáčková, V., 3H-Pyrazolo[4,3-f]quinoline-based kinase inhibitors inhibit the proliferation of acute myeloid leukemia cells in vivo (2021) J. Med. Chem, 64, pp. 10981-10996. , 34288692; Jilloju, P.C., Persoons, L., Kurapati, S.K., Schols, D., De Jonghe, S., Daelemans, D., Vedula, R.R., Discovery of (±)-3-(1H-pyrazol-1-yl)-6,7-dihydro-5H-[1,2,4]triazolo[3,4-b][1,3,4]thiadiazine derivatives with promising in vitro anticoronavirus and antitumoral activity (2021) Mol. Divers, pp. 1-15; Vairaperumal, V., Perumal, M., Sengodu, P., Shanumuganthan, S., Paramasivam, M., V2O5-Catalyzed one-pot multicomponent of pyrazol naphthoquinone as scaffolds for potential bioactive compounds: Synthesis, structural study and cytotoxic activity (2019) ChemistrySelect, 4, pp. 3006-3010; Fouda, A.M., El-Nassag, M.A.A., Elhenawy, A.A., Shati, A.A., Alfaifie, M.Y., Elbehairi, S.E.I., Alam, M.M., El-Agrody, A.M., Synthesis of 1,4-dihydropyrano[2,3-c]pyrazole derivatives and exploring molecular and cytotoxic properties based on DFT and molecular docking studies (2022) J. Mol. Struct, 1249; Mamidala, S., Aravilli, R.K., Vaarla, K., Peddi, S.R., Gondru, R., Manga, V., Vedula, R.R., A facile one-pot, three-component synthesis of a new series of thiazolyl pyrazoles: Anticancer evaluation, ADME and molecular docking studies (2022) Polycycl. Aromat. Compd; Parikh, P.H., Timaniya, J.B., Patel, M.J., Patel, K.P., Microwave-assisted synthesis of pyrano[2,3-c]pyrazole derivatives and their anti-microbial, anti-malarial, anti-tubercular, and anti-cancer activities (2022) J. Mol. Struct, 1249; Ali, T.E., Assiria, M.A., Shatic, A.A., Alfaific, M.Y., Elbehairic, S.E.I., Facile green one-pot synthesis and antiproliferative activity of some novel functionalized 4-(4-oxo-4H-chromen-3-yl)-pyrano[2,3-c]pyrazoles and 5-(4-oxo-4H-chromen-3-yl)-pyrano[2,3-d]pyrimidines (2022) Russ. J. Org. Chem, 58, pp. 106-113; Kathiravan, M.K., Salake, A.B., Chothe, A.S., Dudhe, P.B., Watode, R.P., Mukta, M.S., Gadhwe, S., The biology and chemistry of antifungal agents: A review (2012) Bioorg. Med. Chem, 20, pp. 5678-5698. , 22902032; Shafiei, M., Peyton, L., Hashemzadeh, M., Foroumadi, A., History of the development of antifungal azoles: A review on structures, SAR, and mechanism of action (2020) Bioorg. Chem, 104; Abonia, R., Garay, A., Castillo, J.C., Insuasty, B., Quiroga, J., Nogueras, M., Cobo, J., Zacchino, S., Design of two alternative routes for the synthesis of naftifine and analogues as potential antifungal agents (2018) Molecules, 23. , 29495412; Elejalde, N.-R., Macías, M., Castillo, J.-C., Sortino, M., Svetaz, L., Zacchino, S., Portilla, J., Synthesis and in vitro antifungal evaluation of novel N-substituted 4-aryl-2-methylimidazoles (2018) ChemistrySelect, 3, pp. 5220-5227; Abonia, R., Castillo, J., Insuasty, B., Quiroga, J., Nogueras, M., Cobo, J., An efficient synthesis of 7-(arylmethyl)-3-tert-butyl-1-phenyl-6,7-dihydro-1H,4H-pyrazolo[3,4-d][1,3]oxazines (2010) Eur. J. Org. Chem, 2010, pp. 6454-6463; Wang, B.-L., Zhang, L.-Y., Zhan, Y.-Z., Zhang, Y., Zhang, X., Wang, L.-Z., Li, Z.-M., Synthesis and biological activities of novel 1,2,4-triazole thiones and bis(1,2,4-triazole thiones) containing phenylpyrazole and piperazine moieties (2016) J. Fluor. Chem, 184, pp. 36-44; Makhanya, T.R., Gengan, R.M., Kasumbwe, K., Synthesis of fused indolo-pyrazoles and their antimicrobial and insecticidal activities against anopheles arabiensis mosquito (2020) ChemistrySelect, 5, pp. 2756-2762; Halit, S., Benazzouz-Touami, A., Makhloufi-Chebli, M., Bouaziz, S.T., Ahriz, K.I., Sodium dodecyl benzene sulfonate-catalyzed reaction for green synthesis of biologically active benzylpyrazolyl-coumarin derivatives, mechanism studies, theoretical calculations (2022) J. Mol. Struct, 1261; Apak, R., Özyürek, M., Güçlü, K., Çapanoğlu, E., Antioxidant activity/capacity measurement. 1. Classification, physicochemical principles, mechanisms, and electron transfer (ET)-based assays (2016) J. Agric. Food Chem, 64, pp. 997-1027. , 26728425; Chanda, K., Hiremathada, A., Singh, M., Santos, M.A., Keria, R.S., A review on antioxidant potential of bioactive heterocycle benzofuran: Natural and synthetic derivatives (2017) Pharmacol. Rep, 69, pp. 281-295. , 28171830; Gulcin, I., Antioxidants and antioxidant methods: An updated overview (2020) Arch. Toxicol, 94, pp. 651-715. , 32180036; Addoum, B., Khalfi, B.E., Idiken, M., Sakoui, S., Derdak, R., Filali, O.A., Elmakssoudi, A.K., Soukri, A., Synthesis, characterization of pyrano[2,3-c]pyrazoles derivatives and determination of their antioxidant activities (2021) Iran. J. Toxicol, 15, pp. 175-194; Amer, M.M.K., Abdellattif, M.H., Mouneir, S.M., Zordok, W.A., Shehab, W.S., Synthesis, DFT calculation, pharmacological evaluation, and catalytic application in the synthesis of diverse pyrano[2,3-c]pyrazole derivatives (2021) Bioorg. Chem, 114; Kate, P., Pandit, V., Jawale, V., Bachute, M., L-Proline catalyzed one-pot three-component synthesis and evaluation for biological activities of tetrahydrobenzo[b]pyran: Evaluation by green chemistry metrics (2022) J. Chem. Sci, 134, p. 4; Suresh, L., Onkara, P., Kumar, P.S.V., Pydisetty, Y., Chandramouli, G.V.P., Ionic liquid-promoted multicomponent synthesis of fused tetrazolo[1,5-a]pyrimidines as α-glucosidase inhibitors (2016) Bioorg. Med. Chem. Lett, 26, pp. 4007-4014; Naim, M.J., Alam, M.J., Nawaz, F., Naidu, V., Aaghaz, S., Sahu, M., Siddiqui, N., Alam, O., Synthesis, molecular docking and anti-diabetic evaluation of 2,4-thiazolidinedione based amide derivatives (2017) Bioorg. Chem, 73, pp. 24-36; Cho, N., Shaw, J., Karuranga, S., Huang, Y., da Rocha Fernandes, J., Ohlrogge, A., Malanda, B., IDF Diabetes Atlas: Global estimates of diabetes prevalence for 2017 and projections for 2045 (2018) Diabetes Res. Clin. Pract, 38, pp. 271-281; Özil, M., Emirik, M., Etlik, S.Y., Ülker, S., Kahveci, B., A simple and efficient synthesis of novel inhibitors of alpha-glucosidase based on benzimidazole skeleton and molecular docking studies (2016) Bioorg. Chem, 68, pp. 226-235; Nikookar, H., Khanaposhtani, M.M., Imanparast, S., Faramarzi, M.A., Ranjbar, P.R., Mahdavi, M., Larijani, B., Design, synthesis and in vitro α-glucosidase inhibition of novel dihydropyrano[3,2-c]quinoline derivatives as potential anti-diabetic agents (2018) Bioorg. Chem, 77, pp. 280-286. , 29421703; Ozil, M., Emirik, M., Belduz, A., Ulker, S., Molecular docking studies and synthesis of novel bisbenzimidazole derivatives as inhibitors of α-glucosidase (2016) Bioorg. Med. Chem, 24, pp. 5103-5114. , 27576293; Abdel-Wahab, B.F., Khidre, R.E., Farahat, A.A., Pyrazole-3(4)-carbaldehyde: Synthesis, reactions and biological activity (2011) ARKIVOC, i, pp. 196-245; Chaudhry, F., Naureen, S., Huma, R., Shaukat, A., al-Rashida, M., Asif, N., Ashraf, M., Ain Khan, M., In search of new α-glucosidase inhibitors: Imidazolylpyrazole derivatives (2017) Bioorg. Chem, 71, pp. 102-109; Chaudhry, F., Naureen, S., Ashraf, M., al-Rashida, M., Jahan, B., Ali Munawar, M., Ain Khan, M., Imidazole-pyrazole hybrids: Synthesis, characterization and in-vitro bioevaluation against α-glucosidase enzyme with molecular docking studies (2019) Bioorg. Chem, 82, pp. 267-273; Pogaku, V., Gangarapu, K., Basavoju, S., Tatapudic, K.K., Katragadda, S.B., Design, synthesis, molecular modelling, ADME prediction and antihyperglycemic evaluation of new pyrazole-triazolopyrimidine hybrids as potent α-glucosidase inhibitors (2019) Bioorg. Chem, 93; Duhan, M., Singh, R., Devi, M., Sindhu, J., Bhatia, R., Kumar, A., Kumar, P., Synthesis, molecular docking and QSAR study of thiazole clubbed pyrazole hybrid as α-amylase inhibitor (2019) J. Biomol. Struct. Dyn, 39, pp. 91-107; Bertolini, A., Ottani, A., Sandrini, M., Selective COX-2 inhibitors and dual acting anti-inflammatory drugs: Critical remarks (2002) Curr. Med. Chem, 9, pp. 1033-1043; Rao, P.P.N., Kabir, S.N., Mohamed, T., Nonsteroidal anti-inflammatory drugs (NSAIDs): Progress in small molecule drug development (2010) Pharmaceuticals, 3, pp. 1530-1549; Sharma, S., Kumar, D., Singh, D., Monga, V., Kumar, B., Recent advancements in the development of heterocyclic anti-inflammatory agents (2020) Eur. J. Med. Chem, 200; Kumar, V., Patel, S., Jain, R., New structural classes of antituberculosis agents (2018) Med. Res. Rev, 38, pp. 684-740. , 28598559; Campaniço, A., Moreira, R., Lopes, F., Drug discovery in tuberculosis. New drug targets and antimycobacterial agents (2018) Eur. J. Med. Chem, 150, pp. 525-545. , 29549838; Shetye, G.S., Franzblau, S.G., Cho, S., New tuberculosis drug targets, their inhibitors, and potential therapeutic impact (2020) Transl. Res, 220, pp. 68-97. , 32275897; Bhatt, J.D., Chudasama, C.J., Patel, K.D., Pyrazole clubbed triazolo[1,5-a]pyrimidine hybrids as an anti-tubercular agents: Synthesis, in vitro screening and molecular docking study (2015) Bioorg. Med. Chem, 23, pp. 7711-7716; Pogaku, V., Krishna, V.S., Sriram, D., Rangan, K., Basavoju, S., Ultrasonication-ionic liquid synergy for the synthesis of new potent anti-tuberculosis 1,2,4-triazol-1-yl-pyrazole based spirooxindolopyrrolizidines (2019) Bioorg. Med. Chem. Lett, 29, pp. 1682-1687. , 31047752; Ashton, T.D., Devine, S.M., Möhrle, J.J., Laleu, B., Burrows, J.N., Charman, S.A., Creek, D.J., Sleebs, B.E., The development process for discovery and clinical advancement of modern antimalarials (2019) J. Med. Chem, 62, pp. 10526-</t>
  </si>
  <si>
    <t>Alarcón-Granados M.C., Moreno-Ortíz H., Rondón-Lagos M., Camargo-Villalba G.E., Forero-Castro M.</t>
  </si>
  <si>
    <t>57219847438;54080034700;56011046300;56051153600;56725949100;</t>
  </si>
  <si>
    <t>Journal of King Saud University - Science</t>
  </si>
  <si>
    <t>https://www.scopus.com/inward/record.uri?eid=2-s2.0-85133894685&amp;doi=10.1016%2fj.jksus.2022.102202&amp;partnerID=40&amp;md5=9be2ba4845bf4fe8632b53c7757e1dcf</t>
  </si>
  <si>
    <t>Facultad de Ciencias. Grupo de investigación en Ciencias Biomédicas (GICBUPTC), Universidad Pedagógica y Tecnológica de Colombia, Tunja, 150003, Colombia; Departamento Biogenética Reproductiva, In vitro Colombia SAS, Bogotá, Colombia; Programa de Medicina. Facultad de Ciencias de la Salud, Universidad de Boyacá, Tunja, Colombia</t>
  </si>
  <si>
    <t>Alarcón-Granados, M.C., Facultad de Ciencias. Grupo de investigación en Ciencias Biomédicas (GICBUPTC), Universidad Pedagógica y Tecnológica de Colombia, Tunja, 150003, Colombia; Moreno-Ortíz, H., Departamento Biogenética Reproductiva, In vitro Colombia SAS, Bogotá, Colombia; Rondón-Lagos, M., Facultad de Ciencias. Grupo de investigación en Ciencias Biomédicas (GICBUPTC), Universidad Pedagógica y Tecnológica de Colombia, Tunja, 150003, Colombia; Camargo-Villalba, G.E., Programa de Medicina. Facultad de Ciencias de la Salud, Universidad de Boyacá, Tunja, Colombia; Forero-Castro, M., Facultad de Ciencias. Grupo de investigación en Ciencias Biomédicas (GICBUPTC), Universidad Pedagógica y Tecnológica de Colombia, Tunja, 150003, Colombia</t>
  </si>
  <si>
    <t>Purpose: To evaluate the association between polymorphisms of the LHCGR gene and PCOS in a sample from Colombian women. Methods: We included 49 Colombian women with PCOS and 49 healthy women. Genotype distributions between groups were compared, and phenotype-genotype association analysis was performed in the PCOS group. Identification of five SNP's in the LHCGR gene was carried out through the iPLEX and MassARRAY system (Agena Bioscience). Results: Our results showed that the rs7371084 variant was negatively associated with PCOS under the codominant, dominant, and overdominant models. Women with the TC + TT genotypes in rs2293275 had shorter menstrual cycles (p = 0.026), and women with the CT + CC genotypes in rs6732721 showed a decrease in the number of antral follicles (p = 0.038). Within the endocrine parameters, we identified associations between GA + GG genotypes in rs13405728 and CT + CC genotypes in rs6732721, and the decrease in LH levels (p = 0.013; p = 0.04, respectively). Women with TC + TT genotypes in rs2293275 had increased DHEAS (p = 0.047) and androstenedione (p = 0.045) levels. Regarding metabolic parameters, we identified associations between GA + GG genotypes in rs13405728 and CT + CC genotypes in rs6732721, and an increase in fasting glucose levels (p = 0.028; p = 0.017, respectively). Conclusion: We found that the rs7371084 variant was negatively associated with PCOS. Also, we identify associations between combined genotypes of the LHCGR gene and the phenotypic traits of PCOS, such as shorter menstrual cycle length, fewer follicles, lower LH levels, and increased DHEAS, androstenedione, and fasting glucose levels. The results of this pilot study provide a basis to clarify the genetics and pathophysiology of PCOS in the Colombian population. Future large-scale studies are recommended for this population. © 2022</t>
  </si>
  <si>
    <t>Colombian women; Genetic polymorphisms; LHCGR; Phenotype-genotype associations; Polycystic ovary syndrome</t>
  </si>
  <si>
    <t>PT17/0019; Universidad Pedagógica y Tecnológica de Colombia, UPTC; Instituto de Salud Carlos III, ISCIII; European Regional Development Fund, ERDF</t>
  </si>
  <si>
    <t>This work was supported by research projects SGI 2386 and SGI 2677 made in agreement between the Research Group in Biomedical Sciences of the UPTC (GICBUPTC) from Universidad Pedagógica y Tecnológica de Colombia and the Group of Public Health Research (HYGEA) from Universidad de Boyacá. The genotyping service was carried out at CEGEN-PRB3-ISCIII; it is supported by grant PT17/0019, of the PE I + D + i 2013-2016, funded by ISCIII and ERDF. We appreciate the advice on the management of the Haploview software provided by Luis Antonio Corchete Sánchez from thw Biology Faculty of Salamanca University (Spain). We would like to thank Ph.D. Ignacio Briceño Balcazar of the Sabana University of Colombia, for his academic concept about LD analysis.</t>
  </si>
  <si>
    <t>Alarcón-Granados, M.C., Moreno-Ortíz, H., Esteban-Pérez, C.I., Ferrebuz-Cardozo, A., Camargo-Villalba, G.E., Forero-Castro, M., Assessment of THADA gene polymorphisms in a sample of Colombian women with polycystic ovary syndrome: A pilot study (2022) Heliyon, 8 (6); Almawi, W.Y., Hubail, B., Arekat, D.Z., Al-Farsi, S.M., Al-Kindi, S.K., Arekat, M.R., Mahmood, N., Madan, S., Leutinizing hormone/choriogonadotropin receptor and follicle stimulating hormone receptor gene variants in polycystic ovary syndrome (2015) J. Assisted Reprod. Genet., 32 (4), pp. 607-614; Barrett, J.C., Fry, B., Maller, J., Daly, M.J., Haploview: Analysis and visualization of LD and haplotype maps (2005) Bioinformatics, 21, pp. 263-265; Bozdag, G., Mumusoglu, S., Zengin, D., Karabulut, E., Yildiz, B.O., The prevalence and phenotypic features of polycystic ovary syndrome: A systematic review and meta-Analysis (2016) Hum. Reprod., 31, pp. 2841-2855; Branavan, U., Muneeswaran, K., Wijesundera, S., Jayakody, S., Chandrasekharan, V., Wijeyaratne, C., Deoraj, A., Identification of selected genetic polymorphisms in polycystic ovary syndrome in Sri Lankan women using low cost genotyping techniques (2018) PLoS ONE, 13 (12), p. e0209830; Branavan, U., Wijesundera, S., Chandrasekaran, V., Arambepola, C., Wijeyaratne, C., In depth analysis of the association of FTO SNP (rs9939609) with the expression of classical phenotype of PCOS: A Sri Lankan study (2020) BMC Med. Genet., 21, pp. 1-9; Brassard, M., AinMelk, Y., Baillargeon, J.P., Basic infertility including polycystic ovary syndrome (2008) Med. Clin. North Am., 92, pp. 1163-1192; Capalbo, A., Sagnella, F., Apa, R., Fulghesu, A.M., Lanzone, A., Morciano, A., Farcomeni, A., Tiziano, F.D., The 312N variant of the luteinizing hormone/choriogonadotropin receptor gene (LHCGR) confers up to 2.7-fold increased risk of polycystic ovary syndrome in a Sardinian population (2012) Clin. Endocrinol., 77, pp. 113-119; Coutinho, K., The role of the brain in the pathogenesis and physiology of polycystic ovary syndrome (PCOS) (2019) Med. Sci., 7, p. 84; Coyle, C., Campbell, R.E., Pathological pulses in PCOS (2019) Mole. Cellul. Endocrinol., 498; Crespo, R.P., Bachega, T.A.S.S., Mendonça, B.B., Gomes, L.G., An update of genetic basis of PCOS pathogenesis (2018) Arch. Endocrinol. Metab., 62, pp. 352-361; Cui, L., Zhao, H., Zhang, B.O., Qu, Z., Liu, J., Liang, X., Zhao, X., Chen, Z.-J., Genotype-phenotype correlations of PCOS susceptibility SNPs identified by GWAS in a large cohort of Han Chinese women (2013) Hum. Reprod., 28 (2), pp. 538-544; Ding, K., Kullo, I.J., Methods for the selection of tagging SNPs: A comparison of tagging efficiency and performance (2007) Eur. J. Hum. Genet., 15, pp. 228-236; Du, T., Duan, Y.U., Li, K., Zhao, X., Ni, R., Li, Y.U., Yang, D., Statistical Genomic Approach Identifies Association between FSHR Polymorphisms and Polycystic Ovary Morphology in Women with Polycystic Ovary Syndrome (2015) Biomed Res. Int., 2015, pp. 1-7; El-Shal, A.S., Zidan, H.E., Rashad, N.M., Abdelaziz, A.M., Harira, M.M., Association between genes encoding components of the Leutinizing hormone/Luteinizing hormone-choriogonadotrophin receptor pathway and polycystic ovary syndrome in Egyptian women (2016) IUBMB Life, 68 (1), pp. 23-36; Fauser, B.C.J.M., Revised 2003 consensus on diagnostic criteria and long-term health risks related to polycystic ovary syndrome (2004) Fertil. Steril., 81, pp. 19-25; Gabriel, S., Ziaugra, L., Tabbaa, D., SNP genotyping using the sequenom massARRAY iPLEX Platform (2009) Curr. Protoc. Human Genet., 60 (1); Ha, L., Shi, Y., Zhao, J., Li, T., Chen, Z.-J., Yu, Y., Association study between polycystic ovarian syndrome and the susceptibility genes polymorphisms in Hui Chinese women (2015) PLoS ONE, 10 (5), p. e0126505; Hiam, M.-A., Teede, L., Stepto, M., Gibson-Helm, The Genetics of Polycystic Ovary Syndrome: An Overview of Candidate Gene Systematic Reviews and Genome-Wide Association Studies (2019) J. Clin. Med., 8, p. 1606; Javed, A., Lteif, A.N., Kumar, S., Simmons, P.S., Chang, A.Y., Fasting Glucose Changes in Adolescents with Polycystic Ovary Syndrome Compared To Obese Controls: A Retrospective Cohort Study Asma (2016) J. Pediatr. Adolesc. Gynecol., 139-148; Jones, M.R., Brower, M.A., Xu, N., Cui, J., Mengesha, E., Chen, Y.-D., Taylor, K.D., McAllister, J.M., Systems Genetics Reveals the Functional Context of PCOS Loci and Identifies Genetic and Molecular Mechanisms of Disease Heterogeneity (2015) PLoS Genet., 11 (8), p. e1005455; Kanamarlapudi, V., Gordon, U.D., López Bernal, A., Luteinizing hormone/chorionic gonadotrophin receptor overexpressed in granulosa cells from polycystic ovary syndrome ovaries is functionally active (2016) Reproductive BioMedicine Online, 32 (6), pp. 635-641; Lerchbaum, E., Trummer, O., Giuliani, A., Gruber, H.-J., Pieber, T., Obermayer-Pietsch, B., Susceptibility loci for polycystic ovary syndrome on chromosome 2p16.3, 2p21, and 9q33.3 in a cohort of Caucasian women (2011) Horm. Metab. Res., 43 (11), pp. 743-747; Louwers, Y.V., Stolk, L., Uitterlinden, A.G., Laven, J.S.E., Cross-Ethnic meta-Analysis of genetic variants for polycystic ovary syndrome (2013) J. Clin. Endocrinol. Metab.; Oeth, P., Beaulieu, M., Park, C., Kosman, D., Mistro, G., Boom, D., (2005), pp. 1-12. , Van Den, Jurinke, C. iPLEXTM Assay: Increased Plexing Efficiency and Flexibility for MassARRAY, System Through Single Base Primer Extension with Mass-Modified Terminators 1; Ossa, H., Aquino, J., Pereira, R., Ibarra, A., Ossa, R.H., Pérez, L.A., Granda, J.D., Chiang, T.-Y., Outlining the ancestry landscape of colombian admixed populations (2016) PLoS One, 11 (10); Robeva, R., Andonova, S., Tomova, A., Kumanov, P., Savov, A., LHCG receptor polymorphisms in PCOS patients (2018) Biotechnol. Biotechnol. Equip., 32 (2), pp. 427-432; Saadia, Z., Follicle Stimulating Hormone (LH: FSH) Ratio in Polycystic Ovary Syndrome (PCOS) - Obese vs. Non- Obese Women (2020) Med. Archiv. (Sarajevo, Bosnia and Herzegovina), 74, pp. 289-293; Storm, N., Darnhofer-patel, B., Boom, D., (2003), Van Den, Rodi, C.P. MALDI-TOF Mass Spectrometry-Based SNP Genotyping, Single Nucleotide Polymorphisms: Methods and Protocols; Teede, H., Deeks, A., Moran, L., Polycystic ovary syndrome: A complex condition with psychological, reproductive and metabolic manifestations that impacts on health across the lifespan (2010) BMC Medicine, 8 (1); Thathapudi, S., Kodati, V., Erukkambattu, J., Addepally, U., Qurratulain, H., Association of Luteinizing Hormone Chorionic Gonadotropin Receptor Gene Polymorphism (rs2293275) with Polycystic Ovarian Syndrome (2015) Genet. Test. Mol. Biomarkers, 19 (3), pp. 128-132; Vishnubotla, D.S., Shek, A.P., Madireddi, S., Pooled genetic analysis identifies variants that confer enhanced susceptibility to PCOS in Indian ethnicity (2020) Gene, 752; Welt, C.K., Styrkarsdottir, U., Ehrmann, D.A., Thorleifsson, G., Arason, G., Gudmundsson, J.A., Ober, C., Stefansson, K., Variants in DENND1A are associated with polycystic ovary syndrome in women of European ancestry (2012) J. Clin. Endocrinol. Metab., 97, pp. 1342-1347; Woo, H.Y., Kim, K.H., Rhee, E.J., Park, H., Lee, M.K., Differences of the association of anti-Müllerian hormone with clinical or biochemical characteristics between women with and without polycystic ovary syndrome (2012) Endocr. J., 59, pp. 781-790; Xia, J.Y., Tian, W., Yin, G.H., Yan, H., Association of Rs13405728, Rs12478601, and Rs2479106 single nucleotide polymorphisms and in vitro fertilization and embryo transfer efficacy in patients with polycystic ovarian syndrome: A case control genome-wide association study (2019) Kaohsiung J. Med. Sci., 35, pp. 49-55; Yumiceba, V., López-Cortés, A., Pérez-Villa, A., Yumiseba, I., Guerrero, S., García-Cárdenas, J.M., Armendáriz-Castillo, I., Paz-y-Miño, C., Oncology and pharmacogenomics insights in polycystic ovary syndrome: an integrative analysis (2020) Front. Endocrinol., 11; Zhang, Y.-J., Li, L., Wang, Z.-J., Zhang, X.-J., Zhao, H., Zhao, Y., Wang, X.-T., Wan, J.-P., Association study between variants in LHCGR DENND1A and THADA with preeclampsia risk in Han Chinese populations (2018) J. Maternal-Fetal Neonatal Med., 32 (22), pp. 3801-3805; Zhao, H., Chen, Z.J., Genetic association studies in female reproduction: From candidate-gene approaches to genome-wide mapping (2013) Mol. Hum. Reprod., 19, pp. 644-654</t>
  </si>
  <si>
    <t>Forero-Castro, M.; Universidad Pedagógica y Tecnológica de Colombia, Sede Central Tunja–Boyacá, Avenida Central del Norte 39-115, Colombia; email: maribel.forero@uptc.edu.co</t>
  </si>
  <si>
    <t>2-s2.0-85133894685</t>
  </si>
  <si>
    <t>Holanda M., Silva D.D.</t>
  </si>
  <si>
    <t>6601959236;57207395403;</t>
  </si>
  <si>
    <t>Latin American Women and Computer Science: A Systematic Literature Mapping</t>
  </si>
  <si>
    <t>IEEE Transactions on Education</t>
  </si>
  <si>
    <t>10.1109/TE.2021.3115460</t>
  </si>
  <si>
    <t>https://www.scopus.com/inward/record.uri?eid=2-s2.0-85117140782&amp;doi=10.1109%2fTE.2021.3115460&amp;partnerID=40&amp;md5=df8eb1a9f4e805c8b6e26f4e01510e18</t>
  </si>
  <si>
    <t>University of Brasilia, Department of Computer Science, Brasília, 70910-900, Brazil; Texas A&amp;m University, Department of Computer Science and Engineering, College Station, TX  77843, United States</t>
  </si>
  <si>
    <t>Holanda, M., University of Brasilia, Department of Computer Science, Brasília, 70910-900, Brazil; Silva, D.D., Texas A&amp;m University, Department of Computer Science and Engineering, College Station, TX  77843, United States</t>
  </si>
  <si>
    <t>Contributions: The underrepresentation of women in computer science (CS) majors has long been a focus of attention in many academic documents, the majority of them from the United States and Europe. There is, however, a lack of information about educational interventions (EIs) for women in computing in Latin America. The contribution of this article is to cover this gap and describe what researchers in Latin American countries have been publishing about the recruitment and retention of women in the CS field. Background: Many EIs targeting female students at different educational levels - K-12, undergraduate, and graduate - have been undertaken to increase the participation of women in computing in Latin America. However, descriptions of these activities rarely are included in international academic databases. Research Questions: This literature mapping addresses two main research questions (RQ) about the topic of women in computing in academic publications in Latin American countries: RQ1) what are the characteristics of the publications about women in computing in Latin America? and RQ2) what are the published interventions to recruit and retain women in computing in Latin America? To answer RQ1, six subquestions were created covering year, language, country of origin, document type, and professional track. Furthermore, for RQ2, two subquestions were created involving educational level and the use of software development with a female theme. Methodology: This investigation used the systematic literature mapping process. To achieve a broad coverage of papers, the following sources were included: Scopus, Web of Science, Google Scholar, EBSCO, the proceedings of the Latin American Women in Computing Conference (LAWCC), and those of the Women in Technology (WIT) workshop colocated with the annual conference of the Brazilian Computer Society (SBC). The included papers were published in the last decade (2010-2020) and written in English, Portuguese, or Spanish. Findings: The literature mapping encompasses 197 academic documents, 48.2% of which were written in Portuguese, 28.7% in English, and 23.1% in Spanish. The papers originated from 15 of the 20 Latin American countries. Brazil and Costa Rica have the highest number of publications overall. The documents describe initiatives to increase the participation of women in computing majors that cover the entire educational spectrum, from K-12 to graduate programs, but papers targeting populations in higher education have started to appear recently. © 1963-2012 IEEE.</t>
  </si>
  <si>
    <t>Computer science (CS); educational interventions (EIs); female students; Latin America; women</t>
  </si>
  <si>
    <t>Computer software; Engineering education; Paper; Professional aspects; Publishing; Software design; Students; Computer science; Educational intervention; Engineering profession; Female students; Latin America; Software; Systematic; Woman; Women in computing; Mapping</t>
  </si>
  <si>
    <t>Vogel, W.F., 'The spitting image of a woman programmer': Changing portrayals of women in the American computing industry, 1958-1985 (2017) IEEE Ann. Hist. Comput., 39 (2), pp. 49-64. , Jul; Frenkel, K.A., Women and computing (1990) Commun. ACM, 33 (11), pp. 34-46; Gürer, D., Camp, T., An ACM-W literature review on women in computing (2002) ACM SIGCSE Bull., 34 (2), pp. 121-127; Main, J.B., Schimpf, C., The underrepresentation of women in computing fields: A synthesis of literature using a life course perspective (2017) IEEE Trans. Educ., 60 (4), pp. 296-304. , Nov; Galpin, V., Women in computing around the world (2002) ACM SIGCSE Bull., 34 (2), pp. 94-100; Fields, D.A., Kafai, Y.B., Giang, M.T., Youth computational participation in the wild: Understanding experience and equity in participating and programming in the online scratch community (2017) ACM Trans. Comput. Educ., 17 (3), p. 15; Payton, F.C., Berki, E., Countering the negative image of women in computing (2019) Commun. ACM, 62 (5), pp. 56-63. , May; Lehman, K.J., Sax, L.J., Zimmerman, H.B., Women planning to major in computer science: Who are they and what makes them unique? (2016) Comput. Sci. Educ., 26 (4), pp. 277-298; Ying, K.M., Confidence, connection, and comfort: Reports from an all-women's CS1 class (2021) Proc. 52nd ACM Techn. Symp. Comput. Sci. Educ., pp. 699-705; Cohoon, J.P., Cohoon, J.M., Soffa, M.L., Educating diverse computing students at the University of Virginia (2013) Computer, 46 (3), pp. 52-55. , Mar; Klawe, M., Increasing female participation in computing: The Harvey Mudd College story (2013) Computer, 46 (3), pp. 56-58. , Mar; Townsend, G.C., Sloan, K., An effective alternative to the grace hopper celebration (2015) Proc. 46th ACM Techn. Symp. Comput. Sci. Educ., pp. 197-202; Crutchfield, O.S.L., Berkeley foundation for opportunities in information technology: A decade of broadening participation (2011) ACM Trans. Comput. Educ., 11 (3), pp. 1-24; Guzdial, M., Ericson, B., McKlin, T., Engelman, S., Georgia computes! An intervention in a U.S. state, with formal and informal education in a policy context (2014) ACM Trans. Comput. Educ., 14 (2), pp. 1-29; Outlay, C.N., Platt, A.J., Conroy, K., Getting it together: A longitudinal look at linking girls' interest in it careers to lessons taught in middle school camps (2017) ACM Trans. Comput. Educ., 17 (4), pp. 1-17; Towhidnejad, M., Kestler, C., Jafer, S., Nicholas, V., Introducing computational thinking through stealth teaching (2014) Proc. IEEE Front. Educ. Conf. (FIE), pp. 1-7. , Madrid, Spain; Gannod, G.C., Burge, J.E., McIe, V., Doyle, M., Davis, K.C., Increasing awareness of computer science in high school girls (2014) Proc. IEEE Front. Educ. Conf. (FIE), pp. 1-8. , Madrid, Spain; Lang, C., Fisher, J., Craig, A., Forgasz, H., Outreach programmes to attract girls into computing: How the best laid plans can sometimes fail (2015) Comput. Sci. Educ., 25 (3), pp. 257-275; Fuller, A., Turbin, J., Johnston, B., Computer club for girls: The problem with seeing girls as the problem (2013) Gender Educ., 25 (4), pp. 499-514; National Academies of Sciences, Engineering, and Medicine, Assessing and Responding to the Growth of Computer Science Undergraduate Enrollments. Washington, DC, USA: Nat. Acad. Press, 2018; DuBow, W., Gonzalez, J., (2020) National Center for Women and Information Technology (NCWIT) Scorecard: The Status of Women in Computing, , https://ncwit.org/resource/scorecard/; Baskaran, A., Unesco science report: Towards 2030 (2017) Inst. Econ., 8 (2), pp. 125-127; Maia, M.M., Limites de gênero e presença feminina nos cursos superiores brasileiros do campo da computação (2016) Cadernos Pagu, (46), pp. 223-244. , https://doi.org/10.1590/18094449201600460223; Nunes, D., (2019) Educação superior em computação, estatística 2017, 1. , Sociedade Brasileira de Computação-SBC, Porto Alegre, Brazil; DuBow, W.M., Diversity in computing: Why it matters and how organizations can achieve it (2013) Computer, 46 (3), pp. 24-29. , Mar; DuBow, W., Attracting and retaining women in computing (2014) Computer, 47 (10), pp. 90-93. , Oct; DuBow, W.M., Quinn, B.A., Townsend, G.C., Robinson, R., Barr, V., Efforts to make computer science more inclusive of women (2016) ACM Inroads, 7 (4), pp. 74-80; Stout, J.G., Grunberg, V.A., Ito, T.A., Gender roles and stereotypes about science careers help explain women and men's science pursuits (2016) Sex Roles, 75 (9), pp. 490-499; Cheryan, S., Plaut, V.C., Handron, C., Hudson, L., The stereotypical computer scientist: Gendered media representations as a barrier to inclusion for women (2013) Sex Roles, 69 (1), pp. 58-71; Mercier, E.M., Barron, B., O'Connor, K.M., Images of self and others as computer users: The role of gender and experience (2006) J. Comput. Assist. Learn., 22 (5), pp. 335-348; Berg, T., Sharpe, A., Aitkin, E., Females in computing: Understanding stereotypes through collaborative picturing (2018) Comput. Educ., 126, pp. 105-114. , Nov; Papastergiou, M., Are computer science and information technology still masculine fields? high school students' perceptions and career choices (2008) Comput. Educ., 51 (2), pp. 594-608; Anderson, N., Lankshear, C., Timms, C., Courtney, L., 'Because it's boring, irrelevant and I don't like computers': Why high school girls avoid professionally-oriented ICT subjects (2008) Comput. Educ., 50 (4), pp. 1304-1318; Weidler-Lewis, J., DuBow, W., Kaminsky, A., Weston, T., Supporting women's persistence in computing and technology: A case for compulsory critical coding? (2019) Inf. Learn. Sci., 120 (5-6), pp. 366-382; Friend, M., Middle school girls' envisioned future in computing (2015) Comput. Sci. Educ., 25 (2), pp. 152-173; Pantic, K., Clarke-Midura, J., Factors that influence retention of women in the computer science major: A systematic literature review (2019) J. Women Minorities Sci. Eng., 25 (2), pp. 119-145; Cuny, J., Aspray, W., Recruitment and retention of women graduate students in computer science and engineering: Results of a workshop organized by the computing research association (2002) ACM SIGCSE Bull., 34 (2), pp. 168-174; Kitchenham, B., Brereton, O.P., Budgen, D., Turner, M., Bailey, J., Linkman, S., Systematic literature reviews in software engineering-A systematic literature review (2009) Inf. Softw. Technol., 51 (1), pp. 7-15; Borrego, M., Foster, M.J., Froyd, J.E., Systematic literature reviews in engineering education and other developing interdisciplinary fields (2014) J. Eng. Educ., 103 (1), pp. 45-76; Arcuri, A., Briand, L., A practical guide for using statistical tests to assess randomized algorithms in software engineering (2011) Proc. 33rd Int. Conf. Softw. Eng. (ICSE), pp. 1-10. , Honolulu, HI, USA; Wendler, R., The maturity of maturity model research: A systematic mapping study (2012) Inf. Softw. Technol., 54 (12), pp. 1317-1339; Singh, S., Chana, I., A survey on resource scheduling in cloud computing: Issues and challenges (2016) J. Grid Comput., 14 (2), pp. 217-264; Karabulut-Ilgu, A., Cherrez, N.J., Jahren, C.T., A systematic review of research on the flipped learning method in engineering education (2018) Brit. J. Educ. Technol., 49 (3), pp. 398-411; Hess, J.L., Fore, G., A systematic literature review of U.S. engineering ethics interventions (2018) Sci. Eng. Ethics, 24 (2), pp. 551-583; Morelock, J.R., A systematic literature review of engineering identity: Definitions, factors, and interventions affecting development, and means of measurement (2017) Eur. J. Eng. Educ., 42 (6), pp. 1240-1262; Methley, A.M., Campbell, S., Chew-Graham, C., McNally, R., Cheraghi-Sohi, S., PICO, PICOS and SPIDER: A comparison study of specificity and sensitivity in three search tools for qualitative systematic reviews (2014) BMC Health Services Res., 14 (1), pp. 1-10; Zhang, H., Babar, M.A., Tell, P., Identifying relevant studies in software engineering (2011) Inf. Softw. Technol., 53 (6), pp. 625-637; Van Eck, N., Waltman, L., Software survey: VOSviewer, a computer program for bibliometric mapping (2009) Scientometrics, 84 (2), pp. 523-538; (2021), https://www.clei.org/lawcc/, CLEI-LAWCC Proceedings. Accessed: Feb; (2021) SBC-WIT Proceedings, , https://sol.sbc.org.br/index.php/wit, Sep; Landis, J.R., Koch, G.G., An application of hierarchical kappatype statistics in the assessment of majority agreement among multiple observers (1977) Biometrics, 33 (2), pp. 363-374; Grant, M.J., Booth, A., A typology of reviews: An analysis of 14 review types and associated methodologies (2009) Health Inf. Libraries J., 26 (2), pp. 91-108; Villalba-Condori, K.O., Cuba-Sayco, S.E.C., Chávez, E.P.G., Deco, C., Bender, C., Approaches of learning and computational thinking in students that get into the computer sciences career (2018) Proc. 6th Int. Conf. Technol. Ecosyst. Enhancing Multiculturality, pp. 36-40; Frigo, L.B., Cardoso, P.B., Cardoso, J.P., Coelho, M.H., Pozzebon, E., Pratica de incentivo a inserção de mulheres nos cursos? tecnologicos e de engenharia (2014) Proc. XL (CLEI), p. 5; Sanchez, M.E., Proceso de atracción universitaria con enfoque de genero: Caso ingenieria en computacion, ITCR (2016) Proc. XLIII (CLEI), p. 8; Bim, S.A., MacIel, C., Programa meninas digitais: Prototipando soluções tecnológicas para uma vida melhor (2016) Proc. XLIII (CLEI), p. 10; Lomas, O.C.N., Figueiredo, K., MacIel, C., Promovendo a informática para alunas do ensino fundamental: Relato de uma experiência (2016) Proc. VI Congresso de la Mujer Latinoamericana em La Computacion-LAWCC XLII (CLEI), pp. 1-7. , Medellin, Colombia; Figueiredo, C.M.K., Antoniacomi, C., Admiravel app novo: Um estudo de caso com alunas de ensino medio e programa meninas digitais (2017) Proc. XLIII (CLEI), pp. 1-10. , Medellin, Colombia; Fonseca, P., Hernandez, I., Ejemplo de la incursion de las mujeres en la robotica (2017) Proc. XLIII (CLEI), p. 7; Holanda, M., Ramos, G., Mourao, R., Araujo, A., Percepção das meninas do ensino medio sobre o curso de computação no Distrito Federal do Brasil (2017) Proc. XLIII (CLEI), p. 7; Delgado, A., Promoviendo carreras de TICs en adolescentes de secundaria en Uruguay (2017) Proc. XLIII (CLEI), p. 8; Tridico, S., Ações para a inclusao feminina na era digital: Despertando o interesse em programação (2018) Proc. Latin Amer. Comput. Conf., pp. 1-10; Petro, V., Meninas também sabem programar: Relato de experi ência de um projeto sobre genero e informática no ensino médio (2020) Tear: Revista de Educação, Ciência e Tecnologia, 9 (1), p. a3980; De Oliveira, E.R., Santos, N.V., Horizonte, B., Computação para todos na escola: Relato de experiencia com alunas (2018) Proc. XLIV (CLEI), p. 10. , Sao Paulo, Brazil; Pires, F., Michel, F., Srique, R., Malo, R., Criação de um clube de programação: Uma análise da participação feminina (2018) Proc. XLIV (CLEI), p. 10. , Sao Paulo, Brazil; Pires, F., Bernardo, J., Freire, R., Desenvolvendo pensamento computacional atraves de jogos: Uma análise da participação de meninos e meninas (2018) Proc. XLIV (CLEI), p. 9. , Sao Paulo, Brazil; Holanda, M., Suertegaray, A., Araujo, A., Walter, M.E.T., Meninas.comp: Um relato da experiencia de integração entre alunas e docentes do ensino médio e da Universidade de Brasília (2018) Proc. XLIV (CLEI), p. 9. , Sao Paulo, Brazil; Arias, M., Gonz, L.C., Analisis de genero en carreras STEM: Caso Universidad de Costa Rica (2019) Proc. Congresos UTP, pp. 15-24; De Freitas, R., Circuit of computer science unplugged activities based on the life of Ada Lovelace (2019) Proc. XLV (CLEI), pp. 1-9; Rodrigues, G., Frances, R., Couto, F., Homci, M., Manas digitais: Uma rede de colaboração entre mulheres de tecnologia da informação na região amazônica (2019) Proc. XLV (CLEI), p. 7; Marques, D., Uma reflexao sobre a participação das mulheres em cursos de informatica do IFSP Campus Hortolândia (2019) Proc. XLV CLEI, p. 8; Escherle, N.A., Piloting computer science education week in Mexico (2016) Proc. 47th ACM Techn. Symp. Comput. Sci. Educ., pp. 431-436; Souza, S.M., Bittencourt, R.A., Computer programming workshops with playful environments for middle school girls (2018) Proc. IEEE Front. Educ. Conf. (FIE), pp. 1-9. , San Jose, CA, USA; MacIel, C., Bim, S.A., Boscarioli, C., HCI with chocolate: Introducing HCI concepts to brazilian girls in elementary school (2013) Latin American Conference on Human Computer Interaction, pp. 90-94. , Carrillo, Costa Rica: Springer; Martinez, M.C., Echeveste, M.E., Representaciones de estudiantes de primaria y secundaria sobre las ciencias de la computacion y su oficio (2015) Revista de Educacion a Distancia, 1 (46), pp. 1-38; De Queiroz, C.T.A.P., De Carvalho, M.E.P., Moreira, J.A., Gênero e inclusão de jovens mulheres nas ciências exatas, nas engenharias e na computação (2014) Gênero, Educação e Comunicação, UFPE, p. 15; Gomes, W.F., Louzada, C.S., Nunes, M.A.S.N., Salgueiro, E.M., Andrade, B.T., Incentivando meninas do ensino médio Area de ciencia da computação usando o scratch como ferramenta (2014) Proc. 20th Workshop de Informatica na Escola, p. 223. , Dourados, Brasil; Gomes, M., Pessoa, D., Fernandes, L.A., Estatística aplicada a engenharia e areas afins: Incentivando meninas do ensino medionas carreiras de exatas, engenharias e computação (2014) Humanidades Tecnologia, 20 (1), p. 8; Pinheiro, A., Franco, J., Leite, J., Desenvolvimento do pensamento computacional e discussoes sobre representação feminina na computação: Um estudo de caso (2017) Proc. 6th Congresso Brasileiro de Informatica na Educação, p. 1111. , Recife, Brasil; Figueiredo, K., MacIel, C., A autoeficacia no desenvolvimento de carreira e sua influencia na diversidade de gênero na computação (2018) Revista de Educação Pública, 27 (65), p. 365; Mattos, G.O., Despertando vocações através da capacitação em tecnologia: Experiências com alunas do ensino medio da ECI EEFM professor Celestin Malzac (2020) Proc. Anais do 14th Women Inf. Technol., pp. 1-9; Mercado, G.J.C., Situacion de la mujer en la ciencia y tecnologia: Relaciones de poder al interior de una entidad academica pública con autonomia universitaria (2018) Trilogia Ciencia Tecnologia Sociedad, 10 (19), pp. 45-58; Rodríguez, I., Arias, M., Rodríguez, K., Coto-Sarmiento, L., Murillo-Herrera, M., 'Playful stem-promotion': A initiative to encourage stem programs in primary schools (2020) Proc. 12th LAWCC XLVI CLEI, pp. 1-12. , Loja, Ecuador; Figueiredo, K., MacIel, C., Fatores de influencia na escolha pela continuidade da carreira em computação pelas estudantes de ensino medio técnico em informática (2020) Proc. Anais do 14th Women Inf. Technol., pp. 40-49; Moreira, J., Mattos, G., Barreto, L., Cavaco, I., Moreira, R., Atraindo meninas para a ciência da computação: Métodos e ferramentas (2016) Proc. Anais dos Workshops do Congresso Brasileiro de Informática na Educa ção, 5, p. 1255; Da Silva, S.S., De Meireles, S.P., Carencia de mulheres na computação: Um estudo sobre a relação entre incentivo x desinforma ção (2020) Proc. 12th LAWCC XLVI CLEI, pp. 128-139. , Loja, Ecuador; Galaz-Alday, A., Díaz-Ramírcz, J., Badilla-Torrico, X., Comparative analysis of classification techniques to select potential female applicants to computer related careers in Northern Chile (2020) Proc. 39th Int. Conf. Chilean Comput. Sci. Soc. (SCCC), pp. 1-8. , Coquimbo, Chile; Sousa, S., Oliveira, K., Andrade, C., De Sousa, E., Segundo, J.M., Analise da nao participação feminina nos cursos de informática em escolas estaduais de educação profissional (2020) Proc. 8th Escola Regional de Computação do Ceara, pp. 212-219. , Maranhão e Piaui; Da Silva, G.G., Sinnecker, E.H., Rappoport, T.G., Paiva, T., Tem menina no circuito: Dados e resultados apos cinco anos de funcionamento (2020) Caderno Brasileiro de Ensino de Fisica, 42. , São Paulo, Brazil: Sociedade Brasileira de Física; Figueiredo, L., Codigo x em casa: Um relato de experiência sobre o ensino remoto de computação desplugada para meninas em situação de vulnerabilidade socioeconomica, em tempos de distanciamento social (2020) Proc. 26th Workshop de Informatica na Escola, pp. 279-288; Da Rocha, I.G., Dos Santos, F.F., Barden De Oliveira, C., Collazzo, G.C., Minimização da disparidade de gênero na area de ci ências exatas, engenharias e computação: O impacto da extensão universit ária no cotidiano de alunas de escolas publicas na cidade de Santa Maria, Brasil (2020) E, Revista de Extension Universitaria, 10 (13), p. 2; De Oliveira, M., O MOOC de lovelace acessível: Uma chamada de meninas surdas para as carreiras de computação introdução ao pensamento computacional (2020) Comput. Beach, 11 (1), pp. 191-198; De Santana, L.I.D., Silva, V.M.L., Projeto mulheres na computaç ão UFERSA: Um relato das ações realizadas e seus impactos na comunidade Pau dos Ferros (2020) Proc. Encontro de Computação do Oeste Potiguar ECOP/UFERSA, pp. 1-6; Pinto, N., Quando a aluna se torna a mestre: Um relato da experiencia de alunas de graduação aplicando dinâmicas de ensino de computaç ão para alunas de ensino médio (2020) Proc. 28th Workshop sobre Educaç ão em Computação, pp. 36-40; Morales, G.R., Holgado, A., Carrión, S.P.C., Jaramillo, J.L., Cocreation of bootcamps focused on promoting STEM Proc. 12th LAWCC XLVI CLEI 2020, pp. 60-70; Ferreira, M.E., Lima, D.A., Silva, A., Data analysis for robotics and programming project evaluation involving female students participation (2019) Proc. Latin Amer. Robot. Symp. (LARS) Brazil. Symp. Robot. (SBR) Workshop Robot. Educ. (WRE), pp. 417-422. , Rio Grande, Brazil; MacIel, C., Bim, S.A., Figueiredo, K.D.S., Digital girls program-Disseminating computer science to girls in Brazil (2018) Proc. 1st Int. Workshop Gender Equal. Softw. Eng., pp. 29-32. , Gothenburg, Sweden; Milson, A.L., Elas na ciencia: Website com jogos para divulgar personalidades femininas (2020) inProc. 14th Women Inf. Technol., pp. 10-19; Gomes, L.L.D.A., Carvalho, J.R.H., Lauschner, T., Nakamura, F.G., De Freitas, R., Encouraging women to pursue a computer science career in the context of a third world country (2018) Proc. IEEE Front. Educ. Conf. (FIE), pp. 1-5. , San Jose, CA, USA; Benotti, L., Martínez, M.C., Schapachnik, F., Engaging high school students using chatbots (2014) Proc. Conf. Innovat. Technol. Comput. Sci. Educ., pp. 63-68; Sousa, R.V., Barreto, L.P., Andrade, A., Abdalla, D., Ensinando e aprendendo conceitos sobre ciencia da computação sem o uso do computador: Computação unplugged!!! (2011) Jornada de Atualização em Informatica na Educação, 1 (1), pp. 9-28; Oliveira, M., Leite, A., Silva, M., Bodart, C.M., Nascimento, G., A historia da condessa surda de lovelace: Um relato de experiência de ensino híbrido e assistivo de programação (2019) Proc. Anais do 13th Women Inf. Technol., pp. 51-60; Noguera, V., Branco, K., Ciferri, C., Generos e suas nuances no ENEM (2019) Proc. 13th Women Inf. Technol., pp. 41-50; Silla, C.N., Przybysz, A.L., Rivolli, A., Gimenez, T., Barroso, C., MacHado, J., Girls, music and computer science (2018) Proc. IEEE Front. Educ. Conf. (FIE), pp. 1-6. , San Jose, CA, USA; Campos, G.M., De Melo, A.C.M., Maria bonita nas ciencias: Um projeto para divulgar ciências as meninas de escolas públicas (2020) Proc. 14th Women Inf. Technol., pp. 50-59; Louzada, N., Santana, T., Assis, I., Braga, R., Braga, A., Agindo sobre a diferença: Atividades de empoderamento feminino em prol da permanencia de mulheres em cursos de tecnologia da informação (2019) Proc. 13th Women Inf. Technol., pp. 69-78; Frigo, L.B., Moro, F.F., Padilha, R.O., Pozzebon, E., Meninas em ação: Atividades inspiradoras para projetos parceiros do programa meninas digitais (2020) Proc. 14th Women Inf. Technol., pp. 60-69; Oliveira, M., Medeiros, A.C., Leite, S., Bodart, C., Martins, C., O moodle de lovelace e a interpretação surda no ensino e na aprendizagem do pensamento computacional (2020) Proc. 14th Women Inf. Technol., pp. 80-89; Sales, C., Reducing inequalities in STEM: The girls in computer science project, Paraíba, northeast, Brazil (2020) Proc. 12th LAWCC XLVI CLEI, Loja, Ecuador, pp. 93-104; Santos, C., Filho, A.O., Robotica e interdisciplinaridade: Aprendizagem criativa atraindo meninas para a tecnologia (2020) Proc. 14th Women Inf. Technol., pp. 120-128; Subia, C.V.L.T., Proano, V., Stem women in Ecuador: A proposal to reduce the gender gap (2020) Proc. 12th LAWCC XLVI CLEI, Loja, Ecuador, pp. 25-36; Junior, W., Techno girls: Oficinas de programação de jogos para estudantes de escolas publicas (2019) Proc. 13th Women Inf. Technol., pp. 11-20; Pereira, J., Moura, L., Coelho, N.A., Montes, G.C., Magesti, I., Coelho, A., Uma analise da participação das mulheres nos cursos tecnico em informática e ciencia da computação do Instituto Federal do Sudeste de Minas Gerais (2020) Proc. 14th Women Inf. Technol., pp. 139-148; Fernandes, R., Rodrigues, A., Da Motta, C., Marques, C.V.M., De Oliveira, C., Uma experiencia com o binômio design thinking + pensamento computacional para o letramento digital do publico feminino atraves do desenvolvimento de games (2020) Proc. 14th Women Inf. Technol., pp. 149-158; Bim, S.A., Uma experiencia de ensino de interação humano computador para alunas do ensino medio (2011) Proc. Workshop sobre Educação em Computação, pp. 1-10; Holanda, M., Mourao, R.N., Von Borries, G., Ramos, G.N., Araujo, A., Walter, M.E., What do female students in middle and high schools think about computer science majors in Brasilia, Brazil? A survey in 2011 and 2019 (2020) Proc. IEEE Front. Educ. Conf. (FIE), pp. 1-7. , Uppsala, Sweden; Darcourt, A., Ramos, S., Moreano, G., Hernández, W., Why do peruvian school students choose science and technology careers? (2020) Proc. Int. Congr. Educ. Technol. Sci., 1191, pp. 158-173. , Arequipa, Peru; Vivianne, A.V., Status of women's participation in science and technology in Costa Rica: Women informatics (2012) Proc. 38th Conferencia Latinoamericana En Informatica (CLEI), pp. 1-9. , Medellin, Colombia; Rojas-Hernández, Y., Rojas-Hernández, I., Studies on academic performance according to gender in students of information technology faculty at Universidad Latina of Costa Rica (2012) Proc. 38th Conferencia Latinoamericana En Informatica (CLEI), pp. 1-6. , Medellin, Colombia; Casallas, R., Rodríguez, D.H., Hernández, J.T., Ortega, M.F., Understanding the women participation decline in systems &amp; computing engineering: Case study at the University of Los Andes, Colombia (2012) Proc. 38th Conferencia Latinoamericana En Informatica (CLEI), pp. 1-6. , Medellin, Colombia; Calderon, M., Mari, G., En quien o em que cofian las mujers para tomar la decision de estudiar computacion (2014) Proc. XL (CLEI), pp. 1-6; Sanchez, M.E., Peralta, J.S., GoTouch, iniciativa de investigacion multidisciplinaria desde la perspectiva de genero (2016) Proc. XLIII (CLEI), p. 5; De Freitas, R., Lobo, L., Aires, V., Programming contests and mobile apps development as actions for attracting and retaining Brazilian women in computing courses (2016) Proc. XLIII (CLEI), p. 10; Bonilla, A.A.P., Sanchez, M.A.H., Corretje, L.M., Las ingenieras TIC, baja presencia y superacion de estereotipos (2016) Proc. XLIII (CLEI), p. 10; Nakamura, F., Almeida, T., De Freitas, R., Lauschner, T., Brazilian high school girls: What drives their career choices? (2017) Proc. XLIII (CLEI), p. 8; Salvador, F.C.D., El espacio de la mujer en el area academica y cogobierno de la Universidad Boliviana (2017) Proc. XLIII (CLEI), p. 5; Bastos, M.S.P.P., Tamayo, S.C., Franco, E.M., Motivación y autoeficacia en mujeres que estudian carreras de perfil informático (2017) Proc. LAWCC-CLEI, pp. 44-52; De Freitas, R., Nakamura, F., Lauschner, T., Santos, T., MacHado, A.L., Lobo, L., Undergraduate women in computing: Where did they come from, how are they and where they are going? (2017) Proc. XLIII CLEI, p. 7; Kozievitch, N., Berardi, R., Bim, S.A., Pereira, P., Rangel, J., A presença de mulheres no corpo discente do curso de sistemas de informação da UTFPR-Curitiba (2018) Proc. XLIV CLEI, p. 9; De Freitas, R., Cifra de Cesar principios de criptografia como trote educacional e em comemoração do dia da mulher (2018) Proc. XLIV CLEI, p. 9; Berton, L., Dos Santos, J.A.A., Gender differences in technologies courses at ICT-UNIFESP Brazil (2018) Proc. CLEI, p. 7; Da Silva, E.A.A., De Oliveira, S.E.M., Berenguel, O.L., Giancoli, A.P.M., De Souza, T.P.C., Promovendo a participação de mulheres nos cursos de exatas do IFSP, campus Bragança Paulista (2018) Proc. X CLEI, p. 10; Diaz, F.J., Osorio, M.A., Amadeo, A.P., Molinari, L., Queiruga, C., Ungaro, A., Situación de las mujeres en carreras de grado de la UNLP relacionadas con STEM (2018) Proc. XLIV CLEI, p. 9; Arias, M., Rodríguez, I., Experience of the I workshop women in tech Occidente-Costa Rica (WITO 2019): A study of undergraduate students (2019) Proc. XLV CLEI, p. 9; Roper, D.A., Flores, M.N., Juárez, Y., Motivos del ingreso y permanencia de hombres y mujeres en las carreras de computación Caso: Universidad de Panamá (2019) Proc. XLV CLEI, p. 10; Garcia, N.A., Guerrero, L.S., Pantoja, A.G., Mujeres en tecnologias de la informacion y la comunicación: Acciones para reducir la brecha de genero en educación superior (2019) Proc. XLV CLEI, p. 6; Rodrigues, T.A., Dias, E.S., Percepção da participação feminina nos cursos de computação da Universidade Federal de Goiás (2019) Proc. XLV CLEI, p. 9; Hansen, L., Borges, V., Araujo, A., Holanda, M., Visual analisys of educational data: A gender study in computer courses in university of brasilia (2019) Proc. XLV CLEI, p. 9; Chaves, M.A., Ramirez, I.R., Choice career and work expectations by gender for students of the bachelor in informática empresarial, sede occidente Universidad de Costa Rica (2012) Proc. XXXVIII CLEI, pp. 1-10; Quesada, R.A., Factors and expectations involved in the election of information systems study plan from the universidad nacional: A gender approach (2012) Proc. XXXVIII CLEI, pp. 1-8; Mata, F.J., Quesada, A., Raventós, G.M., Gender gap in computer science programs from Costa Rican public universities (2012) Proc. XXXVIII CLEI, pp. 1-7; Venero, S.K., Eleuterio, J.D.A.S., Rubira, C.M.F., Research contributions on adaptive software architectures: A Brazilian female perspective at UNICAMP (2016) Proc. 10th Eur. Conf. Softw. Archit. Workshops, pp. 1-6; Estrada, P.L., Good night stories for rebel girls: Disrupting a computing engineering class in the higher education context (2018) Computer Supported Qualitative Research, 861, pp. 223-234. , Lisbon, Portugal: Springer, Oct; Hamilton, M., Gender equity in computing: International faculty perceptions and current practices (2016) Proc. ITiCSE Working Group Reports (ITiCSE), pp. 81-102; Maia, M.M., Limites de gênero e presença feminina nos cursos superiores brasileiros do campo da computação (2016) Cadernos Pagu, 46, pp. 223-244. , Apr; Amaral, M., Pereira, M.C., Bim, S., Setti, M., Gonçalves, M., Investigando questoes de gênero em um curso da area de computação Revista Estudos Feministas, 25 (2), pp. 857-874. , 2017-08; Grass, B., Coto, M., Collazos, C., Paderewski, P., Academic emotions in women who learn to program: A highly relevant factor in the software sector (2018) Proc. XIX Int. Conf. Human Comput. Interaction, pp. 1-4. , https://doi.org/10.1145/3233824.3233860; Garcia, L., Maza, V.C., Factors influencing the academic performance in standardized tests of computer science/engineering students in Colombia (2018) Int. J. Eng. Educ., 34 (3), pp. 1073-1084; De Oliveira, L.C., Castelini, P., Leite, P.S., Almeida, L.D.A., 'Personalities': A participatory approach for gender discussion (2019) Proc. 25th Americas Conf. Inf. Syst., p. 11; Ramirez, R.F., Manosalvas, M.I., Cardenas, O.S., Estereotipos de gênero y su impacto en la educacion de la mujer en Latinoamerica y el Ecuador (2019) Espacios Blanco. Revista Educacion, 40 (41), pp. 29-36; D'Jesús Urbina Gutiérrez, M., Altuve, J., Estudios de la mujer en la formación profesional de ingeniería en Venezuela y su relación con los estereotipos de género (2017) Temas Emergentes en la Didáctica, 2, pp. 39-51; Rubio, A.P., Reborido, A.C., La perspectiva de género de las ingenierías de la universidad autónoma metropolitana Unidad Azcapotzalco, México (2016) Proc. XIII Encuentro Iberoamericano Mujeres Ingenieras Arquitectas y Agrimensoras EIMIAA, p. 12; Frigo, L.B., Yevseyeva, O., Pozzebon, E., Analise da diferença de genero na educação (2013) Proc. CLEI, p. 7; Sales, A., Calado, B., Silva, D.R.D., Mattos De Oliveira, G., Moreira, J.A., Dificuldade para o ingresso e permanencia na ciencia e engenhaira da computação, um olhar feminino (2014) Proc. Rede Feminista Norte e Nordeste Estudos Pesquisa sobre Mulher Relações Gênero, p. 15; Moreira, J.A., Mattos De Oliveira, G., Reis, L.S., Um panorama da presença feminina na ciencia da computação (2016) Proc. Estudos REDOR, pp. 65-80; Oliveira, A.C., Moro, M.M., Prates, R.O., Perfil feminino em computação: Analise inicial (2014) Proc. XXII Workshop Sobre Educação Computação, pp. 179-188; Teixeira, A., Posser, C.V., Mulheres que aprendem informatica: Um estudo de genero na area de TI (2016) Proc. XXII Workshop de Informatica Escola, p. 707; Lima, B.S., Da Costa, M.C., Gênero, ciências e tecnologias: Caminhos percorridos e novos desafios (2016) Cadernos Pagu, 48, pp. 120-158. , Jan; Daibert, M.S., Masculinização das carreiras de computação: Uma análise quantitativa e comparativa do curso de computa ção da FAGOC com os cursos de computação de todo o ensino superior brasileiro (2016) Revista Científica UNIFAGOC Multiciplinar, 1 (1), pp. 1-7; Dos Santos, W.O., Mulheres na computação: Uma analise da participação feminina nos cursos de licenciatura em computação (2017) Proc. VI Congresso Brasileiro Informatica na Educação, p. 814; Silva, J., Oliveira, L., Silva, A., Meninas na computação: Uma analise inicial da participação das mulheres nos cursos de sistemas de informação do estado de Alagoas (2019) Brazil. J. Develop., 5 (11), pp. 25233-25243; Ribeiro, L., Barbosa, G., Silva, I., Coutinho, F., Santos, N., Um panorama da atuação da mulher na computação (2019) Proc. XIII Women Inf. Technol., pp. 1-10; Molinari, L.H., La universidad y los procesos de transformacion: El Género en las TIC: El caso de la facultad de informatica de la UNLP (2018) Proc. XX Workshop Investigadores Ciencias Computacion (WICC), pp. 475-479; Ávila, J.A.M., Presencia de la mujer en la universidad pedagogica y tecnologica de Colombia: Caso de la escuela de ingenieria de minas de Sogamoso, 1986-1995 (2012) Educ. Y Ciencia, 1 (15), pp. 151-168; Leon, T.C., Martinez, M.T., Nevot, G.F., Vargas, N.A., Perez, D.D., Carreras masculinizadas en la universidad de la Habana: Construcciones de genero en el estudiantado y profesorado (2020) Estudios del Desarrollo Social Cuba y America Latina, 8 (1), p. 15; Almeida, L.D.A., Amaral, M.A., Juarez, Y.F.B., Castelini, P., Acesso e permanencia de mulheres com deficiência nos cursos superiores em computa ção (2020) Linkscienceplace Interdiscipl. Sci. J., 7 (1), pp. 1-16; Da Cunha, U.F.C., Miranda, C.M., Rambo, M.K.D., Mulheres nas ciências extas e tecnologias: Um olhar para a Universidade Federal do Tocantins-UFT na perspectiva de gênero (2020) Capitalismo Política Social Brasil, 7 (2), pp. 276-289; Silva, U., Ferreira, D., Ambrosio, A., Oliveira, J., Percepcoes de alunos de graduação sobre genero em ciência da computação (2020) Proc. XXXI Simposio Brasileiro Informatica Educação, pp. 632-641; Cardoso, Y.C.M., Da Costa, T.G., De Paula, T.M.D., De Resende, E.C., Reflexoes sobre a presença feminina nos cursos superiores do IFMG-Campus Bambui , em especial na engenharia de computação (2020) Revista Feminismos, 8 (1), pp. 13-24; Alves, L.M.R., Silva, V.M.L., Um panorama sobre representatividade feminina nos cursos de computação da UFERSA campus Pau dos Ferros (2020) Proc. Encontro Computação Oeste Potiguar ECOP/UFERSA, pp. 1-8; Vidal, E., Castro, E., Montoya, S., Payihuanca, K., Closing the gender gap in engineering: Students role model program (2020) Proc. 43rd Int. Convention Inf. Commun. Electron. Technol. (MIPRO), pp. 1493-1496; Vallejo, P., Guacho, G., Valencia, M., Eficacia, eficiencia y situacion de permanencia de la mujer en la escuela de ingeniería en sistemas de la ESPOCH (2020) Conciencia Digit., 3 (11), pp. 44-62; Siqueira, T.L.L., Elas: Introdução a engenharia da computa ção e além (2020) Proc. XIV Women Inf. Technol., pp. 20-29; Gaitan, J.A., Cataluna, F.J.R., Ramírez-Correa, P.E., Gender influence in perception and adoption of e-learning platforms (2010) Proc. 9th WSEAS Int. Conf. Data Netw. Commun. Comput., pp. 30-35; Salazar-Fernandez, J.P., Sepulveda, M., Munoz-Gama, J., Influence of student diversity on educational traje</t>
  </si>
  <si>
    <t>Mosquera-Pérez J.E., Losada-Rivas J.J.</t>
  </si>
  <si>
    <t>57817156300;57817156400;</t>
  </si>
  <si>
    <t>EFL Teachers’ Professional Identity: A Narrative Study With Colombian Graduate Students [Identidad profesional de docentes de inglés: un estudio narrativo con estudiantes colombianos de posgrado]</t>
  </si>
  <si>
    <t>Profile: Issues in Teachers' Professional Development</t>
  </si>
  <si>
    <t>https://www.scopus.com/inward/record.uri?eid=2-s2.0-85134846690&amp;doi=10.15446%2fprofile.v24n2.91744&amp;partnerID=40&amp;md5=9fce3bce0aabedc743b0e389532f0576</t>
  </si>
  <si>
    <t>Universidad Pedagógica y Tecnológica de Colombia, Tunja, Colombia; Universidad Surcolombiana, Neiva, Colombia</t>
  </si>
  <si>
    <t>Mosquera-Pérez, J.E., Universidad Pedagógica y Tecnológica de Colombia, Tunja, Colombia; Losada-Rivas, J.J., Universidad Surcolombiana, Neiva, Colombia</t>
  </si>
  <si>
    <t>This paper reports a qualitative narrative study that explored the trajectories of English language teachers’ identities before and after their participation in a master’s program in English language teaching at a Colombian public university. After analyzing the data gathered through oral narratives and narrative interviews, results showed that teachers’ identities are part of an endless process nurtured by experiences at the academic, pedagogical, and personal levels. We found that such experiences were constantly cultivated and analyzed in the master’s seminars, which positively influenced the development of the participants’ identities by making them more reflective and critical practitioners. Most teachers reported developing higher levels of social commitment, critical-reflective engagement, and research-oriented practices due to their graduate academic experience. © 2022, Universidad Nacional de Colombia. All rights reserved.</t>
  </si>
  <si>
    <t>professional development; reflective teaching; teacher education; teacher identity</t>
  </si>
  <si>
    <t>Abednia, A., Teachers’ professional identity: Contributions of a critical EFL teacher education course in Iran (2012) Teaching and Teacher Education, 28 (5), pp. 706-717. , https://doi.org/10.1016/j.tate.2012.02.005; Ajayi, L., How ESL teachers’ sociocultural identities mediate their teacher role identities in a diverse urban school setting (2010) The Urban Review, 43 (5), pp. 654-680. , https://doi.org/10.1007/s11256-010-0161-y; Amin, N., Race and the identity of the nonnative ESL teacher (1997) TESOL Quarterly, 31 (3), pp. 580-583. , https://doi.org/10.2307/3587841; Arias-Cepeda, C., Exploring the grounds for the study of the identity of indigenous English language teachers in Colombia (2020) GIST – Education and Learning Research Journal, 20, pp. 189-214. , https://doi.org/10.26817/16925777.713; Barkhuizen, G., Narrative approaches to exploring language, identity and power in language teacher education (2016) RELC Journal, 47 (1), pp. 25-42. , https://doi.org/10.1177/0033688216631222; Barkhuizen, G., (2017) Reflections on language teacher identity research, , https://doi.org/10.4324/9781315643465, (Ed). Routledge; Beauchamp, C., Thomas, L., Understanding teacher identity: An overview of issues in the literature and implications for teacher education (2009) Cambridge Journal of Education, 39 (2), pp. 175-189. , https://doi.org/10.1080/03057640902902252; Bell, J., (2014) Doing your research project: A guide for first-time researchers, , (6th ed). McGraw-Hill; Borg, M., The apprenticeship of observation (2004) ELT Journal, 58 (3), pp. 274-276. , https://doi.org/10.1093/elt/58.3.274; Brutt-Griffler, J., Samimy, K. K., Revisiting the colonial in the postcolonial: Critical praxis for nonnative-English-speaking teachers in a TESOL program (1999) TESOL Quarterly, 33 (3), pp. 413-431. , https://doi.org/10.2307/3587672; Caires, S., Almeida, L. S., Martins, C., The socioemotional experiences of student teachers during practicum: A case of reality shock? (2009) The Journal of Educational Research, 103 (1), pp. 17-27. , https://doi.org/10.1080/00220670903228611; Castañeda-Trujillo, J. E., Untangling initial English teaching education from pre-service teachers’ collaborative autoethnographies (2020) Methodological uncertainties of research in ELT education I, pp. 219-239. , Doctorado Interinstitucional en Educación (Ed), –). Universidad Distrital Francisco José de Caldas; Castañeda-Trujillo, J. E., Aguirre-Hernández, A. J., Pre-service English teachers’ voices about the teaching practicum (2018) How Journal, 25 (1), pp. 156-173. , https://doi.org/10.19183/how.25.1.420; Coldwell, M., Exploring the influence of professional development on teacher careers: A path model approach (2017) Teaching and Teacher Education, 61, pp. 189-198. , https://doi.org/10.1016/j.tate.2016.10.015; Cooper, K., Olson, M. R., The multiple ‘I’s’ of teacher identity (1996) Changing research and practice: Teachers’ professionalism, identities and knowledge, pp. 78-89. , https://doi.org/10.1201/9781315043227-10, M. Kompf, W. R. Bond, D. Dworet, &amp; T. Boak (Eds), –). Routledge; Crandall, J. A., Language teacher education (2000) Annual Review of Applied Linguistics, 20, pp. 34-55. , https://doi.org/10.1017/S0267190500200032; Danielewicz, J., (2014) Teaching selves: Identity, pedagogy, and teacher education, , Suny Press; Davis, J. S., Five secondary teachers: Creating and presenting a teaching persona (2011) Current Issues in Education, 14 (1), pp. 1-27; Duff, P. A., Uchida, Y., The negotiation of teachers’ sociocultural identities and practices in postsecondary EFL classrooms (1997) TESOL Quarterly, 31 (3), pp. 451-486. , https://doi.org/10.2307/3587834; Dwyer, R., Emerald, E., Narrative research in practice: Navigating the terrain (2017) Narrative research in practice, pp. 1-25. , https://doi.org/10.1007/978-981-10-1579-3_1, R. Dwyer, I. Davis, &amp; E. Emerald (Eds), –). Springer; Farrell, T. S. C., (2013) Reflective practice in ESL teacher development groups: From practices to principles, , https://doi.org/10.1057/9781137317193, Springer; Flick, U., (2009) An introduction to qualitative research, , (4th ed). Sage; Freeman, D., Teacher training, development, and decision making: A model of teaching and related strategies for language teacher education (1989) TESOL Quarterly, 23 (1), pp. 27-45. , https://doi.org/10.2307/3587506; Freeman, D., Richards, J. C., (1996) Teacher learning in language teaching, , (Eds). Cambridge University Press; Gee, J. P., Identity as an analytic lens for research in education (2000) Review of Research in Education, 25, pp. 99-125. , https://doi.org/10.2307/1167322; Golombek, P., Jordan, S. R., Becoming “black lambs” not “parrots”: A poststructuralist orientation to intelligibility and identity (2005) TESOL Quarterly, 39 (3), pp. 513-533. , https://doi.org/10.2307/3588492; Guerrero, C. H., Meadows, B., Global professional identity in deterritorialized spaces: A case study of a critical dialogue between expert and novice nonnative English speaker teachers (2015) Profile: Issues in Teachers’ Professional Development, 17 (2), pp. 13-27. , https://doi.org/10.15446/profile.v17n2.44194; Hayes, D., Hattam, R., Comber, B., Kerkham, L., Lupton, R., Thomson, P., (2017) Literacy, leading and learning: Beyond pedagogies of poverty, , https://doi.org/10.4324/9781315180014, Routledge; Hernández-Varona, W., Gutiérrez-Álvarez, D. F., English language student-teachers developing agency through community-based pedagogy projects (2020) Profile: Issues in Teachers’ Professional Development, 22 (1), pp. 109-122. , https://doi.org/10.15446/profile.v22n1.76925; Johnston, B., Do EFL teachers have careers? (1997) TESOL Quarterly, 31 (4), pp. 681-712. , https://doi.org/10.2307/3587756; Kartch, F., Narrative interviewing (2017) The SAGE encyclopedia of communication research methods, 1, pp. 1072-1075. , https://doi.org/10.4135/9781483381411.n369, M. Allen (Ed), –). Sage; Kayi-Aydar, H., Language teacher identity (2019) Language Teaching, 52 (3), pp. 281-295. , https://doi.org/10.1017/s0261444819000223; Kramp, M. K., Exploring life and experience through narrative inquiry (2004) Foundations for research: Methods of inquiry in education and the social sciences, pp. 103-121. , K. deMarrais &amp; S. D. Lapan (Eds), –). Routledge; Kumaravadivelu, B., (2003) Beyond methods: Macrostrategies for language teaching, , Yale University Press; Kumaravadivelu, B., (2008) Cultural globalization and language education, , Yale University Press; Kumaravadivelu, B., Individual identity, cultural globalization and teaching English as an international language: The case for an epistemic break (2012) Teaching English as an international language: Principles and practices, pp. 9-27. , L. Alsagoff, W. Renandya, G. Hu, &amp; S. L. Mckay (Eds), –). Routledge; Lander, R., Queer English language teacher identity: A narrative exploration in Colombia (2018) Profile: Issues in Teachers’ Professional Development, 20 (1), pp. 89-101. , https://doi.org/10.15446/profile.v20n1.63658; Liu, Y., Xu, Y., (2011) Inclusion or exclusion? A narrative inquiry of a language teacher’s identity experience in the “new work order” of competing pedagogies; Student teachers’ identity construction: A socially-constructed narrative in a second language teacher education program (2020) Teaching and Teacher Education, 91, 1–10, 27 (3), pp. 589-597. , https://doi.org/10.1016/j.tate.2010.10.013Macías-Villegas,D.F.,Hernández-Varona,W.,&amp;Gutiérrez-Sánchez,A, https://doi.org; Marshall, M. N., Sampling for qualitative research (1996) Family Practice, 13 (6), pp. 522-526. , https://doi.org/10.1093/fampra/13.6.522; Martinsen, R., Predicting changes in cultural sensitivity among students of Spanish during short-term study abroad (2011) Hispania, 94 (1), pp. 121-141; Medina, A., Hathaway, J., Pilonieta, P., How preservice teachers’ study abroad experiences lead to changes in their perceptions of English language learners (2015) Frontiers: The Interdisciplinary Journal of Study Abroad, 25 (1), pp. 73-91. , https://doi.org/10.36366/frontiers.v25i1.346; Merriam, S. B., (2009) Qualitative research: A guide to design and implementation, , John Wiley &amp; Sons; Mosquera-Pérez, J. E., (2020) EFL teachers’ professional identity: A master’s level exploration, , [Unpublished master’s thesis]. Universidad Surcolombiana; Motha, S., Racializing ESOL teacher identities in U.S. K–12 public schools (2006) TESOL Quarterly, 40 (3), pp. 495-518. , https://doi.org/10.2307/40264541; Muylaert, C. J., Sarubbi, V., Gallo, P. R., Neto, M. L. R., Reis, A. O. A., Narrative interviews: An important resource in qualitative research (2014) Revista da Escola de Enfermagem da USP, 48 (spe2), pp. 184-189. , https://doi.org/10.1590/S0080-623420140000800027; Norton, B., Identity and language learning: Extending the conversation (2013) Multilingual Matters, , https://doi.org/10.21832/9781783090563; Norton, B., Learner investment and language teacher identity (2017) Reflections on language teacher identity research, pp. 80-86. , G. Barkhuizen (Ed), –). Routledge; Pianta, R. C., Hamre, B. K., Allen, J. P., (2012) Teacher-student relationships and engagement: Conceptualizing; (1995) Handbook of research on student engagement, 8 (1), pp. 365-386. , https://doi.org/10.1080/0951839950080103, measuring, and improving the capacity of classroom interactions S. Christenson, A. Reschly, &amp; C. Wylie (Eds), –). Springer. https://doi. org/10.1007/978-1-4614-2018-7_17 Polkinghorne, D. E. Narrative configuration in qualitative analysis. International Journal of Qualitative Studies in Education, 5–23; Saldaña, J., (2011) Fundamentals of qualitative research, , Oxford University Press; Simon-Maeda, A., The complex construction of professional identities: Female EFL educators in Japan speak out (2004) TESOL Quarterly, 38 (3), pp. 405-436. , https://doi.org/10.2307/3588347; Stake, R. E., (2010) Qualitative research: Studying how things work, , Guilford Press; Trent, J., Teacher education as identity construction: Insights from action research (2010) Journal of Education for Teaching, 36 (2), pp. 153-168. , https://doi.org/10.1080/02607471003651672; Tsui, A. B. M., Complexities of identity formation: A narrative inquiry of an EFL teacher (2007) TESOL Quarterly, 41 (4), pp. 657-680. , https://doi.org/10.1002/j.1545-7249.2007.tb00098.x; Ubaque-Casallas, D., Castañeda-Peña, H., I’m here and I am queer (2021) Queer teacher identities in ELT. A Colombian study. Folios, (53). , https://doi.org/10.17227/folios.53-11291; van Lankveld, T., Schoonenboom, J., Volman, M., Croiset, G., Beishuizen, J., Developing a teacher identity in the university context: A systematic review of the literature (2016) Higher Education Research &amp; Development, 36 (2), pp. 325-342. , https://doi.org/10.1080/07294360.2016.1208154; Varghese, M., Morgan, B., Johnston, B., Johnson, K. A., Theorizing language teacher identity: Three perspectives and beyond (2005) Journal of Language, Identity &amp; Education, 4 (1), pp. 21-44. , https://doi.org/10.1207/s15327701jlie0401_2; Vermunt, J. D., Teacher learning and professional development (2014) Teachers’ professional development: Assessment, training, and learning, pp. 79-95. , https://doi.org/10.1007/978-94-6209-536-6_6, S. Krolak-Schwerdt, S. Glock, &amp; M. Böhmer (Eds), –). Springer; Viáfara, J. J., Largo, J. D., Colombian English teachers’ professional development: The case of master programs (2018) Profile: Issues in Teachers’ Professional Development, 20 (1), pp. 103-119. , https://doi.org/10.15446/profile.v20n1.63323; Wenger, E., (1999) Communities of practice: Learning, meaning, and identity, , https://doi.org/10.1017/CBO9780511803932, Cambridge University Press</t>
  </si>
  <si>
    <t>Profile Issues in Teachers' Professional Development</t>
  </si>
  <si>
    <t>2-s2.0-85134846690</t>
  </si>
  <si>
    <t>Roque Herrera Y., Valdiviezo Maygua M.A., Romero-Rodríguez J.-M., Alonso-García S.</t>
  </si>
  <si>
    <t>57188650060;57217360933;57204466409;57198780913;</t>
  </si>
  <si>
    <t>Practice, training, and teaching competence in the exercise of the virtual academic modality [Práctica, formación y competencia docente en el ejercicio de la modalidad académica virtual]</t>
  </si>
  <si>
    <t>Revista Interuniversitaria de Formacion del Profesorado</t>
  </si>
  <si>
    <t>10.47553/rifop.v98i36.2.93778</t>
  </si>
  <si>
    <t>https://www.scopus.com/inward/record.uri?eid=2-s2.0-85134749701&amp;doi=10.47553%2frifop.v98i36.2.93778&amp;partnerID=40&amp;md5=2afd428ad6232e1822042f2f6ae9ffa1</t>
  </si>
  <si>
    <t>Universidad Nacional de Chimborazo, Ecuador; Universidad de Granada, Spain</t>
  </si>
  <si>
    <t>Roque Herrera, Y., Universidad Nacional de Chimborazo, Ecuador; Valdiviezo Maygua, M.A., Universidad Nacional de Chimborazo, Ecuador; Romero-Rodríguez, J.-M., Universidad de Granada, Spain; Alonso-García, S., Universidad de Granada, Spain</t>
  </si>
  <si>
    <t>The necessary social isolation due to the Covid-19 pandemic, leaving virtual education as the only safe alternative to maintain academic activity in universities and not stop the training of future professionals. The main objective is to assess the competence for teaching in the virtual modality in professors of the Faculty of Health Sciences of the National University of Chimborazo and the Faculty of Education of the University of Granada. The methodology applied was quantitative, non-experimental, correlational, and cross-sectional. The population consisted of 114 teachers from these higher education contexts. The Online Tutor Functions and Competencies Scale was the instrument used for data collection. The most substantial results are that 58.77% of the teachers belonged to the female gender and the mean age was 42.87 years. There was a significant association between teaching category and time of experience in the university teaching profession (Rho=0.372; p=0.000). A total of 74.56% considered that the practical activities achieved the proposed objectives. 59.65% stated that they preferred the face-to-face teaching modality. Finally, the most relevant conclusion is that most of the professors involved in the research obtained a score that classified them as possessing the specific competences assessed, as well as the global competence for teaching in the virtual modality, which was significantly correlated with the teaching modality preferred by the members of the study population. © 2022, AUFOP. All rights reserved.</t>
  </si>
  <si>
    <t>higher education; teacher training; teaching skills; virtual education</t>
  </si>
  <si>
    <t>138-CIV-7-7-2021</t>
  </si>
  <si>
    <t>La presente investigación ha sido financiada gracias a la Universidad Nacional de Chimborazo (Ecuador), mediante la Resolución No 138-CIV-7-7-2021, a través del proyecto de investigación “Valoración de las funciones y competencias del tutor-facilitador durante la formación profesional virtual”, con una cuantía de 9.254 USD y un año de duración.</t>
  </si>
  <si>
    <t>Acevedo-Duque, Á., Argüello, A. J., Pineda, B. G., Urcios, P. W., Competencias del docente en educación online en tiempo de COVID-19: Universidades Públicas de Honduras (2020) Revista de Ciencias Sociales, 26 (2), pp. 206-224; Afanador-Castañeda, H. A., Valbuena-Ussa, E. O., Funciones de las TIC en la enseñanza: una revisión documental (2017) Bio-grafía, 10 (19), pp. 1149-1156. , https://doi.org/10.17227/bio-grafia.extra2017-7285; Almaraz, F., Maz, A., López, C., Análisis de la transformación digital de las Instituciones de Educación Superior. Un marco de referencia teórico (2017) Edmetic, 6 (1), pp. 181-202. , https://doi.org/10.21071/edmetic.v6i1.5814; Alonso-García, S., Aznar, I., Cáceres, M. P., Trujillo, J. M., Romero, J. M., Systematic Review of Good Teaching Practices with ICT in Spanish Higher Education. Trends and Challenges for Sustainability (2019) Sustainability, 11 (24), p. 7150. , https://doi.org/10.3390/su11247150; Aznar-Díaz, I., Cáceres-Reche, M. P., Romero-Rodríguez, J. M., Competencia digital de un tutor e-learning: un modelo emergente de buenas prácticas docentes en TIC (2019) Texto Livre: Linguagem e Tecnologia, 12 (3), pp. 49-68. , https://doi.org/10.17851/1983-3652.12.3.49-68; Barráez, D. P., La educación a distancia en los procesos educativos: Contribuye significativamente al aprendizaje (2020) Revista Tecnológica-Educativa Docentes 2.0, 8 (1), pp. 41-49. , https://doi.org/10.37843/rted.v8i1.91; Basantes-Andrade, A. V., Cabezas-González, M., Casillas-Martín, S., Competencias digitales en la formación de tutores virtuales en la Universidad Técnica del Norte, Ibarra-Ecuador (2020) Formación universitaria, 13 (5), pp. 269-282. , https://dx.doi.org/10.4067/S0718-50062020000500269; Canales-Reyes, R., Silva-Quiróz, J., De lo presencial a lo virtual, un modelo para el uso de la formación en línea en tiempos de Covid-19 (2020) Educar em Revista, 36, p. e76140. , https://doi.org/10.1590/0104-4060.76140; Chaves, E., Trujillo, J. M., López, J. A., Acciones para la autorregulación del aprendizaje en entornos personales (2016) Píxel-Bit. Revista de Medios y Educación, 48, pp. 67-82. , http://dx.doi.org/10.12795/pixelbit.2016.i48.05; Fernández-Márquez, E., Leiva-Olivencia, J. J., López-Meneses, E., Competencias digitales en docentes de Educación Superior (2018) Revista Digital de Investigación en Docencia Universitaria, 12 (1), pp. 213-231. , https://dx.doi.org/10.19083/ridu.12.558; Fombella, J., Ventajas y amenazas del uso de las TIC en el ámbito educativo (2018) Debates &amp; Prácticas en Educación, 3 (2), pp. 30-46; Garay-Núñez, J. R., Representaciones sociales de las competencias docentes en entornos virtuales de aprendizaje en tiempos de pandemia (2021) Dilemas contemporáneos: educación, política y valores, 8 (2), p. 00039. , https://doi.org/10.46377/dilemas.v8i2.2551; Gómez, I. M., La inclusión de las tecnologías en la formación inicial del profesorado: una intervención de aula a través del modelo TPACK (2016) Tendencias pedagógicas, 28, pp. 133-152. , https://doi.org/10.15366/tp2016.28.010; Gutiérrez-Rodríguez, C. A., Fortalecimiento de las competencias de interpretación y solución de problemas mediante un entorno virtual de aprendizaje (2018) Revista de Investigación, Desarrollo e Innovación, 8 (2), pp. 279-293. , https://doi.org/10.19053/20278306.v8.n2.2018.7170; Hidalgo Benites, L. E., Modelos educativos en la educación virtual universitaria (2021) EDUCARE ET COMUNICARE: Revista de investigación de la Facultad de Humanidades, 9 (1), pp. 4-13. , https://doi.org/10.35383/educare.v9i1.450; Hidalgo-Benites, L. E., Competencias profesionales docentes en la educación remota (2020) CIID Journal, 1 (1), pp. 249-270. , https://doi.org/10.46785/ciidj.v1i1.61; Martínez-Garcés, J., Garcés-Fuenmayor, J., Competencias digitales docentes y el reto de la educación virtual derivado de la covid-19 (2020) Educación Y Humanismo, 22 (39), pp. 1-16. , https://doi.org/10.17081/eduhum.22.39.4114; Mendoza, H. H., Burbano, V. M., Valdivieso, M. A., El Rol del Docente de Matemáticas en Educación Virtual Universitaria. Un Estudio en la Universidad Pedagógica y Tecnológica de Colombia (2019) Formación universitaria, 12 (5), pp. 51-60. , https://dx.doi.org/10.4067/S0718-50062019000500051; Molina-Gutiérrez, T. J., Lizcano-Chapeta, C. J., Álvarez-Hernández, S. R., Camargo-Martínez, T. T., Student crisis in pandemic. How do university students value virtual education? (2021) Conrado, 17 (80), pp. 283-294; Nolasco, P., Ojeda, M. M., La evaluación de la integración de las TIC en la educación superior: fundamento para una metodología (2016) RED-Revista de Educación a Distancia, 48, pp. 1-24. , https://doi.org/10.6018/red/48/9; Núñez-Herrera, A. C., Fernández-Urquiza, M., González-Puerto, Y., Gaimetea-Castillo, C. R., Rojas-Rodríguez, Y., López-Otero, T. E., Resultados de la capacitación sobre la COVID-19. Universidad de Ciencias Médicas de Cienfuegos, 2020 (2020) MediSur, 18 (3), pp. 396-403; Rodríguez-Chueca, J., Molina-García, A., García-Aranda, C., Pérez, J., Rodríguez, E., Understanding sustainability and the circular economy through flipped classroom and challenge-based learning: an innovative experience in engineering education in Spain (2020) Environmental Education Research, 26 (2), pp. 238-252. , https://doi.org/10.1080/13504622.2019.1705965; Tan, C., Lin, J., A new QoE-based prediction model for evaluating virtual education systems with COVID-19 side effects using data mining (2021) Soft Comput, , https://doi.org/10.1007/s00500-021-05932-w; Torres-Madroñero, M. C., Torres-Madroñero, E. M., PazRed. Una propuesta de educación virtual para la formación de estudiantes universitarios en competencias para las Ciencias Sociales (2020) Trilogía Ciencia Tecnología Sociedad, 12 (23), pp. 37-59. , https://doi.org/10.22430/21457778.1715; Van-den-Berg, C. L., Verster, B., Collett, K. S., Flipped out in the blended classroom, the good, the bad and the ugly: when academics become students (2018) South African Journal of Higher Education, 32 (6), pp. 440-459. , https://doi.org/10.20853/32-6-2984; Velásquez, R., La Educación Virtual en tiempos de Covid-19 (2020) Revista Científica Internacional, 3 (1), pp. 19-25. , https://doi.org/10.46734/revcientifica.v2i1.8</t>
  </si>
  <si>
    <t>AUFOP</t>
  </si>
  <si>
    <t>Rev. Interuniv. Form. Profr.</t>
  </si>
  <si>
    <t>2-s2.0-85134749701</t>
  </si>
  <si>
    <t>Eliecer Cárdenas O., Vega-Rodríguez S., Cárdenas-Chaparro A., De Leon-Rodriguez A., e Loera D.</t>
  </si>
  <si>
    <t>57810545300;55453096800;57193222854;57211114610;57810545400;</t>
  </si>
  <si>
    <t>https://www.scopus.com/inward/record.uri?eid=2-s2.0-85134527122&amp;doi=10.1002%2fslct.202201336&amp;partnerID=40&amp;md5=2765eafc858f70bfc089cbbc0cb83b93</t>
  </si>
  <si>
    <t>Facultad de Ciencias Químicas, Universidad Autónoma de, Av. Dr. Manuel Nava No. 6 Zona Universitaria, San Luis Potosí, 78210, Mexico; Escuela de Ciencias Químicas, Universidad Pedagógica y Tecnológica de, Avenida Central del Norte, Colombia, 39-115, Colombia; Instituto Potosino de Investigación Científica y Tecnológica A.C., Camino a la Presa, San José 2055 Col. Lomas 4 sección, 78216, Mexico</t>
  </si>
  <si>
    <t>Eliecer Cárdenas, O., Facultad de Ciencias Químicas, Universidad Autónoma de, Av. Dr. Manuel Nava No. 6 Zona Universitaria, San Luis Potosí, 78210, Mexico; Vega-Rodríguez, S., Facultad de Ciencias Químicas, Universidad Autónoma de, Av. Dr. Manuel Nava No. 6 Zona Universitaria, San Luis Potosí, 78210, Mexico; Cárdenas-Chaparro, A., Escuela de Ciencias Químicas, Universidad Pedagógica y Tecnológica de, Avenida Central del Norte, Colombia, 39-115, Colombia; De Leon-Rodriguez, A., Instituto Potosino de Investigación Científica y Tecnológica A.C., Camino a la Presa, San José 2055 Col. Lomas 4 sección, 78216, Mexico; e Loera, D., Facultad de Ciencias Químicas, Universidad Autónoma de, Av. Dr. Manuel Nava No. 6 Zona Universitaria, San Luis Potosí, 78210, Mexico</t>
  </si>
  <si>
    <t>Z-bixin is the main metabolite contained in Achiote, which is widely used as a food condiment and pigment. Z-bixin plays an important role in photosynthesis. It is used to develop artificial solar cells and scavenge radical oxygen and nitrogen species. In this work, the photochemistry of Z-bixin with solar irradiation and lamps at 365 and 410 nm was determined in solution. The ultraviolet-visible spectroscopy (UV-Vis) and Ultra High Performance Liquid Chromatography (UHPLC) analysis showed that elaidinization of Z-bixin to E-bixin can be reached under radiation. This is in accordance with the computational evaluation that indicates that the mechanism consists of three bond rotations with an energy requirement of 5.43 and 5.23 kcal/mol for the first and second steps and no energy barriers to the last step. After elaidinization, total degradation was observed through a cascade reaction that generated CO, CO2, H2CO, and HCl. © 2022 Wiley-VCH GmbH.</t>
  </si>
  <si>
    <t>Bixin; Elaidinization; Oxidation; Total degradation; β-carotene</t>
  </si>
  <si>
    <t>Consejo Nacional de Ciencia y Tecnología, CONACYT: 945756</t>
  </si>
  <si>
    <t>Zerlotti Mercadante, A., Composition of Carotenoids from Annatto (2001) Chemistry and Physiology of Selected Food Colorants, 775, pp. 92-101. , T. Hofmann J. M. Ames, ACS Symposium Series; Raddatz-Mota, D., Pérez-Flores, L.J., Carrari, F., Mendoza-Espinoza, J.A., Días de León-Sánchez, F., Pinzón-López, L.L., Godoy-Hernández, G., Rivera-Cabrera, F., (2017) J. Food Sci. Technol., 54, pp. 1729-1741; Bolognesi, V.J., Garcia, C.E.R., (2018) Annatto Carotenoids as Additives Replacers in Meat Products, 17, pp. 355-384. , A. M. Grumezescu A. M. Holban; Carvalho, I.C., Barbosa, M.L., Costa, M.J.S., Longo, E., Cavalcante, L.S., Viana, V.G.F., Santos, R.S., (2020) Optik (Stuttg.), 218; Xue, L., Zhang, H., Zhang, J., Li, B., Zhang, Z., Tao, S., (2018) Toxicol. Rev., 7, pp. 258-270; Galindo-Cuspinera, V., Rankin, S.A., (2005) J. Agric. Food Chem., 53, pp. 2524-2529; García, M., Monzote, L., Montalvo, A.M., Scull, R., (2011) , Forsch. Komplementmed., 18, pp. 351-353; Moreira, P.R., Maioli, M.A., Medeiros, H.C.D., Guelfi, M., Pereira, F.T.V., Mingatto, F.E., (2014) Bio. Res., 47, p. 49; Gasparin, A.T., Rosa, E.S., Alves Jesus, C.H., Guiloski, I.C., Da Silva de Assis, H.C., Beltrame, O.C., Locatelli Dittrich, R., da Cunha, J.M., (2021) Brain Res., 1767; De Oliveria Júnior, R.G., Bonnet, A., Braconnier, E., Groult, H., Prunier, G., Beaugeard, L., Grougnet, R., Picot, L., (2019) Food Chem. Toxicol., 125, pp. 549-561; Scotter, M., (2009) Food Addit. Contam., 26, pp. 1123-1145; Zechmeister, L., Escue, B., (1944) J. Am. Chem. Soc., 66, pp. 322-330; Scotter, M.J., Castle, L., Appleton, G.P., (2001) Food Chem., 74, pp. 365-375; Rios, A.O., Borsarelli, C.D., Mercadante, A.Z., (2005) J. Agric. Food Chem., 53, pp. 2307-2311; Montenegro, M.A., Rios, A.O., Mercadante, A.Z., Nazareno, M.A., Borsarelli, C.D., (2004) J. Agric. Food Chem., 52, pp. 367-373; Lobato, K.B.S., Pease, K., Forgearini, J.C., Guterres, S.S., Jablonski, A., Rios, A.O., (2015) LWT-Food Sci. Technol., 60, pp. 8-14; Barbosa, M.I.M.J., Borsarelli, C.D., Mercadante, A.Z., (2005) Food Res. Int., 38, pp. 989-994; Rahmalia, W., Fabre, J.-F., Mouloungui, Z., (2015) Procedia Chem., 14, pp. 455-464; Quintero Quiroz, J., Celis Torres, A., Muñoz Ramirez, L., Silva Garcia, M., Ciro Gomez, G., Rojas Camargo, J., (2019) Antioxidants, 8, p. 37; Yusá-Marco, D.J., Doménech-Carbó, M.T., Vaccarella, I.L., Batista dos Santos, A.F., Vicente-Palomino, S., Fuster-López, L., (2008) Arché, pp. 153-158; Rangel de Sousa, A., Dornas, G.P., Cota Carvalho, I., Da Silva Santos, R.F., (2016) Int. J. Polym. Sci.; Lóránd, T., Molnár, P., Deli, J., Tóth, G., (2002) Biochem. Biophys. Methods, 53, pp. 251-258; Rehbein, J., Dietrich, B., Grynbaum, M.D., Hentschel, P., Holtin, K., Kuehnle, M., Schuler, P., Albert, K., (2007) J. Spec. Sci., 30, pp. 2382-2390; Gómez-Ortíz, N.M., Vázquez-Maldonado, I.A., Pérez-Espadas, A.R., Mena-Rejón, G.J., Azamar-Barrios, J.A., Oskam, G., (2010) Sol. Energy Mat. Sol. Cells, 94, pp. 40-44; Becke, A.D., (1993) J. Chem. Phys., 98, pp. 5648-5652; Frisch, M.J., Pople, J.A., Binkley, J.S., (1984) J. Chem. Phys., 80, pp. 3265-3269; Rios, A.O., Mercadante, A.Z., Borsarelli, C.D., (2007) Dyes Pigm., 74, pp. 561-656; Stratton, S.P., Schaefer, W.H., Liebler, D.C., (1993) Chem. Res. Toxicol., 6, pp. 542-547; Konovalova, T.A., Kispert, L.D., Konovalov, V.V., (1997) J. Phys. Chem. B, 101, pp. 7858-7862; Tay-Agbozo, S.S., Krzuaniak, M.D., Bowman, M.K., Street, S., Kispert, L.D., (2015) J. Phys. Chem. B., 119, pp. 7170-7179; Peng, C., Schlegel, H.B., (1993) Isr. J. Chem., 33, pp. 449-454; (2010) Fox, , Gaussian, Inc. Wallingford CT</t>
  </si>
  <si>
    <t>e Loera, D.; Facultad de Ciencias Químicas, Av. Dr. Manuel Nava No. 6 Zona Universitaria, Mexico; email: atenea.deloera@uaslp.mx</t>
  </si>
  <si>
    <t>2-s2.0-85134527122</t>
  </si>
  <si>
    <t>González-Granados J.E.</t>
  </si>
  <si>
    <t>57991084200;</t>
  </si>
  <si>
    <t>Design thinking as an agent of transformation in training processes [Pensamiento de diseño como agente de transformación en los procesos formativos]</t>
  </si>
  <si>
    <t>Kepes</t>
  </si>
  <si>
    <t>10.17151/kepes.2022.19.26.20</t>
  </si>
  <si>
    <t>https://www.scopus.com/inward/record.uri?eid=2-s2.0-85143222897&amp;doi=10.17151%2fkepes.2022.19.26.20&amp;partnerID=40&amp;md5=0ec43b62097b95fd4a28732dc6b98be8</t>
  </si>
  <si>
    <t>Universidad de Caldas, Manizales, Colombia</t>
  </si>
  <si>
    <t>González-Granados, J.E., Universidad de Caldas, Manizales, Colombia</t>
  </si>
  <si>
    <t>Taking as a starting point the shortcomings in the development of basic skills in students in Colombia, a transmedia strategy is proposed for the development of skills in Collaborative Problem Solving (CPS) supported in the learning processes and project management of design thinking. Based on the review of educational transmedia experiences in Europe and Colombia, this research proposes as an objective the design of a transmedia model that encourages the development of competencies in collaborative problem solving (CPS), characterizing transmedia experiences, identifying the competencies that are developed in the pre-adolescence and the adolescence periods as a basis for lifelong learning and recognizing the process followed by a student to solve a problem as a team member. At the methodological level, three frames of reference related to transmedia are analyzed transversally from the design, the teaching-learning processes and the narratives generating a sequential categorical analysis that remains as the guiding thread of the project. As a result, the Model for the Creation of Interactive Transmedia Environments for Education Synappsis is built with application in the Transmedia Educational Platform in Health Innmersa as validation highlighting design thinking as an agent of transformation of the training processes of the formative in the pre-adolescence and adolescence periods. In conclusion, the relevance of the application of design learning processes as triggers for the development of CPS skills is found. © 2022 Universidad de Caldas. All rights reserved.</t>
  </si>
  <si>
    <t>co-creation learning outcomes; design; education; Transmedia</t>
  </si>
  <si>
    <t>Educational Project of Children and Parents Cooperative Activity Development. Advances in Social Science, Education and Humanities Research, 437, 163-169. https://www.atlantis-press.com/article/125940157.pdf Camacho, M. y Esteve, F. (2016). Los dispositivos móviles en educación y su impacto en el aprendizaje (1.a ed.). Samsung Electronics Iberia, S.A.U. https://bit.ly/3dtq7i8 Camacho, M. y Esteve, F. M. (2018). El uso de las tabletas y su impacto en el aprendizaje. Una investigación nacional en centros de Educación Primaria. Revista de Educación, 379, 160-180. https://doi.org/10.4438/1988-592X-RE-2017-379-366</t>
  </si>
  <si>
    <t>Beltrán-Arismendi, C., Enfoques emergentes desde las artes y el diseño para la teorización y creación de experiencias transmedia. Aproximación desde el metaanálisis de publicaciones científicas (2020) Arte, Individuo y Sociedad, 32 (4), pp. 1039-1064. , https://doi.org/10.5209/aris.66552; Biggs, J., Individual differences in study processes and the Quality of Learning Outcomes (1979) Higher Education, 8 (4), pp. 381-394. , https://doi.org/10.1007/BF01680526; Biggs, J., Tang, C., (2011) Teaching for Quality Learning at University, , (4th ed). McGraw-Hill Education; Brinck, J., Leinonen, T., Lipponen, L., Kallio-Tavin, M., Zones of participation-a framework to analyse design roles in early childhood education and care (ECEC) (2020) CoDesign International Journal of CoCreation in Design and the Arts, , https://doi.org/10.1080/15710882.2020.1812667; Brown, T., Design Thinking (2008) Harvard Business Review, pp. 84-92; Byvsheva, M. V., Novoselov, S. A., Children's Academy of Inventions-Online Scientific-Educational Project of Children and Parents Cooperative Activity Development (2020) Advances in Social Science, Education and Humanities Research, 437, pp. 163-169. , https://www.atlantispress.com/article/125940157.pdf; Camacho, M., Esteve, F., (2016) Los dispositivos móviles en educación y su impacto en el aprendizaje (1.a ed.), , https://bit.ly/3dtq7i8, Samsung Electronics Iberia, S.A.U; Camacho, M., Esteve, F. M., El uso de las tabletas y su impacto en el aprendizaje. Una investigación nacional en centros de Educación Primaria (2018) Revista de Educación, 379, pp. 160-180. , https://doi.org/10.4438/1988-592X-RE-2017-379-366; Camacho, M., Vilamajor, M., (2019) Centros digitalmente competentes (1.a ed.), , https://bit.ly/3Ak38PE, Albadalejo Artes Gráficas S.L; Camacho, M., Vilamajor, M., Balanyà, J., Guilana, S., Esteve, F., (2017) Tablets en educación: hacia un aprendizaje basado en competencias; Casacuberta, D., Creación e inteligencia colectiva: un espacio y un tiempo para la cultura audiovisual - Cada hombre, un artista (2005) Creación e Inteligencia Colectiva, pp. 81-84. , https://dspace-libros.metabiblioteca.com.co/handle/001/487, En ZEMOS98_7 (Ed), Universidad Internacional de Andalucía; Colombia: Al filo de la oportunidad - informe conjunto (1996) Informe de la Mision de Sabios - Misión Ciencia, Educación y Desarrollo, , En C. E. Vasco U., M. Hernández B. y S. Ortiz O. (Eds), Tercer Mundo Editores; Ellington, R., Daniels, B., Orozco, F., Santiago, A., Arnold, A.-L., Transformative Transmedia Framework for Early STEM Learners: Harnessing the Power of Science, Literacy, and Media (2021) Journal of Educational Multimedia and Hypermedia, 30 (1), pp. 5-34; Faria-Ferreira, A. P., Ferreira, P., Marques, C. G., Motivación para la lectura a través de la narración transmedia: un estudio de caso con alumnos de una escuela media de la región del Médio Tajo (2021) Education in the Knowledge Society, 22. , https://doi.org/https://doi.org/10.14201/eks.23680, 4-1-4-10; Freire, M. M., Transmedia Storytelling: from Convergence to Transliteracy (2020) DELTA: Documentação de Estudos em Lingüística Teórica e Aplicada, 36 (3), pp. 1-22. , https://doi.org/10.1590/1678-460X2020360309; Gambarato, R. R., Signs, Systems and Complexity of Transmedia Storytelling (2012) Estudos em Comunicação, 12, pp. 69-83. , https://doi.org/10.20287/ec; Gómez Rosas, S., (2012) Plataforma Applicate.co. Plataforma applicate.co, , https://applicate.co/; González-Granados, J. E., Visión Holística Multidimensional: Una ruta para el desarrollo del saber (2015) 14 Festival Internacional de la Imagen by Festival Internacional de la Imagen, pp. 38-38. , https://issuu.com/imagenfest/docs/catalogo326upage, En F. C. Londoño López (Ed), Universidad de Caldas; Guallar, J., (2021) Curación de contenidos en el periodismo digital Conceptualización y propuesta de un sistema para la evaluación de la curación en medios de comunicación digitales [Universitat Pompeu Fabra], , https://bit.ly/3SLohtk; Gürsoy, D., Tailoring a method: Adaptation of design thinking to transmedia journalism (2020) Interactions: Studies in Communication &amp; Culture, 11 (1), pp. 25-36. , https://doi.org/10.1386/ISCC_00003_1; Hernández, R., Fernández, C., Baptista, P., (2014) Metodología de la Investigación (Sexta ed.), , McGraw-Hill/Interamericana Editores, S.A. de C.V; Jenkins, H., Transmedia Education: the 7 Principles Revisited - Henry Jenkins (2010) Confessions of an Aca-Fan, , http://henryjenkins.org/blog/2010/06/transmedia_education_the_7_pri.html, (junio 21); Johnson, J., Embracing design in complexity (2010) Embracing complexity in design, pp. 193-203. , En K. Alexiou, J. Johnson y T. Zamenopoulos (Eds), Routledge; Juárez, D., Torres, C. A., Herrera, L. E., Las posibilidades educativas de la curación de contenidos: Una revisión de literatura (2017) Educación dinámica con herramientas virtuales, 9 (2), pp. 116-131. , https://doi.org/10.18381/Ap.v9n2.1046; Kaminskienė, L., Žydžiūnaitė, V., Jurgilė, V., Ponomarenko, T., Co-creation of Learning: A Concept Analysis (2020) European Journal of Contemporary Education, 9 (2), pp. 337-349. , https://doi.org/10.13187/ejced.2020.2.337; Lévy, P., (1999) ¿Qué es lo virtual?, , Editorial Paidós; Lévy, P., The Creative Conversation of Collective Intelligence (2012) The Participatory Cultures Handbook, , https://doi.org/https://doi.org/10.4324/9780203117927, En A. Delwiche y J. Jacobs Henderson (Eds), (1st ed). Taylor &amp; Francis; Lugo-Rodríguez, N., (2016) Diseño de narrativas transmedia para la transalfabetización, , (Tesis Doctoral). Universitat Pompeu Fabra; Llinás, R., Krohne, A. M., (2002) Makano y el Tesoro del Payé, , (Fundación); Massarani, L., León-Castella, A., Aguirre, C., Reynoso, E., Lindegaard, L., Fernandez, E., Guía de Centros y Museos de Ciencia de América Latina y el Caribe (2015) RedPOP, , https://bit.ly/3zXqjhv; Colombia hacia una sociedad del conocimiento (2019) Informe de la Misión Internacional de Sabios 2019 por la Educación, la Ciencia, la Tecnología y la Innovación, , https://bit.ly/3phe0aB, En M. Wasserman, C. Forero, S. Restrepo, J. Benavides, E. Puentes, A. Franco, M. del P. Noriega y J. M. Anaya (Eds); Moreno, I., Interactividad, interacción y accesibilidad en el museo transmedia (2015) Zer: Revista de estudios de comunicación = Komunikazio ikasketen aldizkaria, 20 (38); Munari, B., (2016) ¿Cómo nacen los objetos? Apuntes para una metodología proyectual, , (2ª. ed). Editorial Gustavo Gili; Nielsen, J., Enhancing the Explanatory Power of Usability Heuristics (1994) CHI'94 (Ed.), HumaN Factors Computing Systems, pp. 152-158. , En Association for Computing Machinery; Habilidades_y_competencias_siglo21_OCDE (2010) Ministerio de Educación, 41, pp. 1-17. , http://www.ite.educacion.es/; (2016) Education in Colombia, , Revisión de políticas nacionales de educación; PISA 2015 Results (Volume V): Collaborative Problem Solving (2017) Encyclopedia of Social Network Analysis and Mining, V. , En; Pardo, H., Cobo, C., Darnos permiso para repensar la educación (2020) Ruta Maestra, 29, pp. 156-168. , https://bit.ly/3w0BXXo; Rancière, J., (2003) El maestro ignorante - Cinco lecciones sobre la emancipación intelectual, , (1ra. ed). Ediciones Laertes, S.A; Restrepo-Quevedo, D. A., (2016) Intercreativity in Potency: Designing of Virtual Learning Environments Enhancers of Creative Participations (Intercreatividad en Potencia: Diseño de Ambientes Virtuales de Aprendizaje Potenciadores de Participaciones Creativas), , https://doi.org/10.13140/RG.2.2.14010.70085, (Doctoral Thesis). Universidad de Caldas; Rodríguez, J. A., López, L. D., González-Gutiérrez, L. F., La narrativa transmedia como experiencia de simulación de inteligencia colectiva. El caso de Atrapados (2015) Signo y Pensamiento, 34 (67), pp. 60-74. , https://doi.org/10.11144/JAVERIANA.SYP34-67.NTES; Ryan, M.-L., (2004) La narración como realidad virtual, , Paidós Ibérica S.A; Sanders, E. B.-N., Stappers, P. J., Co-creation and the new landscapes of design (2008) CoDesign, 4 (1), pp. 5-18. , https://doi.org/10.1080/15710880701875068; Scolari, C. A., (2016) Informal Learning Strategies and Media Skills in the New Ecology of Communication, , Telos. Cuadernos de Comunicación e Innovación; Scolari, C. A., Adolescentes, medios de comunicación y culturas colaborativas (2018) Aprovechando las competencias transmedia de los jóvenes en el aula, , ISBN: 978-84-09-00292-4 (pdf); Scolari, C. A., (2018) Alfabetismo transmedia en la nueva ecología de los medios, , http://transmedialiteracy.upf.edu/sites/default/files/files/TL_whit_es.pdf; Scolari, C. A., Beyond the myth of the “digital native” (2019) Nordic Journal of Digital Literacy, 14, pp. 164-174. , https://doi.org/10.18261/ISSN.1891-943X-2019-03-04-06, (03-04); Shishkova, V., Creative Storytelling Transmedia &amp; Transdisciplinary Storytelling (2016) IETM Amsterdam Plenary Meeting, , www.ietm.org, (abril 17); Taddeo, G., El uso de lo digital para desarrollar estrategias de aprendizaje informal: Estudios y herramientas (2019) Competencia mediática y digital: Del acceso al empoderamiento, pp. 39-46. , https://issuu.com/redalfamed/docs/competenciamediaticaydigitalalfamed-2019-online-2, En I. Aguaded, A. Vizcaíno-Verdú y Y. Sandoval-Romero (Eds), (1ra. ed., Grupo Comunicar Ediciones; Taddeo, G., Toward a participatory education: design thinking for teachers (2018), https://bit.ly/3QohVye, En MIT Media Lab (Ed), Connected Learning Summit. MIT; Toffler, A., (1980) La Tercera Ola, , Plaza &amp; Janes. S.A; Tomšič, B., Interdisciplinary Connections through Transmedia Narratives in Art Education (2020) CEPS Journal, 10 (4), pp. 55-74. , https://doi.org/10.26529/cepsj.916; Vargas, N. A., (2019) Aprendizaje basado en proyectos mediados por tic para superar dificultades en el aprendizaje de operaciones básicas matemáticas [Universidad Pedagógica y Tecnológica de Colombia], , https://bit.ly/3JOY7lm; Wolff, A., Mulholland, P., Curation, curation, curation (2013) Proceedings of the 3rd Narrative and Hypertext Workshop Held at the ACM Conference on Hypertext and Social Media, NHT, 20131, pp. 1-5. , https://doi.org/10.1145/2462216.2462217; Zhitomirskiy, I., Grippi, D., Salzberg, M., Sofaer, R., (2010) diaspora* project wiki, , https://wiki.diasporafoundation.org/Main_Page</t>
  </si>
  <si>
    <t>González-Granados, J.E.; Universidad de CaldasColombia; email: jorge.2211122975@ucaldas.edu.co</t>
  </si>
  <si>
    <t>Universidad de Caldas</t>
  </si>
  <si>
    <t>2-s2.0-85143222897</t>
  </si>
  <si>
    <t>Cubillos A.A.E., Suescún O.Y.B., Contreras-Gutiérrez D.C.</t>
  </si>
  <si>
    <t>57202265732;36807332700;57989415200;</t>
  </si>
  <si>
    <t>Collaborative improvement plans for the research groups of the Colombian National Army [Planes colaborativos de mejoramiento para los grupos de investigación del Ejército Nacional de Colombia]</t>
  </si>
  <si>
    <t>Revista Cientifica General Jose Maria Cordova</t>
  </si>
  <si>
    <t>10.21830/19006586.876</t>
  </si>
  <si>
    <t>https://www.scopus.com/inward/record.uri?eid=2-s2.0-85143168544&amp;doi=10.21830%2f19006586.876&amp;partnerID=40&amp;md5=a8fe7ba0ddd7f71c842fef351833ba26</t>
  </si>
  <si>
    <t>Universidad Militar Nueva Granada, D.C., Bogotá, Colombia; Escuela de Caballería del Ejército Nacional de Colombia, D.C., Bogotá, Colombia</t>
  </si>
  <si>
    <t>Cubillos, A.A.E., Universidad Militar Nueva Granada, D.C., Bogotá, Colombia; Suescún, O.Y.B., Universidad Militar Nueva Granada, D.C., Bogotá, Colombia; Contreras-Gutiérrez, D.C., Escuela de Caballería del Ejército Nacional de Colombia, D.C., Bogotá, Colombia</t>
  </si>
  <si>
    <t>Based on a mixed methodology employing data envelopment analysis, this article evaluates the relative efficiency of 19 Colombian National Army research groups to create collaborative improvement plans that produce synergies and generate better future results based on the indicators and characteristics evaluated. The results show a wide margin for improvement for the groups evaluated. However, six of these groups have a relative efficiency of 100 %, indicating a higher level of maturation. Thus, we propose a sponsorship program by these six groups for the group-sets resulting from an allocation model with clear purposes. This design would allow significant advances in the Army’s research system results. © Ever Science Publications.</t>
  </si>
  <si>
    <t>comparative evaluation; data envelopment analysis; development; improvement plans; relative efficiency; research</t>
  </si>
  <si>
    <t>Altopiedi, M., Hernández, E., López, Y., Características relevantes de grupos de investigación destacados en Andalucía (2015) Revista Iberoamericana de Educación Superior, 6 (16), pp. 126-142. , https://doi.org/10.1016/j.rides.2015.07.002, J; Anderson, D., Focus groups as evaluation: Exploring issues connected with “insider” research (2012) European Conference on Research Methodology for Business and Management Studies, p. 539. , (junio) Academic Conferences International Limited; Arenas, V., Soto, M., Rivera, O. M., La evaluación de los grupos de investigación según los indicadores de eficiencia de Colciencias versus su evaluación según el análisis envolvente de datos - DEA (2004) Scientia et Technica, 1, pp. 189-194. , https://bit.ly/3ljOxLS, W., J; Arencibia, J., Moya, F., La evaluación de la investigación científica: una aproximación teórica desde la cienciometría (2008) Revista Cubana de Información en Ciencias de la Salud, 17 (4), pp. 1-27. , https://bit.ly/3wlUYEA; Banker, R., Charnes, A., Cooper, W., Some models for estimating technical and scale inefficiencies in data envelopment analysis (1984) Management Science, 30 (9). , https://doi.org/10.1287/mnsc.30.9.1078, D; Berche, B., Holovatch, Y., Kenna, R., Mryglod, O., Academic research groups: evaluation of their quality and quality of their evaluation (2015) Journal of Physics: Conference Series, 681 (1). , https://doi.org/10.1088/1742-6596/681/1/012004; Buitrago, O., Espitia, A., Linares, D., Technical efficiency measurement of the teaching function in the undergraduate attendance programs at Universidad Militar Nueva Granada (2015) Tecciencia, 10 (18), pp. 25-35. , https://doi.org/10.18180/tecciencia.2015.18.5; Buitrago, O., Espitia, A., Molano, L., Análisis envolvente de datos para la medición de la eficiencia en instituciones de educación superior: una revisión del estado del arte (2017) Revista Científica General José María Córdova, 15 (19), pp. 147-173. , https://doi.org/10.21830/19006586.84; Caliari, T., Chiarini, T., Análisis de los grupos de investigación de las áreas científicas con mayor aplicabilidad productiva en el Brasil: competencias e interacciones con las empresas (2018) Apuntes, 45 (82), pp. 71-98. , https://doi.org/10.21678/apuntes.82.864; Carrillo-Zambrano, E., Páez-Leal, M., Suárez, J. M., Luna-González, M., Modelo de vigilancia tecnológica para la gestión de un grupo de investigación en salud (2018) MedUNAB, 21 (1), pp. 84-99. , https://doi.org/10.29375/01237047.2746, (noviembre); Charnes, A., Cooper, W., Rhodes, E., Measuring the efficiency of decision-making units (1978) European Journal of Operational Research, 2 (6), pp. 429-444. , https://doi.org/10.1016/0377-2217(78)90138-8; (2016) Guía para el reconocimiento y medición de grupos de investigación e investigadores, , https://bit.ly/3lh1AgT; Conde, C., Correa, C., Delgado, H., Aprendizaje organizacional: una capacidad de los grupos de investigación en la universidad pública (2010) Cuadernos de Administración, 44, pp. 25-39. , https://bit.ly/3Llynw3, Y., Z C; Contreras-Gutiérrez, D., Moreno-Ávila, N., Pérez-Londoño, G., Leal-Coronado, C., Aplicación de prácticas en gerencia de proyectos de investigación, desarrollo tecnológico e innovación en grupos de investigación (2021) Revista Escuela de Administración de Negocios, 8160 (90), pp. 47-64. , https://doi.org/10.21158/01208160.n90.2021.2974; Cooper, W. W., Seiford, L. M., Tone, K., (2007) Data envelopment analysis: A comprehensive text with models, applications, references, and DEA-solver software, , (2nd ed). Springer International Publishing AG; Di Bello, M. E., (2015) Utilidad social de conocimientos científicos, grupos de investigación académicos y problemas sociales (Nota de investigación, Cuestiones de Sociología, n.º12), , https://bit.ly/3LruZQe, Universidad Nacional de La Plata; Durand Villalobos, J., Factores que inciden en el desempeño de los grupos de investigación: tres casos de estudio de la Universidad de Sonora (2017) Revista Mexicana de Investigación Educativa, 22 (75), pp. 1143-1167. , https://bit.ly/39u0ko0; Escobar, L., Castaño, D. A., Ruiz, R., Restrepo, B., Evaluación auténtica del impacto social de procesos, proyectos y productos de investigación universitaria: un acercamiento desde los grupos de investigación (2016) Revista LaSallista de Investigación, 13 (1), pp. 166-280. , https://bit.ly/3MAxMYA, J., M J; Espitia, A., Buitrago, O., Loyo, Y., Eficiencia de los programas de pregrado de una escuela militar en Colombia usando Análisis Envolvente de Datos (2017) Ingeniería Industrial. Actualidad y Nuevas Tendencias, 19, pp. 7-26. , https://bit.ly/3wuPZjL; Fernández, O., Martín, A., Limitaciones en la visibilidad de publicaciones seriadas sobre estudios militares y estratégicos en América Latina y el Caribe (2018) Análisis Político, 31 (94), pp. 154-174. , https://doi.org/10.15446/anpol.v31n94.78308, A H; Fitzsimmons, J., Fitzsimmons, M., (2004) Service management: Operations, strategy, and information technology, , (2nd ed). McGraw Hill; Gutiérrez, J. P., Análisis de los grupos de investigación colombianos en ciencias económicas desde una perspectiva de género (2012) Revista Facultad de Ciencias Económicas: Investigación y Reflexión, 20 (2), pp. 143-164. , https://doi.org/10.18359/rfce.2169; Higuita-López, D., Molano-Velandia, J., Rodríguez-Merchán, M., Competencias necesarias en los grupos de investigación de la Universidad Nacional de Colombia que generan desarrollos de base tecnológica (2011) Innovar. Revista de Ciencias Administrativas y Sociales, 21 (41), pp. 209-224. , https://bit.ly/3yFU1sf; Hoon Yang, C., Heo, J., Network analysis to evaluate cross-disciplinary research collaborations: The Human Sensing Research Center, Korea (2014) Science and Public Policy, 41 (6), pp. 734-749. , https://doi.org/10.1093/scipol/scu007; (1992) Por la cual se organiza el servicio público de la Educación Superior, , https://bit.ly/39zih4U, (28 de diciembre). Diario Oficial 40700. Congreso de la República de Colombia; Londoño, F., Un análisis sobre la dinámica de los grupos de investigación en Colombia (2005) Investigación &amp; Desarrollo, 13 (1), pp. 184-203. , https://bit.ly/3Ni8ej4; Matabanchoy, S., Ruiz Bravo, O., Villalobos, G., Ciclo de vida y aspectos motivacionales de un grupo de investigación (2018) Trilogía. Ciencia Tecnología Sociedad, 10 (19), pp. 149-164. , https://doi.org/10.22430/21457778.1026, M F; (2022) Ciencia en cifras (página web), , https://minciencias.gov.co/La-Ciencia-En-Cifras; (2020) Sistema Nacional de Información de la Educación Superior – SNIES, , https://bit.ly/38QrYvw, (junio). Documento metodológico; Muñiz, F., Gordillo, Á-V., González, M., La evaluación de proyectos de investigación por la Agencia Nacional de Evaluación y Prospectiva (2004) Psicothema, 16, pp. 343-349. , J., M J; Moodie, G., (2012) Research evaluation groups all shook up, , The Australian; Pavas, A., Resultados de la medición de grupos de investigación de la Universidad Nacional de Colombia (2016) Revista Ingeniería e Investigación, 36 (2), pp. 3-5. , https://doi.org/10.15446/ing.investig.v36n2.59483; Pino-Mejías, J., Solís-Cabrera, F., Delgado-Fernández, M., Barea Barrera, R., Evaluación de la eficiencia de grupos de investigación mediante análisis envolvente de datos (DEA) (2010) Profesional de la Información, 19 (2), pp. 160-167. , https://doi.org/10.3145/epi.2010.mar.06; Restrepo Gómez, B., Investigación formativa e investigación productiva de conocimiento en la universidad (2003) Nómadas, 18, pp. 195-202. , https://bit.ly/3MGCeoU; Restrepo, R., Villegas, R., Clasificación de grupos de investigación colombianos aplicando análisis envolvente de datos (2007) Revista Facultad de Ingeniería Universidad de Antioquia, 42, pp. 105-119. , https://bit.ly/38ILydd, M J; Rodríguez, G., Gómez, V., Redes de coautoría como herramienta de evaluación de la producción científica de los grupos de investigación (2017) Revista General de Información y Documentación, 27 (2), pp. 279-297. , https://doi.org/10.5209/RGID.58204, J N; Rodríguez, G., Gómez, V., Herrera-Martínez, Y., Técnicas bibliométricas en dinámicas de producción científica en grupos de investigación. Caso de estudio: Biología UPTC (2017) Revista LaSallista de Investigación, 14 (2), pp. 73-82. , https://bit.ly/3MB6p0T, J., N; Rodríguez, N., Maquilón, S., Fernández, R., Una propuesta de renovación metodológica en el marco del Espacio Europeo de Enseñanza Superior (2009) Revista Electrónica Interuniversitaria de Formación del Profesorado, 12 (3), pp. 111-126. , H., J E; Rodríguez, H., Martínez, P., S303. Estilos de pensamiento de profesores sobre cuestiones sociocientíficas en un grupo de investigación constituido en la interfaz universidad-escuela (2018) Revista Tecné, Episteme y Didaxis (n.ºextraordinario), pp. 1-9. , https://bit.ly/38cwPXO, B L; Romay, E., García, D., Análisis y valoración de aspectos básicos sobre los grupos de investigación en comunicación en España (2013) Estudios sobre el Mensaje Periodístico, 19, pp. 481-490. , https://doi.org/10.5209/rev_ESMP.2013.v19.42134; Rueda, B., Rodenes, A., Factores determinantes en la producción científica de los grupos de investigación en Colombia (2016) Revista Española de Documentación Científica, 39 (1), p. e118. , https://doi.org/10.3989/redc.2016.1.1198, G M; Sauer, K., Draugalis, J., Mock proposals and other group assignments: Bridging didactic research evaluation skill to research applications (2000) American Journal of Pharmaceutical Education, 64 (3), pp. 307-311; Sime Poma, L., Grupos de investigación en educación: hacia una tipología multirreferencial desde casos representativos (2017) Revista de la Educación Superior, 46 (184), pp. 97-116. , https://doi.org/10.1016/j.resu.2017.12.002; Valero, Z., Patiño, J., Los grupos de investigación contable reconocidos por Colciencias (2012) Cuadernos de Contabilidad, 13 (32), pp. 175-201. , https://bit.ly/3NuDpHU, G R; Velasco, B., Eiros, J., Pinilla, J., San Román, J., La utilización de los indicadores bibliométricos para evaluar la actividad investigadora (2012) Aula Abierta, 40 (2), pp. 75-84. , https://bit.ly/3wymNtc; Vélez, C., Gómez, F., Úsuga, C., Vélez, T., Diversidad y reconocimiento de la producción académica en los sistemas de evaluación de la investigación en Colombia (2014) Revista Española de Documentación Científica, 37 (3), pp. 1-14. , https://doi.org/10.3989/redc.2014.3.1133, G., H., A M; Winfield, R., Topete, B., Cuéllar, O., Desafíos de la organización de grupos de investigación científica, procesos de formación y producción escrita: casos de Brasil y México (2014) Innovación Educativa, 14 (65), pp. 81-98. , https://bit.ly/3sNVpVK, A., C M</t>
  </si>
  <si>
    <t>Cubillos, A.A.E.; Universidad Militar Nueva Granada, D.C., Colombia; email: anny.espitia@unimilitar.edu.co</t>
  </si>
  <si>
    <t>Escuela Militar de Cadetes</t>
  </si>
  <si>
    <t>Rev. Cient. General Jose Maria Cordova</t>
  </si>
  <si>
    <t>2-s2.0-85143168544</t>
  </si>
  <si>
    <t>del Mar Bonilla-Sanabria C., Altuzarra J.G.C.</t>
  </si>
  <si>
    <t>57989217400;55808418500;</t>
  </si>
  <si>
    <t>Visual militancy. The aesthetic and political thought of Gabriela Samper in her work [Militancias visuales. El pensamiento estético y político de Gabriela Samper en su obra]</t>
  </si>
  <si>
    <t>10.17151/kepes.2022.19.26.11</t>
  </si>
  <si>
    <t>https://www.scopus.com/inward/record.uri?eid=2-s2.0-85143161709&amp;doi=10.17151%2fkepes.2022.19.26.11&amp;partnerID=40&amp;md5=b332ccba3622079a4fe87b4f4ccfd0b7</t>
  </si>
  <si>
    <t>Universidad Pedagógica y Tecnológica de Colombia, Tunja, Colombia; Universidad Distrital Francisco José de Caldas, Bogotá, Colombia</t>
  </si>
  <si>
    <t>del Mar Bonilla-Sanabria, C., Universidad Pedagógica y Tecnológica de Colombia, Tunja, Colombia; Altuzarra, J.G.C., Universidad Distrital Francisco José de Caldas, Bogotá, Colombia</t>
  </si>
  <si>
    <t>This article, a partial result of a doctoral thesis research, had as its object of study the work of Gabriela Samper, a Colombian woman who was a pioneer of ethnographic audiovisual and visual culture, and who initiated a stream of documentary research that constituted a reservoir of content and memories that allowed her extensive participation in the Colombian political and cultural reality of the time (1965-1974). The objective of this article is to characterize the aesthetic and political thought of Gabriela Samper, appropriating some of her most emblematic cinematographic works as object of study. The methodology considered an aesthetic analysis of the political context and a technical study of some of her most important short films with a formal analysis prototype established by the author for the reconstruction of her ideology and artistic life experience. Taking as complementary sources, interviews with people familiar with her work were included. The analysis allowed Gabriela Samper to be located in national history, criticism, aesthetic movements and her strong relationship with the cultural and social context. This corpus of documentaries on Colombian identity is a different look for this time, thus developing more controversial and contemporary positions through symbolic links that visually allow understanding the critical position of the artist. © 2022 Universidad de Caldas. All rights reserved.</t>
  </si>
  <si>
    <t>audiovisual regime; cinema; Gabriela Samper; Media theories; visual analysis</t>
  </si>
  <si>
    <t>Arboleda, P., Osorio, D., (2003) La presencia de la mujer en el cine colombiano, , Ministerio de Cultura; Belting, H., (2007) Antropología de la Imagen, , Katz Editores; Burke, P., (2001) Visto y no visto. El uso de la imagen como documento histórico, , Crítica; Calle, M., Gabriela Samper (1918-1974): Primera Cineasta Colombiana (2015) Revista La, 13; Chaparro, N., Martínez, M., Mujeres robando pantalla: cuando cine-mujer quiso mostrar otros mundos en Colombia (2016), https://bit.ly/3QfojYz, 3 de agosto). Dejusticia.org; Cristancho, J., (2018) Tigres de papel, recuerdos de película. Memoria, oposición y subjetivación política en el cine argentino y colombiano, , La carreta editores; Cristancho, J., La categoría Hegemonía: Aportes conceptuales para el estudio de las relaciones de poder (2021) Revista Izquierdas, 50, pp. 1-20; Didi-Huberman, G., La emoción no dice 'yo'. Diez fragmentos sobre la libertad estética (2008) La política de las imágenes, , En G. Didi-Huberman, A. Madrid Z. y A, Valdés. Alfredo Jaar (Eds), Ediciones, Metales Pesados; Durán, M., (2009) La máquina cinematográfica y el arte moderno: relaciones entre la fotografía, el cine y las vanguardias artísticas, , Editorial PUJ; Homenaje a Gabriela Samper, muestra documental (2016), https://www.youtube.com/watch?v=BULitMqwRDk, (14 de marzo). La 69 Cultural [archivo de video]; Estrada, Á., Los estudios de género en Colombia: entre los límites y las posibilidades (1997) Nómadas, 6; Gómez, M., La representatividad de la mujer en el cine. Un análisis del contexto hacia un imaginario social para el reconocimiento femenino (2014) Quaestiones Disputatae: Temas en Debate, 6 (13). , http://revistas.ustatunja.edu.co/index.php/qdisputatae/article/view/717; Guasch, A., Los estudios visuales: un estado de la cuestión (2003) Estudios Visuales, 1, pp. 8-16; Metz, C., (1974) El estudio semiológico del lenguaje cinematográfico Revista de lingüística y Semiología, p. 2; Mitchell, W., (2014) ¿Qué quieren realmente las imágenes?, , Sans Soleil Ediciones; Patiño, C., (2009) Acercamiento al documental en la historia del audiovisual colombiano, , Universidad Nacional de Colombia; Paranaguá, P., (2003) Tradición y modernidad en el cine de América Latina, , Fondo de Cultura Económica; Pinto, I., Reseña de “Estudios visuales. La epistemología de la visualidad en la era de globalización” de José Luis Brea (2006) Aisthesis, 39, pp. 143-148. , https://www.redalyc.org/articulo.oa?id=163221391011; Pollock, G., Sin olvidar África: Dialécticas de atender/desatender, de ver/negar, de saber/entender en la posición del espectador ante la obra de Alfredo Jaar (2008) Alfredo Jaar. La política de las imágenes, , En G. Didi-Huberman, A. Madrid Z. y A, Valdés. Alfredo Jaar (Eds), Ediciones, Metales Pesados; Puche, R., Samper, G., Sabogal, H., (1969) Los santísimos hermanos, , [Documental]; Rancière, J., El teatro de las imágenes (2008) Alfredo Jaar. La política de las imágenes, , En G. Didi-Huberman, A. Madrid Z. y A, Valdés. Alfredo Jaar (Eds), Ediciones, Metales Pesados; Rufinelli, J., Quince años: otro cine, otro público. Cine a la mano, Cine a la carta (2006) Kinetoscopio, 15, p. 73; Samper, G., (1969) El hombre de la sal, , y Silva. J. [Documental]; Samper, G., Witlin, R., (1965) El páramo de Cumanday, , [Cortometraje]. Cinta Limited; Schweizer, N., La política de las imágenes. Un recorrido a guisa de introducción (2008) Alfredo Jaar. La política de las imágenes, , En G. Didi-Huberman, A. Madrid Z. y A, Valdés. Alfredo Jaar (Eds), Ediciones, Metales pesados; Valdés, M., Prefacio a la edición chilena (2008) Alfredo Jaar. La política de las imágenes, , En G. Didi-Huberman, A. Madrid Z. y A, Valdés. Alfredo Jaar (Eds), Ediciones, Metales pesados; Vásquez, F., Más allá del ver esta el mirar (1992) Signo y Pensamiento, p. 20; Villar, M., Ramírez, J., El valor simbólico de la imagen representada (2014) Revista Legado de Arquitectura y Diseño, 16, pp. 51-64; Wood, D., Desde las entrañas de la nación. Ruralidad, topografía y modernidad en el cine colombiano (2010) Ensayos: Historia y teoría del arte, 18, pp. 80-96. , https://revistas.unal.edu.co/index.php/ensayo/article/view/45881</t>
  </si>
  <si>
    <t>2-s2.0-85143161709</t>
  </si>
  <si>
    <t>Flores-Tapia C.E., Pérez-González M.D.C., Maza-Ávila F.J., Flores-Cevallos K.L.</t>
  </si>
  <si>
    <t>57986568100;57986652900;57039012700;57986693400;</t>
  </si>
  <si>
    <t>The determining factors of productivity and competitiveness from the perspective of territorial and sustainable development [Factores determinantes de la productividad y competitividad desde la perspectiva del desarrollo territorial y sostenible]</t>
  </si>
  <si>
    <t>Iberoamerican Journal of Development Studies</t>
  </si>
  <si>
    <t>10.26754/OJS_RIED/IJDS.695</t>
  </si>
  <si>
    <t>https://www.scopus.com/inward/record.uri?eid=2-s2.0-85142929690&amp;doi=10.26754%2fOJS_RIED%2fIJDS.695&amp;partnerID=40&amp;md5=55f2f11af21b7a8ca6b958ec355c0d88</t>
  </si>
  <si>
    <t>Pontificia Universidad Católica del Ecuador, Ecuador; Universidad de Cádiz, Spain; Universidad de Cartagena, Colombia; Fundación Los Andes, Ecuador</t>
  </si>
  <si>
    <t>Flores-Tapia, C.E., Pontificia Universidad Católica del Ecuador, Ecuador; Pérez-González, M.D.C., Universidad de Cádiz, Spain; Maza-Ávila, F.J., Universidad de Cartagena, Colombia; Flores-Cevallos, K.L., Universidad de Cádiz, Spain, Fundación Los Andes, Ecuador</t>
  </si>
  <si>
    <t>In the present research work, it is identified the determining factors of productivity and the competitiveness in the province of Tungurahua (Ecuador) from the territorial and sustainable development perspective, through the use of three techniques: the individualized interview, the focus group and the survey of the different representative territorial actors, coming to the conclusion, in this case, that the driving factors are: the human capacities, the politic and economic environment, the financial capital, the business capital, the natural capital, the technology capital, the institutional capital, the social capital, and the infrastructure capital. This study contributes with information and results that can be used as input in the elaboration of public policies, aimed to promote the provincial productivity and competitiveness. © 2022 Universidad de Zaragoza. All rights reserved.</t>
  </si>
  <si>
    <t>competitiveness; development; economics; Ecuador; productivity; qualitative methods</t>
  </si>
  <si>
    <t>ALBURQUERQUE, F, PÉREZ, S, El desarrollo territorial: enfoque, contenido y políticas (2013) Revista Iberoamericana del Gobierno Local, 4, pp. 1-24. , https://revista.cigob.net/4-mayo-2013/articulos/el-desarrollo-territorial-enfoque-contenido-y-politicas/, access November 15, 2021; ALBURQUERQUE, F, MARCO, D, ROXANA, P, (2008) Introduction to Guía de aprendizaje FOMIN, , http://idbdocs.iadb.org/wsdocs/getDocument.aspx?DOCNUM=35778584, Instituto de Desarrollo Regional, Fundación Universitaria Universidad de Sevilla, Sevilla. access November 15, 2021; ÁLVAREZ, R, RENDÓN, J, El territorio como factor del desarrollo (2010) Semestre Económico, 13 (27), pp. 39-62; (2020) Base de datos del Banco Central del Ecuador, , https://www.bce.fin.ec/, access November 15, 2021; BESSER, T, HANSON, M, Focus on Rural Economic Development (2004) Journal of the Community Development Society, 35 (2), pp. 1-16. , https://www.tandfonline.com/doi/abs/10.1080/15575330409490129, access November 15, 2021; BEUGELSDIJK, S, KLASING, M, MILIONIS, P, Regional economic development in Europe: the role of total factor productivity (2018) Regional Studies, 52 (4), pp. 461-476. , https://tandfonline.com/doi/full/10.1080/00343404.2017.1334118, access November 15, 2021; CANZANELLI, G, (2004) Valorización del potencial endógeno, competitividad territorial y lucha contra la pobreza, , http://www.ilsleda.org/usr_files/papers/valorizacion_po_169499.pdf, Center for International and Regional Cooperation for Local Economies. access November 15, 2021; CARDONA, M, CASTIBLANCO, S, SÁNCHEZ, H, Innovación empresarial: una mirada desde la competitividad, el desarrollo local y la transformación productiva para la internacionalización en Colombia (2013) Semestre Económico, 16 (34), pp. 149-167. , http://search.proquest.com/docview/1695233739?accountid=14495, access November 15, 2021; (2020) Corporación Civil para el Desarrollo Económico de Ambato y Tungurahua, , http://www.corpoambato.org.ec/, access November 15, 2021; (2020) Centrales Hidroeléctricas de Tungurahua, , https://www.celec.gob.ec/, access November 15, 2021; CORREA, E, DÉNIZ, J, PALAZUELOS, A, (2010) América Latina, , https://books.google.com.pe/books?id=qVt41fwjzPAC&amp;printsec=frontcover&amp;hl=es#v=onepage&amp;q&amp;f=false, Akal, Madrid. access November 15, 2021; CRESPI, G, FERNÁNDEZ-ARIAS, E, STEIN, E, ¿Cómo repensar el desarrollo productivo?: políticas e instituciones sólidas para la transformación económica (2014), http://publications.iadb.org/handle/11319/6634, Banco Interamericano de Desarrollo, Washington DC. access November 15, 2021; CUERVO, L, (2006) Globalización y territorio, , https://repositorio.cepal.org/handle/11362/7315, CEPAL Instituto Latinoamericano y del Caribe de Planificación Económica y Social (ILPES), Santiago de Chile. access November 15, 2021; DEMING, WE, Out of the Crisis: Quality (1986) Productivity and Competitive Position, , https://doi.org/10.1108/eb059497, Massachusetts, USA. access November 15, 2021; DINI, M, GUAIPATÍN, C, RIVAS, G, (2005) Fomento de la integración productiva en América Latina y el Caribe: sugerencias para la formulación de proyectos, , https://publications.iadb.org/handle/11319/5067?locale-attribute=es&amp;, Banco Interamericano de Desarrollo, Washington DC. access November 15, 2021; ESCOBAR, J, BONILLA-JIMÉNEZ, F, Grupos focales: una guía conceptual y metodológica (2009) Cuadernos Hispanoamericanos de Psicología, 9 (1), pp. 51-67; FERNÁNDEZ-ARIAS, E, RODRÍGUEZ-APOLINAR, S, (2016) The Productivity Gap in Latin America: Lessons from 50 Years of Development 692, , https://doi.org/10.2139/ssrn.2956692, Washington DC. access November 15, 2021; FLORES-CEVALLOS, L, FLORES-TAPIA, C, Análisis comparativo de las crisis del Ecuador con las dos grandes crisis mundiales del siglo xx y la crisis financiera de inicios del siglo xxi (2020) Revista Científica Ecociencia, 7 (1), pp. 1-20. , http://revistas.ecotec.edu.ec/index.php/ecociencia/article/view/295/228, access November 15, 2021; FLORES-TAPIA, C, (2019) Propuesta de mejora de la productividad y competitividad territorial en el contexto del cambio de matriz productiva del Ecuador aplicada a la provincia de Tungurahua, , Universidad de Cádiz; FLORES-TAPIA, C, PÉREZ-GONZÁLEZ, M, MAZA-ÁVILA, F, FLORES-CEVALLOS, K, Perspectiva conceptual del Desarrollo desde las teorías alternativas Latinoamericanas y de los actores territoriales (2022) Problemas y retos del Desarrollo en América Latina, pp. 41-59. , https://repositorio.unicartagena.edu.co/handle/11227/14851, Maza F, Salas A, Pérez MDC (eds). (1st ed). Editorial Universitaria, access March 24, 2022; (2015) Agenda Tungurahua 2015-2017, , Ambato-Ecuador; (2020) Gobierno Provincial de Tungurahua, , http://www.tungurahua.gob.ec/, access November 15, 2021; GARCÍA, M, IBÁÑEZ, J, ALVIRA, F, (1986) El análisis de la realidad social. Métodos y técnicas de investigación, , Alianza, Madrid; (2015) Agenda Tungurahua 2015-2017, , https://issuu.com/gobtungurahua/docs/pdf_agenda_tungurahua_2015-2017_hgp, Tercera. Ambato: Gobierno Provincial de Tungurahua. access November 15, 2021; (2015) Agenda Tungurahua desde la visión territorial, , http://www.tungurahua.gob.ec/, GAD Provincial Tungurahua, Ambato. access November 15, 2021; HERNÁNDEZ-SAMPIERI, R, FERNÁNDEZ, C, BAPTISTA, P, (2014) Metodología de la investigación, , https://www.uca.ac.cr/wp-content/uploads/2017/10/Investigacion.pdf, McGraw Hill, México. access November 15, 2021; (2020) Directorio de Empresas y Establecimientos, , https://www.ecuadorencifras.gob.ec/directoriodeempresas/, access November 15, 2021; (2020) Proyección de la población ecuatoriana; (2021) Ecuador en cifras, , http://www.ecuadorencifras.gob.ec, access November 15, 2021; KETELS, C, KELLER, MK, 25 Years of «The Competitive Advantage of Nations» (2015) Competitiveness Review, 25 (5). , https://doi.org/10.1108/CR-08-2015-0073, access November 15, 2021; KRUGMAN, P, WELLS, R, (2015) Economics, , https://doi.org/10.12681/sas.816, 4th ed. Worth Publishers, New York. access November 15, 2021; KRUGMAN, P, OBSTFELD, M, MELITZ, M, (2015) International Economics: Theory and Policy, , https://www.pearson.com/uk/educators/highereducation-educators/product/Krugman-International-Economics-Theory-and-Policy-Global-Edition-10th-Edition/9781292019550.html?tab=overview, 10th ed. Pearson, London. access November 15, 2021; LIND, D, (2012) Statistical Techniques in Business and Economics, , https://www.mheducation.com/highered/product/statistical-techniques-business-economics-lind-marchal/M9781260239478.html, 15th ed. McGraw Hill, New York. access November 15, 2021; MANKIW, N, (2012) Principles of Economics, , https://www.amazon.com/-/es/Principles-Economics-Mankiws-dp0538453052/dp/0538453052/ref=mt_hardcover?_encoding=UTF8&amp;me=&amp;qid=, 6th ed. South-Western Cengage Learning, Mason. access November 15, 2021; MARTÍNEZ, D, CLARK, P, Desarrollo territorial en Ecuador: situación actual y perspectivas (2015) Abya Yala, , http://es.slideshare.net/gides/desarrollo-territorial-en-colombia-9952876, access November 15, 2021; MAX-NEEF, M, (1991) Human Scale Development. Development Dialogue, , http://www.wtf.tw/ref/max-neef.pdf, The Apex Press, London. access November 15, 2021; MELLA, O, Grupos Focales ‒ Focus Groups (2000), pp. 1-27. , http://biblioteca.uahurtado.cl/ujah/856/txtcompleto/txt105091.pdf, Cide access November 15, 2021; (2010) Agenda para la transformación productiva, , http://www.produccion.gob.ec/wp-content/uploads/downloads/2012/07/Agenda_Productiva%5B1%5D.pdf, Ministerio de Coordinación de la Producción, Empleo y Competitividad, Quito. access November 15, 2021; MONCAYO, P, (2016) Geopolítica. Espacio y poder, , http://repositorio.espe.edu.ec/handle/21000/11680, Universidad de las Fuerzas Armadas. access November 15, 2021; PÉREZ-GONZÁLEZ, M, JIMÉNEZ-GARCÍA, M, Dinámica territorial y economía social: una reflexión con especial referencia a Andalucía ante los cambios sociales (2012) Revista de Estudios Empresariales, 1, pp. 40-58. , http://revistaselectronicas.ujaen.es/index.php/REE/article/view/650, access November 15, 2021; PIKETTY, T, (2014) Capital in the Twenty-First Century, , http://piketty.pse.ens.fr/files/capital21c/pdf/G2.2.pdf, Belknap Harvard, Cambridge. access November 15, 2021; PORTER, M, (1990) The Competitive Advantage of Nations, , Collier Macmillan, London; PORTER, M, (2015) Estrategia competitiva: técnicas para el análisis de la empresa y sus competidores, , Pirámide, Madrid; PROKOPENKO, J, (1989) La gestión de la productividad, , https://docplayer.es/23869681-la-gestion-de-la-productividad.html, Organización Internacional del Trabajo, Geneva. access November 15, 2021; (2020) Oferta Académica ‒ Pontificia Universidad Católica del Ecuador, Sede Ambato, , https://pucesa.edu.ec/, access November 15, 2021; RUBIO, M, VARAS, J, Ámbitos de análisis de la realidad. El análisis de la realidad In: La Intervención Social (2004), Métodos y Técnicas de Investigación. Editorial CCS, Madrid; SAMUELSON, P, NORDHAUS, W, (2010) Economics, , http://pombo.free.fr/samunord19.pdf, 19th ed. McGraw Hill, New York. access November 15, 2021; (2017) Agenda Zonal. SENPLADES, , http://www.planificacion.gob.ec/wp-content/uploads/downloads/2015/11/Agenda-zona-3.pdf, access November 15, 2021; Plan Nacional de Desarrollo 2017-2021. Toda una vida (2017), https://www.planificacion.gob.ec/wp-content/uploads/downloads/2020/03/Plan-Nacional-de-Desarrollo-para-publicar-en-web-actualizado.pdf, SENPLADES. access November 15, 2021; SEN, A, Desarrollo económico y libertad (2009) Apun, xxviii (48), pp. 311-328. , http://revistas.uptc.edu.co/index.php/cenes/article/view/74/76, access November 15, 2021; SEN, A, Values and Justice (2012) Journal of Economic Methodology, 19 (2), pp. 101-108. , https://tandfonline.com/doi/full/10.1080/1350178X.2012.683601, access November 15, 2021; (2020) Secretaría Nacional de Planificación y Desarrollo, , http://www.planificacion.gob.ec/, access November 15, 2021; TOMÁS CARPI, J, El desarrollo local sostenible en clave estratégica (2008) Ciriec-España, 61, pp. 73-101. , http://70.38.54.133/Repositorio/MAES/MAES-01/Unidad_3/Desarrollo%5Cnlocal%5Cnsustentable.CIRIEC.pdf, access November 15, 2021; (2020) Sustainable Development Goals, , https://sustainabledevelopment.un.org/?menu=1300, access November 15, 2021; VALAREZO, G, (2013) El desarrollo local en el Ecuador: historia, actores y métodos, , https://digitalrepository.unm.edu/abya_yala/116/, Ediciones Abya-Yala, Ebrary. access November 15, 2021; VÁZQUEZ-BARQUERO, A, (2005) Las nuevas fuerzas del desarrollo, , Antoni Bosch; VÁZQUEZ-BARQUERO, A, Desarrollo endógeno. Teorías y políticas de desarrollo territorial (2007) Investigaciones Regionales, 11, pp. 183-210. , http://search.proquest.com/openview/07b80736449b52cbfa6bf7b4f2717a84/1?pq-origsite=gscholar, access November 15, 2021; VÁZQUEZ-BARQUERO, A, RODRÍGUEZ-COHARD, J, La política de desarrollo local: los desafíos de los territorios de desarrollo tardío (2015) Ciudad y Territorio Estudios Territoriales, 47 (186), pp. 625-638. , https://recyt.fecyt.es/index.php/CyTET/article/view/76436, access November 15, 2021; VÁZQUEZ-BARQUERO, A, RODRÍGUEZ-COHARD, J, Local Development in a Global World: Challenges and Opportunities (2018) Regional Science Policy and Practice, pp. 1-13. , https://doi.org/10.1111/rsp3.12164, November 2017: access November 15, 2021; YIN, R, (2014) Case Study Research. Design and Methods, , 5th ed. Thousands Oaks (California)</t>
  </si>
  <si>
    <t>University of Zaragoza</t>
  </si>
  <si>
    <t>Iberoam. J. Dev. Stud.</t>
  </si>
  <si>
    <t>2-s2.0-85142929690</t>
  </si>
  <si>
    <t>Montañez M.Á., Higuera-García J.S., Vargas-Rodríguez L.J.</t>
  </si>
  <si>
    <t>57965586800;57965571100;57197830878;</t>
  </si>
  <si>
    <t>Myoma nascens: Clinical case [Mioma nascens: reporte de caso]</t>
  </si>
  <si>
    <t>Ginecologia y Obstetricia de Mexico</t>
  </si>
  <si>
    <t>10.24245/gom.v90i7.6968</t>
  </si>
  <si>
    <t>https://www.scopus.com/inward/record.uri?eid=2-s2.0-85141893734&amp;doi=10.24245%2fgom.v90i7.6968&amp;partnerID=40&amp;md5=d9f9077039affcc47d5137ec3b0ea5f0</t>
  </si>
  <si>
    <t>Universidad Pedagógica y Tecnológica de Colombia (UPTC), Colombia; Hospital Universitario San Rafael, Tunja, Colombia</t>
  </si>
  <si>
    <t>Montañez, M.Á., Universidad Pedagógica y Tecnológica de Colombia (UPTC), Colombia; Higuera-García, J.S., Hospital Universitario San Rafael, Tunja, Colombia; Vargas-Rodríguez, L.J., Hospital Universitario San Rafael, Tunja, Colombia</t>
  </si>
  <si>
    <t>BACKGROUND: Uterine fibroids are the most frequent gynecologic tumors during reproductive age and extremely rare in preadolescence and early adolescence, representing only 1% of all cases. It is even more exceptional that these cases manifest as myoma prolapse (myoma nascens). CLINICAL CASE: 11-year-old female patient from Tunja, Colombia, height 143 cm, weight 31 kg, BMI 15.15 kg/m2 (risk of thinness by Colombian resolution), with no pathological, pharmacological or surgical history; menarche at 11 years old, without onset of sexual life. She was taken to consultation due to a clinical picture of five hours of evolution, consisting of a mass of approximately 3 cm in diameter, protruding the vagina at the time of defecation, painful on palpation, with scanty bleeding and vaginal discharge. The initial suspicion was possible cervical polyp. CONCLUSION: Cases of myoma nascens are, in general, infrequent, even more so in pediatric age. More studies are needed to establish the biological characteristics of this type of lesions in girls and adolescents to indicate the most appropriate treatment. Surgical treatment seems to be the option that has received the most support in other case reports. Follow-up is crucial because the behavior of this type of lesions in this age group is unknown. © 2022 Asociacion Mexicana de Ginecologia y Obstetricia. All rights reserved.</t>
  </si>
  <si>
    <t>Adolescence; Myoma nascens; Myomatosis; Vaginal bleeding</t>
  </si>
  <si>
    <t>adolescence; Article; bleeding; body mass; body weight; case report; child; clinical article; defecation; female; follow up; human; myoma; palpation; polyp; prevalence; school child; sexual behavior; vagina; vagina bleeding</t>
  </si>
  <si>
    <t>Moroni, RM, Vieira, CS, Ferriani, RA, dos Reis, RM, Nogueira, AA, Brito, LGO., Presentation and treatment of uterine leiomyoma in adolescence: a systematic review (2015) BMC Women's Health, 15, p. 4; Vilos, GA, Allaire, C, Laberge, PY, Leyland, N, Vilos, AG, Murji, A, Chen, I., The management of uterine leiomyomas (2015) J Obstet Gynaecol Can, 37 (2), pp. 157-178; Kumura, ND, Siarezi, S., A case of a prolapsed fibroid in a 12-year-old girl (2020) J Pediatr Adolesc Gynecol, 33 (1), pp. 96-97; Aydin, S, Çelik, HG, Maraşli, M, Bakar, RZ., Clinical predictors of successful vaginal myomectomy for prolapsed pedunculated uterine leiomyoma (2018) J Turk Ger Gynecol Assoc, 19, pp. 146-150. , https://www.ncbi.nlm.nih.gov/pmc/articles/PMC6085531/pdf/JTGGA-19-146.pdf; Laughlin, SK, Schroeder, JC, Baird, DD., New directions in the epidemiology of uterine fibroids (2010) Semin Reprod Med, 28 (3), pp. 204-217. , https://doi.org/10.1055/s-0030-1251477; William, H, Parker, M., Uterine myomas: management (2007) Fertil Steril, 88 (2), pp. 255-271; Munro, MG, Critchley, HO, Broder, MS, Fraser, IS, FIGO Classification System (PALM-COEIN) for causes of abnormal uterine bleeding in nongravid women of reproductive age (2011) Int Gynecol Obstet, 113 (1), pp. 3-13. , https://doi.org/10.1016/j.ijgo.2010.11.011; Di Muro-Mea, MA, Berón-Ventimilla, JC, Arango-Martínez, AM, Serna-Agudelo, RE, Castañeda-Roldán, JD, de los Ríos-Posada, JF, Miomas submucosos: gran desafío para el ginecólogo (2013) Rev Obstet Ginecol Venez, 73 (2), pp. 122-131. , http://ve.scielo.org/scielo.php?script=sci_arttext&amp;pid=S0048-77322013000200007&amp;lng=es; Jérome, L, Dreyfus, M, Bekkari, Y., Surgical management during labor of giant vaginal fibromyoma (2004) J Gynecol Surgery, 20, p. 1719. , https://doi.org/10.1089/104240604323021990; Donnez, J, Vázquez, F, Tomaszewski, J, Nouri, Kazem, Bouchard, Philippe, Bart, CJM, Long-term treatment of uterine fibroids with ulipristal acetate (2014) Fertil Steril, 101 (6), pp. 1565-1573. , e1-18</t>
  </si>
  <si>
    <t>Vargas-Rodríguez, L.J.; Hospital Universitario San RafaelColombia; email: lejovaro@gmail.com</t>
  </si>
  <si>
    <t>Asociacion Mexicana de Ginecologia y Obstetricia</t>
  </si>
  <si>
    <t>GOMEA</t>
  </si>
  <si>
    <t>Ginecol. Obstet. Mex.</t>
  </si>
  <si>
    <t>2-s2.0-85141893734</t>
  </si>
  <si>
    <t>Roa-Rojas J., Cuervo Farfán J.A., Deluque Toro C.E., Landínez Téllez D.A., Parra Vargas C.A.</t>
  </si>
  <si>
    <t>6603885623;34876591000;54896359100;6602548784;17135548800;</t>
  </si>
  <si>
    <t>Ferrobismutitas de tierra rara: cerámicos ferromagnéticos semiconductores con aplicabilidad en dispositivos espintrónicos [Rare-earth ferrobismuthites: ferromagnetic ceramic semiconductors with applicability in spintronic devices]</t>
  </si>
  <si>
    <t>Revista de la Academia Colombiana de Ciencias Exactas, Fisicas y Naturales</t>
  </si>
  <si>
    <t>10.18257/raccefyn.1723</t>
  </si>
  <si>
    <t>https://www.scopus.com/inward/record.uri?eid=2-s2.0-85140893934&amp;doi=10.18257%2fraccefyn.1723&amp;partnerID=40&amp;md5=9226989367f1623b3ee4d78864eb76d0</t>
  </si>
  <si>
    <t>Grupo de Física de Nuevos Materiales, Departamento de Física, Universidad Nacional de Colombia, D.C., Bogotá, Colombia; Grupo de Nuevos Materiales, Facultad de Ingeniería, Universidad del Magdalena, Santa Marta, Colombia; Grupo de Estudios de Materiales GEMA, Departamento de Física, Universidad Nacional de Colombia, D.C., Bogotá, Colombia; Grupo de Física de Materiales, Escuela de Física, Universidad Pedagógica y Tecnológica de Colombia, Tunja, Colombia</t>
  </si>
  <si>
    <t>Roa-Rojas, J., Grupo de Física de Nuevos Materiales, Departamento de Física, Universidad Nacional de Colombia, D.C., Bogotá, Colombia; Cuervo Farfán, J.A., Grupo de Física de Nuevos Materiales, Departamento de Física, Universidad Nacional de Colombia, D.C., Bogotá, Colombia; Deluque Toro, C.E., Grupo de Nuevos Materiales, Facultad de Ingeniería, Universidad del Magdalena, Santa Marta, Colombia; Landínez Téllez, D.A., Grupo de Física de Nuevos Materiales, Departamento de Física, Universidad Nacional de Colombia, D.C., Bogotá, Colombia, Grupo de Estudios de Materiales GEMA, Departamento de Física, Universidad Nacional de Colombia, D.C., Bogotá, Colombia; Parra Vargas, C.A., Grupo de Física de Materiales, Escuela de Física, Universidad Pedagógica y Tecnológica de Colombia, Tunja, Colombia</t>
  </si>
  <si>
    <t>We report here the synthesis process of the perovskite-like complex material Bi0.5R0.5FeO3 (R=Eu, Sm, Dy) using the ceramic method, as well as its structural, optical, magnetic, and electrical characterizations. Refined X-ray diffraction data revealed that this material crystallizes in an orthorhombic structure (space group Pnma number 62). The band gap value in the optical response shown in the diffuse reflectance spectroscopy curve was typical of semiconductor materials. The magnetization exhibited a very low coercive field hysteretic behavior, which is characteristic of weak ferromagnetism, for all temperatures examined below 300 K and the various magnetic fields applied. The real and complex electric permittivity curves showed the occurrence of dielectric relaxation processes at 113 K in agreement with reports of pyroelectric and thermo-stimulated currents as a function of temperature revealing the appearance of ferroelectric polarization below 113 K with possible magnetoelectric coupling. On the other hand, we made a theoretical study of the electronic structure with and without the inclusion of a Berry distortional phase and ab-initio calculations following the density functional theory formalism and the pseudopotential plane wave method. In this formalism, the exchange and correlation mechanisms are described by the generalized gradient approach (GGA + U) considering spin polarization. The Berry phase analysis suggested the occurrence of ferroelectricity at temperatures below 113 K consistent with the experimental analysis evidencing a biferroic behavior at low temperatures given that the distortional phase introduces hybridizations between the 3d-Fe and 2p-O states favoring the appearance of Dzyaloshinskii-Moriya interactions, which, in turn, facilitate the appearance of ferroelectricity coexisting with a weak ferromagnetism. The thermodynamic properties in the presence or absence of the Berry phase by means of the Debye quasi-harmonic model revealed the appearance of a ferroelectric transition at 113 K, which corroborates their magnetoelectric nature at low temperatures. The ferromagnetic semiconducting character found at room temperature enhances this material for applications in spintronics technology. © 2022 Colombian Academy of Exact, Physical and Natural Sciences. All rights reserved.</t>
  </si>
  <si>
    <t>Ferroelectricity; Ferromagnetism; Perovskite; Semiconductor; Spintronics; Structure</t>
  </si>
  <si>
    <t>Universidad Nacional de Colombia, UNAL: 52594; Universidad del Magdalena, UNIMAGDALENA</t>
  </si>
  <si>
    <t>This work received partial support from the DIEB-ORI at the National University of Colombia (Hermes Code 52594) and FONCIENCIAS at Universidad del Magdalena.</t>
  </si>
  <si>
    <t>Acharya, S., Mondal, J., Ghosh, S., Roy, S.K., Chakrabarti, P.K., Multiferroic Behavior of Lanthanum Orthoferrite (LaFeO3) (2010) Materials Letters, 64, pp. 415-418; Alarcón-Suesca, C.E., Deluque-Toro, C.E., Gil-Rebaza, A.V., Landínez-Téllez, D.A., Roa-Rojas, J., Ab-initio studies of electronic, structural and thermophysical properties of the Sr2TiMoO6 double perovskite (2019) Journal of Alloys and Compounds, 771, pp. 1080-1089; Benedek, N.A., Origin of Ferroelectricity in a Family of Polar Oxides: The Dion—Jacobson Phases (2014) Journal Inorganic Chemistry, 53, pp. 3769-3777; Blöchl, P.E., Projector augmented-wave method (1994) Physical Review Journals, 50, pp. 17953-17979; Brown, I.D., Recent Developments in the Methods and Applications of the Bond Valence Model (2009) Journal Chemical Reviews, 109 (12), pp. 6858-6919; Cuervo-Farfán, J.A., Aljure-García, D.M., Cardona, R., Arbey-Rodríguez, J., Landínez-Téllez, D.A., Roa-Rojas, J., Structure, Ferromagnetic, Dielectric and Electronic Features of the LaBiFeeO6 Material (2017) Journal of Low Temperature Physics, 186, pp. 295-315; Cuervo-Farfán, J.A., Castellanos-Acuña, H.E., Landínez-Téllez, D.A., Parra-Vargas, C.A., Roa-Rojas, J., Structural, magnetic, and electrical features of the Nd2SrMn2TiO9 perovskite‐like compound (2016) Physica Status Solidi (B), 253, pp. 1127-1132; Cuervo-Farfán, J.A., Deluque-Toro, C.E., Parra-Vargas, C.A., Landínez-Téllez, D.A., Roa-Rojas, J., Experimental and theoretical determination of physical properties in the Sm2Bi2Fe4O12 ferromagnetic semiconductor (2020) Journal of Materials Chemistry, C8, pp. 4925-14939; Cuervo-Farfán, J.A., Parra-Vargas, C.A., Viana, D.S.F., Milton, F.P., García, D., Landínez-Téllez, D.A., Roa-Rojas, J., Structural, Magnetic, Dielectric and Optical Properties of the Eu2Bi2Fe4O12 Bismuth-Based Low-Temperature Biferroic (2018) Journal of Materials Science: Materials in Electronics, 29, pp. 20942-20951; Cuervo-Farfán, J.A., Benav.des-Lara, J.P., Parra-Vargas, C.A., Landínez-Téllez, D.A., Roa-Rojas, J., Structural Characteristics and Electric and Magnetic Features of the Nd2.68 Sr1.32Mn1.2Ti1.32Fe1.48O12 Ferromagnetic Semiconductor (2021) Journal of Low Temperature Physics, 202, pp. 128-144; Dann, S.E., Currie, D.B., Weller, M.T., Thomas, M.F., Al-Rawwas, A.D., The Effect of Oxygen Stoichiometry on Phase Relations and Structure in the System La1-xSrxFeO3-δ (0 ≤ x ≤ 1, 0 ≤ δ ≤ 0.5) (1994) Journal of Solid State Chemistry, 109, pp. 134-144; Dash, U., Sahoo, S., Chaudhuri, P., Parashar, S.K.S., Parashar, K., Electrical properties of bulk and nano Li2TiO3 ceramics: A comparative study (2014) Journal of Advanced Ceramics, 3, pp. 89-97; Deluque-Toro, C.E., Mosquera-Polo, A.S., Gil-Rebaza, A.V, Landínez-Téllez, D.A., Roa-Rojas, J., Ab Initio Study of the Electronic Structure, Elastic Properties, Magnetic Feature and Thermodynamic Properties of the Ba2NiMoO6 Material (2018) Journal of Low Temperature Physics, 192, pp. 265-285; Deluque-Toro, C.E., Mosquera-Polo, A.S., Villa-Hernández, J.I., Landínez-Téllez, D.A., Roa-Rojas, J., Thermodynamic properties, electronic and crystallographic structure, and magnetic response of the Sr2HoNbO6 material (2018) Revista de la Academia Colombiana de Ciencias Exactas, Físicas y Naturales, 42, pp. 180-187; Deluque-Toro, C.E., Landínez-Téllez, D.A., Roa-Rojas, J., Ab-initio analysis of magnetic, structural, electronic and thermodynamic properties of the Ba2TiMnO6 manganite (2018) DYNA, 85, pp. 27-36; Ding, J.L, Zhong, Y., A theoretical strategy for pressure-driven ferroelectric transition associated with critical behavior and magnetoelectric coupling in organic multiferroics (2020) Physical Chemistry Chemical Physics, 22, pp. 19120-19130; Dong, S., Xiang, H., Dagotto, E., Magnetoelectricity in multiferroics: a theoretical perspective (2019) National Science Review, 6, pp. 629-641; Estrada-Contreras, V.R., Alarcón-Suesca, C.E., Deluque-Toro, C.E., Landínez-Téllez, D.A., Roa-Rojas, J., Crystalline, ferromagnetic-semiconductor and electronic features of the terbium-based cobalt-ferrite Tb2FeCoO6 (2021) Ceramics International, 47, pp. 14408-14417; Fodouop, F.K., Fouolceng, G.C., Tchoffo, M., Fai, L.C., Randrianantoandro, N., Thermodynamics of metamagnetoelectric effect in multiferroics (2019) Journal of Magnetism and Magnetic Materials, 474, pp. 456-461; Garrido, L.C., Deluque-Toro, C.E., Díaz, I., Landínez-Téllez, D.A., Roa-Rojas, J., First-principles calculations to investigate elastic, electronic and thermophysical properties of the Dy2Bi2Fe4O12 ferromagnetic semiconductor (2021) Semiconductor Science and Technology, 36, p. 095015; Gil-Rebaza, A.V., Deluque-Toro, C.E., Medina-Chanduví, H.H., Landínez-Téllez, D.A., Roa-Rojas, J., Thermodynamic evidence of the ferroelectric Berry phase in europium-based ferrobismuthite Eu2Bi2Fe4O12 (2021) Journal of Alloys and Compounds, 884, p. 161114; Gilioli, E., Ehm, L., High pressure and multiferroics materials: a happy marriage (2014) IUCrJ, 1, pp. 590-603; Glazer, A.M., Simple ways of determining perovskite structures (1975) Acta Crystallographica, 31, pp. 756-762; Goldschmidt, V.M., Die Gesetze der Krystallochemie (1926) Naturwissenschaften, 14 (21), pp. 477-485; Guss, P., Foster, M.E., Wong, B.M., Doty, F.P., Shah, K., Squillante, M.R., Shirwadkar, U., Yuan, D., Results for aliovalent doping of CeBr3 with Ca2+ (2014) Journal of Applied Physics, 15, p. 034908; Hazen, R.M., Perovskites (1988) Scientific American, 258, pp. 74-81; Heyd, J., Scuseria, G.E., Ernzerhof, M., Hybrid functionals based on a screened Coulomb potential (2003) Journal of Chemical Physics, 118, pp. 8207-8215; Jaramillo-Palacio, J.A., Barrera-Bello, E.W., Munévar-Cagigas, J.A., Arnache, O., Landínez-Téllez, D.A., Roa-Rojas, J., Structure and Physical Properties of the LaBiFe2O6 Perovskite Produced by the Modified Pechini Method (2017) Journal of Materials Research, 20, pp. 1309-1316; Jaramillo-Palacio, J.A., Muñoz-Pulido, K.A., Arbey-Rodríguez, J., Landínez-Téllez, D.A., Roa-Rojas, J., Electric, magnetic and microstructural features of the La2CoFeO6 lanthanide ferrocobaltite obtained by the modified Pechini route (2021) Journal of Advanced Dielectrics, 11, p. 2140003; King, G., Woodward, P.M., Cation ordering in perovskites (2010) Journal of Materials Chemistry, 20, pp. 5785-5796; Koehler, W.C., Wollan, E.O., Neutron-diffraction study of the magnetic properties of perovskite-like compounds LaBO3 (1957) Journal of Physics and Chemistry of Solids, 2, pp. 100-106; Kresse, G., Joubert, J., From ultrasoft pseudopotentials to the projector augmented-wave method (1999) Physical Review B, 59, pp. 1758-1775; Landínez-Téllez, D.A., Buitrago-Martínez, D., Barrera, E.W., Roa-Rojas, J., Crystalline structure, magnetic response and electronic properties of RE2MgTiO6 (RE= Dy, Gd) double perovskites (2014) Journal of Molecular Structure, 1067, pp. 205-209; Liechtenstein, A.I., Anisimov, V.I., Zaanen, J., Density-functional theory and strong interactions: Orbital ordering in Mott-Hubbard insulators (1995) Physical Review B, 52, pp. R5467-R5470; Llamosa, D.P., Landínez-Téllez, D.A., Roa-Rojas, J., Magnetic and structural behavior of Sr2ZrMnO6 double perovskite (2009) Journal of Physics B, 404, pp. 2726-2729; Lu, J., Günther, A., Schrettle, F., Mayr, F., Krohns, S., Lunkenheimer, P., Pimenov, A., Loidl, A., On the Room Temperature Multiferroic BiFeO3: Magnetic, Dielectric and Thermal Properties (2010) European Physical Journal B, 75, pp. 451-460; Lufaso, M.W., Woodward, P.M., Prediction of the Crystal Structures of Perovskites Using the Software Program SPuDS (2001) Acta Crystallographica, B57, pp. 725-738; Lunkenheimer, P., Bobnar, V., Pronin, A.V., Ritus, A.I., Volkov, A.A., Loidl, A., Origin of apparent colossal dielectric constants (2002) Journal of Physics B, 66, p. 521051; Methfessel, M., Paxton, A.T., High-precision sampling for Brillouin-zone integration in metals (1986) Journal of Physics B, 40, pp. 3616-3621; Mishra, S.K., Pandey, D., Low temperature x-ray diffraction study of the phase transitions in Sr1-xCaxTiO3 (x=0.02,0.04): Evidence for ferrielectric ordering (2009) Applied Physics Letters, 95, p. 232910; Monkhorst, H.J., Pack, J.D., Special points for Brillouin-zone integrations (1976) Journal of Physics B, 13, pp. 5188-5192; Murnaghan, F.D., The Compressibility of Media under Extreme Pressures (1944) Proceedings of the National Academy of Sciences, 30, pp. 244-247; Myrick, M.L., Simcock, M.N., Baranowski, M., Brooke, H., Morgan, S.L., McCutcheon, J.N., The Kubelka-Munk Diffuse Reflectance Formula Revisited (2011) Applied Spectroscopy Reviews, 46, pp. 140-165; Nieto-Camacho, J.A., Cardona-Vásquez, J.A., Sarmiento-Santos, A., Landínez-Téllez, D.A., Roa-Rojas, J., Study of the microstructure and the optical, electrical, and magnetic feature of the Dy2Bi2Fe4O12 ferromagnetic semiconductor (2020) Journal of Materials Research and Technology, 9, pp. 10686-10697; Pandey, R.K., Stapleton, W.A., Sutanto, I., Nature and Characteristics of a Voltage-Biased Varistor and its Embedded Transistor (2015) IEEE Journal of the Electron Devices Society, 3, pp. 276-283; Perdew, J.P., Burke, K., Ernzerhof, M., Generalized Gradient Approximation Made Simple (1996) Physical Review Letters, 77, pp. 3865-3868; Phokha, S., Pinitsoontorn, S., Maensiri, S., Rujirawat, S., Structure, optical and magnetic properties of LaFeO3 nanoparticles prepared by polymerized complex method (2014) Journal of Sol-Gel Science and Technology, 71, pp. 333-341; Resta, R., Macroscopic polarization in crystalline dielectrics: the geometric phase approach (1994) Reviews of Modern Physics, 66, pp. 899-915; Resta, R., Polarization as a Berry Phase (1997) Europhys. News, 28, pp. 18-20; Sergienko, I.A., Dagotto, E., Role of the Dzyaloshinskii-Moriya interaction in multiferroic perovskites (2006) Journal of Physics B, 73, p. 094434; Sorescu, M., Xu, T., Hannan, A., Initial Stage Growth Mechanism of LaFeO3 Perovskite through Magnetomechanical Ball-Milling of Lanthanum and Iron Oxides (2011) American Journal of Materials Science, 1, pp. 57-66; Spaldin, N.A., Multiferroics beyond electric-field control of magnetism (2020) Proceedings of the Royal Society A, 476, p. 20190542; Triana, C.A., Landínez-Téllez, D.A., Roa-Rojas, J., Synthesis process and structural characterization of the Sr2EuRuO6 complex perovskite (2012) Journal of Alloys and Compounds, 516, pp. 179-185; Vojta, A., Wen, Q., Clarke, D.R., Influence of microstructural disorder on the current transport behavior of varistor ceramics (1996) Computational Materials Science, 6, pp. 51-62; Wu, J., Mao, S., Ye, Z-G., Xie, Z., Zheng, L., Room-temperature ferromagnetic/ferroelectric BiFeO3 synthesized by a self-catalyzed fast reaction process (2010) Journal of Materials Chemistry A, 20, pp. 6512-6516; Xu, J.M., Wang, G.M., Wang, H.X., Ding, D.F., He, Y., Synthesis and weak ferromagnetism of Dy-doped BiFeO3 powders (2009) Materials Letters, 63, pp. 855-857; Yamada, I., Takamatsu, A., Ikeno, H., Complementary evaluation of structure stability of perovskite oxides using bond-valence and density-functional-theory calculations (2018) Science and Technology of Advanced Materials, 19 (1), pp. 101-107</t>
  </si>
  <si>
    <t>Roa-Rojas, J.; Grupo de Física de Nuevos Materiales, D.C., Colombia; email: jroar@unal.edu.co</t>
  </si>
  <si>
    <t>Colombian Academy of Exact, Physical and Natural Sciences</t>
  </si>
  <si>
    <t>Rev. Aca. Colomb. Cien. Exact., Fisicas Natur.</t>
  </si>
  <si>
    <t>2-s2.0-85140893934</t>
  </si>
  <si>
    <t>A regional plan for education, science and technology. Reflections of a neo-academic from the Colombian Academy of Exact, Physical and Natural Sciences [Un Plan Regional para Educación, Ciencia y Tecnología, Reflexiones de un neo-académico de la Academia Colombiana de Ciencias Exactas, Físicas y Naturales]</t>
  </si>
  <si>
    <t>10.18257/raccefyn.1766</t>
  </si>
  <si>
    <t>https://www.scopus.com/inward/record.uri?eid=2-s2.0-85140883113&amp;doi=10.18257%2fraccefyn.1766&amp;partnerID=40&amp;md5=1eab905b4d4dfef6693d40f633d2c50d</t>
  </si>
  <si>
    <t>Violini, G., (2022) Posesion_Academia_Colombiana_Ciencias_Exactas_Fisicas_Naturales, , https://www.researchgate.net/publication/362830902_Posesion_Academia_Colombiana_Ciencias_Exactas_Fisicas_Naturale; LA2019, pptx, ICTP courtesy; Primer encuentro latinoamericano de Sociedades de Física (1982) Revista Mexicana de Física, 29 (1), pp. 143-171. , (pag.170); Moore, S., Posada, E., Violini, G., Vivas, J, Álvarez, G., Camacho, J., (1984) Centro Internacional de Física, , justificación, estructura y diseño, ACIF-Colciencias; De Greiff, Alexis, The Tale of Two Peripheries: The Creation of the International Centre for Theoretical Physics in Trieste (2002) Historical Studies in the Physical and Biological Sciences, 33 (1), pp. 33-59. , JSTOR; Latorre, V., Abdus Salam en el Perú (2018) Tradición, Segunda época, (16), pp. 132-135. , Nr; Medina, Miguel García, https://elcomercio.pe/blog/huellasdigitales/2010/12/una-historicadevaluacion-a-25/; Violini, G., La necesidad de una nueva generación de Centros Regionales de Ciencia y Tecnología (1917) Relevamiento de la Investigación y la Innovación en la República de Guatemala, , en G. Lemarchand, UNESCO; Fog, Lizbeth, (2011) Centro Internacional de Física, Libertad para pensar y actuar, , 1985-2010, CIF; Gramsci, Antonio, (1929) Carta a Carlo Gramsci, , 19 dicembre; Violini, G., Propuesta de creación del CAIC (Centro Andino de Investigación Científica) en la Escuela Superior Politécnica de Chimborazo (2017), Informe ESPOCH; Violini, G., La ciencia global, retos y oportunidades para el Gran Caribe (2013) Educación y Cultura en la integración latinoamericana: retos del siglo XXI, pp. 111-137. , en pag. Ed SOLAR, Bogotá; Núñez-Sellés, A., Piazza, F., Violini, G., (2018) Centro Regional de Investigación en Ciencia de los Materiales en la República Dominicana (CRICMA-RD), , informe Universidad Evangélica, Marzo; Vary, James, International Institute of Theoretical and Applied Physics: An introduction (1995) AIP Conference Proceedings, 342, p. 669; (1981) en el Simposio sobre las Dimensiones internacionales del problema de la energía, , Proyecto presentado en Sigüenza, en bajo la Presidencia de honor del Rey de España; De Greiff, Alexis, The Politics of Noncooperation:The Boycott of the International Centre for Theoretical Physics (2006) Osiris, 2d series, 21 (1), pp. 86-109; Negret, Juan P., (1985) The CIF and Bolivar’s Dream, , Fermilab; Soria, Juan Alfonso Fuentes, (1917) Fondo Regional de Ciencia y Tecnología del Sistema de la Integración Centroamericana (FORCYT-SICA): Necesidad y Pertinencia, , en G. Lemarchand, Relevamiento de la Investigación y la Innovación en la República de Guatemala, UNESCO; https://digitallibrary.un.org/record/9177?ln=es; Guardiola, M. L., Villaveces, J. L., Violini, G., Status and Problems of Science in Latin America and the Caribbean, p. 1. , Eds., Bogotá; Guardiola, M. L., Villaveces, J. L., Violini, G., Some thoughts about Third World policies on science and technology (1990) Status and Problems of Science in Latin America and the Caribbean, pp. 3-9. , en M. L. Guardiola, J. L. Villaveces, G. Violini, Edts. Pag. Bogotá; Castaño, V. M., (2022) Proyecto de un Sincrotrón en el Gran Caribe, , Simposio sobre Megaproyectos, aceleradores de integración y desarrollo, Santo Domingo, 6-7 de junio; https://www.ninandes.org/es/quienes-somos/nuestro-fundador; Canjura, Carlos, (2021) contribución al Simposio: Pospandemia. Perspectivas para la Ciencia Latinoamericana y Rol de la Integración Regional y de la Cooperación Internacional, , youtube.com/watch?v=1UV-MGzYRpA, MESCyT, Santo Domingo, 7 de junio; Sanz, Antonio Pérez, (2022) La apacible vida de un genio precoz, , https://virtual.uptc.edu.co/ova/estadistica/docs/autores/pag/mat/Gauss2.asp.htm; Violini, G., Some considerations on brain drain: the Colombian case (1991) Discovery and Innovation, 3, p. 3; Colciencias, (1995) Una Nación sin Fronteras; Chaparro, Fernando, Jaramillo, Hernán, Quintero, Vladimir, (2004) Aprovechamiento de la Diáspora e Inserción en Redes Globales de Conocimiento: El Caso de la Red Caldas, Informe para el Knowledge for Development Program, , World Bank; Abbott, B. P., Observation of Gravitational Waves from a Binary Black Hole Merger (2016) Phys. Rev. Lett, 116, p. 061102; Posada, E., Violini, G., (1983) Workshop on Search of Gravitational Waves, , World Publishing Co., Singapore; Violini, G., (2021) La encrucijada de la física dominicana, 15. , acento.com, Octubre; Gross, D., The critical role of Centers of Science (2021), p. 70. , pg. En: Carlos Ml. Rodríguez Peña, Sixto J. Incháustegui, Galileo Violini, Leandra Tapia, Miledy Alberto, y Francisco Roberto Arias Milla (edits). XVI Congreso Internacional de Investigación Científica; Hernández Bonilla, Juan Miguel, Arturo Luna, ministro de Ciencia de Colombia: “Hay que establecer un diálogo con los saberes indígenas (2022), El País, 18 de agosto; Fernández García, B M. L., Il Mondo Arabo in America Latina (2004) Politica internazionale, XXXIV (5), p. 181. , 4; Gómez Moreno, B., Aceleradores para Colombia (2014) Revista de la Academia Colombiana de Ciencias Exactas, Física y Naturales, 38, pp. 71-78. , pag; Violini, G., Castaño, V.M., Fuentes Soria, J.A., Gómez Ramírez, P., Medrano Asensio, G., Posada, E., Rudamas, C., (2021) A Synchrotron as Accelerator of Science Development, en Central America and the Caribbean, , arXiv preprint arXiv:2109.11979; Paris Díaz, M. C., (2022) Aceleradores aplicados a la medicina para Colombia, , Universidad de Los Andes; (2021) de Juan Pablo Negret a GalileoViolini, y a seis colegas, , 27 de septiembre; Deras, J. E., (2021) Presentación sobre el Enfoque económico comercial, en el Foro virtual: Retos y desafíos de la Región Centroamericana, , Guatemala, 22 de septiembre; Al-Zou’bi, Anoud, (2018), https://es.unesco.org/courier/2018-4/sesame-excelencia-cientifica-corazonoriente-medio; https://es.statista.com/estadisticas/1224838/gasto-militar-america-latina-caribe-por-pais/, Statista Research Department, 24 septiembre 2021; González, Juan Vicente, Biografía de José Cecilio Ávila, , http://www.efemeridesvenezolanas.com/html/cecilio.htm, fecha; Fajardo, L. E., Cañón, C., Herrera, D., Villaveces Niño, M. J., El Colegio Mayor Del Rosario y la Reforma universitaria Santanderista (2002) Revista de economía del Rosario, 5, p. 205; King, David A., (2004) Nature, 430, p. 211</t>
  </si>
  <si>
    <t>2-s2.0-85140883113</t>
  </si>
  <si>
    <t>Mejia C.R., Serrano F.T., Hidalgo S.R., Avila Y.C.</t>
  </si>
  <si>
    <t>50462014500;57195980799;57927390000;57928027300;</t>
  </si>
  <si>
    <t>Factors associated with university and hospital mistreatment in medical students from seven Latin American countries [Factores asociados al maltrato universitario y hospitalario a estudiantes de Medicina de 7 países latinoamericanos]</t>
  </si>
  <si>
    <t>Educacion Medica</t>
  </si>
  <si>
    <t>10.1016/j.edumed.2022.100757</t>
  </si>
  <si>
    <t>https://www.scopus.com/inward/record.uri?eid=2-s2.0-85139861763&amp;doi=10.1016%2fj.edumed.2022.100757&amp;partnerID=40&amp;md5=49b96ca3b361d807a0a5d1bb8fc05504</t>
  </si>
  <si>
    <t>Universidad Continental, Huancayo, Peru; Grupo de Investigación ACEMED-UPTC, Universidad Pedagógica y Tecnológica de Colombia – UPTC, Tunja, Colombia; Universidad Nacional Autónoma de Honduras, Tegucigalpa, Honduras</t>
  </si>
  <si>
    <t>Mejia, C.R., Universidad Continental, Huancayo, Peru; Serrano, F.T., Grupo de Investigación ACEMED-UPTC, Universidad Pedagógica y Tecnológica de Colombia – UPTC, Tunja, Colombia; Hidalgo, S.R., Universidad Continental, Huancayo, Peru; Avila, Y.C., Universidad Nacional Autónoma de Honduras, Tegucigalpa, Honduras</t>
  </si>
  <si>
    <t>Introduction: Mistreatment in the medical career is a frequent activity, but few studies of analytical design in multiple Latin American realities that determine the associated factors, so the objective was to determine the factors associated with university and hospital mistreatment in medical students from seven Latin American countries. Material and methods: Analytical cross-sectional design, secondary data analysis. By means of a self-administered questionnaire between 2016-2017, the self-reported outcome variables of physical, sexual, academic and psychological mistreatment perceived by medical students were obtained, associating themselves with socio-educational variables using Generalized Linear Models. Results: The main mistreatment was psychological 7,3% and 2,7% in the university and hospital, respectively, with Colombia and Chile being the most mistreated in all areas. At university, physical mistreatment was higher when studying in Ecuador (p &lt; 0.001), but less in women (p = 0.019) and in Argentina (p &lt; 0.001); the psychological, lower in private universities (p &lt; 0.001), higher according to age (p &lt; 0.001), with significant differences in all countries (p &lt; 0.001); the academic, lower in private university (p &lt; 0.001), higher according to age (p &lt; 0.001) with significant differences in the countries (p &lt; 0.001). In the hospital, the psychological, was higher in private university (p &lt; 0.001) with statistical difference in the countries (p &lt; 0.05), except Argentina; the academic was higher according to age (p &lt; 0.001), but lower in Argentina and Ecuador (p &lt; 0.001). Conclusion: Mistreatment is very frequent in the medical career, with statistical differences according to socio-educational variables, being highly heterogeneous between countries; therefore, it is very important that programs are generated to intervene in this fundamental aspect of medicine. © 2022 The Authors</t>
  </si>
  <si>
    <t>Abuse; Latin America; Medical students; Mistreatment; Violence</t>
  </si>
  <si>
    <t>World Health Organization – WHO, World report on violence and health [Internet] (2002), https://apps.who.int/iris/bitstream/handle/10665/42495/9241545615_eng.pdf?sequence=1, WHO Geneva [Consultado 05 abr 2022]. Disponible en; Castro, R., Lozano, M.V., Violencia en la práctica médica en México: un caso de ambivalencia sociológica (2018) Estu Sociol, 36 (108), pp. 539-569; Saa, E.S.A., MAL, A., Acoso en estudiantes de pregrado y postgrado de la Facultad de Medicina de la Universidad Católica del Ecuador, 2018. Tesis de grado (2018), http://repositorio.puce.edu.ec/handle/22000/15412, Pontificia Universidad Católica del Ecuador [Consultado el 05 abr 2022]. Disponible en; Mejía, C.R., Quiñones-Laveriano, D.M., Chacón-Mostacero, J.I., Aguirre-Valenzuela, E.A., Heredia-Torres, L.P., Miñan-Tapia, A., Factores socioeducativos asociados a la percepción de maltrato en estudiantes de Medicina peruanos (2018) Educ Med Super [Internet], 32 (1). , http://www.ems.sld.cu/index.php/ems/article/view/1251, [Consultado 05 abr 2022]. Disponible en; American Medical Association – AMA, Diagnostic and treatment guidelines on elder abuse and neglect [Internet] (1992), http://tvfields.com/OtherLinks/AMAReport.pdf, AMA Chicago, Illinois [Consultado 06 sept 2022]. 42 p. Disponible en; Chung, M.P., Thang, C.K., Vermillion, M., Fried, J.M., Uijtdehaage, S., Exploring medical students’ barriers to reporting mistreatment during clerkships: a qualitative study (2018) Med Educ Online, 23 (1), p. 1478170; Munayco-Guillén, F., Cámara-Reyes, A., Muñoz-Tafur, L.J., Arroyo-Hernández, H., Mejía, C.R., Lem-Arce, F., et al, Características del maltrato hacia estudiantes de medicina de una universidad pública del Perú (2016) Rev Perú Med Exp Salud Pública, 33 (1), pp. 58-66; Achata-Espinoza, M., Muñoz-Dueñas, C.R., Cabrejos-Llontop, S., Toro-Huamanchumo, C.J., Spare the rod, spoil the child: bullying during medical internship in three Peruvian hospitals (2017) Rev Fac Med, 65 (1), pp. 169-170. , 10.15446/revfacmed.v65n1.62752, Disponible en; Sierra-Córdova, A., Cáceres, J.Z., Mejía, C.R., Maltrato asociado al acoso laboral a internos de medicina en hospitales peruanos (2019) Educ Med Super [Internet], 33 (4), pp. 37-50. , http://www.ems.sld.cu/index.php/ems/article/view/1720, [Consultado 05 abr 2022]. Disponible en; Arellano, W.A.R., Grycuk, T.R., De León, C.M.E.P., JJG, G., Maltrato en el pregrado de la Facultad de Medicina de la UNAM (2019) Inv Ed Med, 9 (34). , Disponible en; Bermeo, J.L., Castaño-Castrillón, J.J., López-Ramón, A., Téllez, D.C., Toro-Chica, S., Abuso académico a estudiantes de pregrado por parte de docentes de los programas de Medicina de Manizales, Colombia (2016) Rev Fac Med, 64 (1), pp. 9-19; Reyes, L.C.M., Sánchez, L.F.B., JMO, D., Caracterización del bullying en estudiantes de medicina de Tunja (2015) Boyacá Rev Vir Unv Cat Norte [Internet], 45, pp. 102-112. , http://revistavirtual.ucn.edu.co/index.php/RevistaUCN/article/view/659/1191, [Consultado 05 abr 2022]. Disponible en; Serrano, F.T., Mejía, C.R., Garnica, L., Lizcano-Gómez, A., Hernández-Caicedo, A.J., Avila, Y.C., Síndrome de Burnout según el año de estudio en estudiantes de medicina de ocho países de Latinoamérica, 2016-2017 (2020) CIMEL, 26 (1); Kulaylat, A.N., Qin, D., Sun, S.X., Hollenbeak, C.S., Schubart, J.R., Aboud, A.J., Perceptions of mistreatment among trainees vary at different stages of clinical training (2017) BMC Med Educ, 17 (1), p. 14; Lucey, C., Levinson, W., Ginsburg, S., Medical student mistreatment (2016) JAMA, 316 (21), pp. 2263-2264; Markman, J.D., Soeprono, T.M., Combs, H.L., Cosgrove, E.M., Medical student mistreatment: understanding «public humiliation» (2019) Med Educ Online, 24 (1), p. 1615367; Barret, J., Scott, K.M., Acknowledging medical students' reports of intimidation and humiliation by their teachers in hospitals (2018) J Paediatr Child Health, 54 (1), pp. 69-73; https://www.aamc.org/data/gq, Association of American Medical Colleges (AAMC). Medical School Graduation Questionnaire (GQ): 2020 All Schools Summary Report [Internet]. AAMC [Consultado 04 abr 2022]. Disponible en:; Pradhan, A., Buery-Joyner, S.D., Page-Ramsey, S., Bliss, S., Craig, L.B., Everett, E., To the point: undergraduate medical education learner mistreatment issues on the learning environment in the United States (2019) Am J Obstet Gynecol, 221 (5), pp. 377-382; Cook, A.F., Arora, V.M., Rasinski, K.A., Curlin, F.A., Yoon, J.D., The prevalence of medical student mistreatment and its association with Burnout (2014) Acad Med, 89 (5), pp. 749-754; Fleming, A.E., Smith, S., Mistreatment of medical trainees: time for a new approach (2018) JAMA Netw Open, 1 (3). , e180869; Mazer, L.M., Merrell, S.B., Hasty, B.N., Stave, C., Lau, J.N., Assessment of programs aimed to decrease or prevent mistreatment of medical trainees (2018) JAMA Netw Open, 1 (3). , e180870; Peres, M.F.T., Babler, F., Arakaki, J.N.L., Quaresma Do, V., Barreto De Ada, L., ATC, D.S., Mistreatment in an academic setting and medical students’ perceptions about their course in São Paulo, Brazil: a cross-sectional study (2016) Sao Paulo Med J, 134 (2), pp. 130-137; Angoff, N.R., Duncan, L., Roxas, N., Hansen, H., Power Day: addressing the use and abuse of power in medical training (2016) J Bioeth Inq, 13 (2), pp. 203-213; Siller, H., Tauber, G., Komlenac, N., Hochleitner, M., Gender differences and similarities in medical students' experiences of mistreatment by various groups of perpetrators (2017) BMC Med Educ, 17 (1), p. 134; Scott, K.M., Caldwell, P.H., Barnes, E.H., Barrett, J., «Teaching by humiliation» and mistreatment of medical students in clinical rotations: a pilot study (2015) Med J Aust, 203 (4), p. 185; Moreno-Tetlacuilo, L.M.A., Quezada-Yamamoto, H., Guevara-Ruiseñor, E.S., Ibarra-Araujo, N., Martínez-Gatica, N.L., Pedraza-Moreno R. Gender-based relations and mistreatment in medical schools: a pending agenda in Mexico and the world (2016) Gac Med Mex [Internet], 152, pp. 726-731. , http://www.anmm.org.mx/GMM/2016/n6_english/3095AX166_152_2016_UK6_726-731.pdf, [Consultado 04 abr 2022]. Disponible en; Xuan, P.A.H., Eliyapura, Y.D., Yung, L.C., Ravintheran, P., A survey on the mistreatment and belittlement experienced by medical students in a private medical college in Malaysia (2020) IJNHS [Internet], 7 (1), pp. 29-45. , http://www.openscienceonline.com/journal/archive2?journalId=719&amp;paperId=5315, [Consultado 04 abr 2020]. Disponible en; Parahoo, S.K., Harvey, H.L., Tamim, R.M., Factors influencing student satisfaction in universities in the Gulf region: does gender of students matter? (2013) J Mark High Educ, 23 (2), pp. 135-154; Akanni, D.W.M.M., Adjadohoun, S.B.M.G., Damien, B.G., Tognon-Tchegnonsi, F., Allode, A., Aubrege, A., Mistreatment of students and assciated factors in the faculty of medicine of Parakou in 2018 (2019) Pan Afr Med J, 34, p. 150</t>
  </si>
  <si>
    <t>Mejia, C.R.; Universidad ContinentalPeru; email: christian.mejia.md@gmail.com</t>
  </si>
  <si>
    <t>Elsevier Espana S.L.U</t>
  </si>
  <si>
    <t>Educ. Med.</t>
  </si>
  <si>
    <t>2-s2.0-85139861763</t>
  </si>
  <si>
    <t>Gil-León J.M., Cely-Acero J.P.</t>
  </si>
  <si>
    <t>57218297199;57927622700;</t>
  </si>
  <si>
    <t>Price Dynamics in the Departments of Colombia: Estimation of the Neo-Keynesian Phillips Curve [Dinámica de los precios en los departamentos de Colombia: estimación de la curva de Phillips neokeynesiana]</t>
  </si>
  <si>
    <t>Lecturas de Economia</t>
  </si>
  <si>
    <t>https://www.scopus.com/inward/record.uri?eid=2-s2.0-85139844013&amp;doi=10.17533%2fudea.le.n97a344963&amp;partnerID=40&amp;md5=b7f591808f286c4496d0a2941f8a8075</t>
  </si>
  <si>
    <t>Universidad Pedagógica y Tecnológica de Colombia, Escuela de Economía, Tunja, Colombia; Universidad Pedagógica y Tecnológica de Colombia, grupo CREPIB, Tunja, Colombia</t>
  </si>
  <si>
    <t>Gil-León, J.M., Universidad Pedagógica y Tecnológica de Colombia, Escuela de Economía, Tunja, Colombia; Cely-Acero, J.P., Universidad Pedagógica y Tecnológica de Colombia, grupo CREPIB, Tunja, Colombia</t>
  </si>
  <si>
    <t>This paper explains the dynamics of inflation in the departmental departments of Colombia between 2009-2019, estimating the Neo Keynesian Phillips curve (NKPC). There are differences in the formation of inflation and evidence that the NKPC allows describing a low probability of changes in prices for departments, mainly in the central zone of the country. The estimated coefficients support the importance of expected inflation on price formation, and less importantly the role of lagged inflation (persistence of inflation). This persistence of inflation is a reflection of structural rigidities, which reduce the ability of firms in one department to modify their prices in relation to others. These differences in the processes that determine the dynamics of inflation between departments have important implications for the conduct of monetary policy in Colombia. © 2022 Universidad de Antioquia. All rights reserved.</t>
  </si>
  <si>
    <t>departmental inflation; generalized method of moments; Neo Keynesian Phillips curve; sticky prices</t>
  </si>
  <si>
    <t>Arellano, M., Bond, S., Some Tests of Specification for Panel Data: Monte Carlo Evidence and an Application to Employment Equations (1991) The Review of Economic Studies, 58 (2), pp. 277-297. , https://doi.org/10.2307/2297968; Bejarano, J., Estimación estructural y análisis de la curva de Phillips neokeynesiana para Colombia (2005) Revista Ensayos Sobre Política Económica, 23 (48), pp. 64-117. , https://doi.org/10.32468/Espe.4802; Calvo, G. A., Staggered Prices in a Utility-Maximizing Framework (1983) Journal of Monetary Economics, 12 (3), pp. 383-398. , https://doi.org/10.1016/0304-3932(83)90060-0; Carlino, G., DeFina, R., The Differential Regional Effects of Monetary Policy (1998) Review of economics and statistics, 80 (4), pp. 572-587. , https://doi.org/10.1162/003465398557843; Céspedes, L. F., Ochoa, M., Soto, C., (2005) The New Keynesian Phillips Curve in an Emerging Market Economy: The Case of Chile [docummento de trabajo No. 355], , https://si2.bcentral.cl/public/pdf/documentos-trabajo/pdf/dtbc355.pdf, Banco Central de Chile; Chow, G. C., Lin, A.-l., Best Linear Unbiased Interpolation, Distribution, and Extrapolation of Time Series by Related Series (1971) The Review of Economics and Statistics, 53 (4), pp. 372-375. , https://doi.org/10.2307/1928739; Coen, R. M., Eisner, R., Marlin, J. T., Shah, S. N., The NAIRU and Wages in Local Labor Markets (1999) American Economic Review, 89 (2), pp. 52-57. , https://doi.org/10.1257/aer.89.2.52; Cogley, T., Sbordone, A. M., Trend Inflation, Indexation, and Inflation Persistence in the new Keynesian Phillips Curve (2008) American Economic Review, 98 (5), pp. 2101-2126. , https://doi.org/10.1257/aer.98.5.2101; Gran Encuesta Integrada de Hogares (GEIH), , https://microdatos.dane.gov.co/index.php/catalog/MICRODATOS/about_collection/23/1, (s.f). Consultado el 15 de noviembre de 2020; Índice de precios al consumidor, , https://www.dane.gov.co/index.php/estadisticas-por-tema/precios-y-costos/indice-de-precios-al-consumidor-ipc, (s.f.a). Consultado el 15 de noviembre de 2022; DiNardo, J., Moore, M. P., (1999) The Phillips Curve is Back? Using Panel Data to Analyze the Relationship Between Unemployment and Inflation in an Open Economy [NBER working paper No. 7328], , https://www.nber.org/papers/w7328, National Bureau of Economic Research; Fuhrer, J., Moore, G., Inflation Persistence (1995) The Quarterly Journal of Economics, 110 (1), pp. 127-159. , https://doi.org/10.2307/2118513; Fuhrer, J. C., The (Un) Importance of Forward-Looking Behavior in Price Specifications (1997) Journal of Money, Credit, and Banking, 29 (3), pp. 338-350. , https://doi.org/10.2307/2953698; Funke, M., Inflation in China: Modelling a Roller Coaster Ride (2006) Pacific Economic Review, 11 (4), pp. 413-429. , https://doi.org/10.1111/j.1468-0106.2006.00325.x; Galí, J., Gertler, M., Inflation Dynamics: A Structural Econometric Analysis (1999) Journal of Monetary Economics, 44 (2), pp. 195-222. , https://doi.org/10.1016/S0304-3932(99)00023-9; Galí, J., Gertler, M., López-Salido, J. D., European Inflation Dynamics (2001) European Economic Review, 45 (7), pp. 1237-1270. , https://doi.org/10.1016/S0014-2921(00)00105-7; Galí, J., Monacelli, T., Monetary Policy and Exchange Rate Volatility in A Small Open Economy (2005) The Review of Economic Studies, 72 (3), pp. 707-734. , https://doi.org/10.1111/j.1467-937X.2005.00349.x; Galvis, J. C., Estimación de la curva de Phillips neokeynesiana para Colombia: 1990-2006 (2010) Lecturas de Economía, (73), pp. 11-47. , https://doi.org/10.17533/udea.le.n73a7863; Gordon, RJ, La NAIRU: variable en el tiempo y sus implicaciones para la política económica (1997) Diario de Perspectivas Económicas, 11 (1), pp. 11-32; Ha, J., Fan, K., Shu, C., The Causes of Inflation and Deflation in Mainland China (2003) Hong Kong Monetary Authority Quarterly Bulletin, 30, pp. 23-31. , https://www.hkma.gov.hk/media/eng/publication-and-research/quarterly-bulletin/qb200309/fa3.pdf; Hansen, L. P., Large Sample Properties of Generalized Method of Moments Estimators (1982) Econometrica, 50 (4), pp. 1029-1054. , https://doi.org/10.2307/1912775; Hassler, U., Neugart, M., Inflation-Unemployment Tradeoff and Regional Labor Market Data (2003) Empirical Economics, 28 (2), pp. 321-334. , https://doi.org/10.1007/s001810200133; Hernández, C., Guerra, J. D., (2020) Evidencia empírica de la curva de Phillips neokeynesiana: un análisis para la economía colombiana para el periodo 2000-2019, , https://repository.eafit.edu.co/handle/10784/16309?show=full, [tesis de grado, Universidad EAFIT]; Leith, C., Malley, J., Estimated Open Economy New Keynesian Phillips Curves for The G7 (2007) Open Economies Review, 18 (4), pp. 405-426. , https://doi.org/10.1007/s11079-007-9008-x; Mavroeidis, S., Plagborg-Møller, M., Stock, J. H., Empirical Evidence on Inflation Expectations in the new Keynesian Phillips Curve (2014) Journal of Economic Literature, 52 (1), pp. 124-188. , https://doi.org/10.1257/jel.52.1.124; Mehrotra, A., Peltonen, T., Rivera, A. S., Modelling Inflation in China–A Regional Perspective (2010) China Economic Review, 21 (2), pp. 237-255. , https://doi.org/10.1016/j.chieco.2009.06.010; Mihailov, A., Rumler, F., Scharler, J., The Small Open-Economy New Keynesian Phillips Curve: Empirical Evidence and Implied Inflation Dynamics (2011) Open Economies Review, 22 (2), pp. 317-337. , https://doi.org/10.1007/s11079-009-9125-9; Mileva, E., Using Arellano-Bond Dynamic Panel Gmm Estimators in Stata (2007), https://www.studocu.com/row/document/university-of-mauritius/law-and-management/elitz-using-arellano-bond-gmmestimators/1633335, Tutorial with Examples using Stata 9.0 [working paper]; Misas, M., López-Enciso, E. A., Parra-Álvarez, J. C., La formación de precios en las empresas colombianas: evidencia a partir de una encuesta directa (2009) Borradores de Economía, 569. , https://www.banrep.gov.co/es/formacion-precios-las-empresas-colombianas-evidencia-partir-encuesta-directa; Neiss, K. S., Nelson, E., Inflation Dynamics, Marginal Cost, and The Output Gap: Evidence from Three Countries (2005) Journal of Money, Credit and Banking, 37 (6), pp. 1019-1045. , https://www.jstor.org/stable/3839026; Quintero, J. D., Impactos regionales y sectoriales de la política monetaria en Colombia (2019) Cuadernos de Economía, 38 (76), pp. 259-288. , https://doi.org/10.15446/cuad.econ.v38n76.62538; Ramos, M., Torres, A., Inflation Dynamics in Mexico: A Characterization Using The New Phillips Curve (2008) The North American Journal of Economics and Finance, 19 (3), pp. 274-289. , https://doi.org/10.1016/j.najef.2008.04.001; Ravenna, F., Walsh, C. E., Optimal Monetary Policy with the Cost Channel (2006) Journal of Monetary Economics, 53 (2), pp. 199-216. , https://doi.org/10.1016/j.jmoneco.2005.01.004; Roberts, J. M., New Keynesian Economics and The Phillips Curve (1995) Journal of Money, Credit and Banking, 27 (4), pp. 975-984. , https://doi.org/10.2307/2077783; Roberts, J. M., How Well Does the New Keynesian Sticky-Price Model Fit the Data? (2005) The B. E. Journal of Macroeconomics, 5 (1). , https://doi.org/10.2202/1534-6005.1206; Romero, J., (2008) Transmisión regional de la política monetaria en Colombia [documentos de trabajo sobre economía regional, No. 107], , https://www.banrep.gov.co/sites/default/files/publicaciones/archivos/DTSER-107.pdf, Banco de la República; Roodman, D., A Note on the Theme of Too Many Instruments (2009) Oxford Bulletin of Economics and Statistics, 71 (1), pp. 135-158. , https://doi.org/10.1111/j.1468-0084.2008.00542.x; Rudd, J., Whelan, K., New Tests of the New-Keynesian Phillips Curve (2005) Journal of Monetary Economics, 52 (6), pp. 1167-1181. , https://doi.org/10.1016/j.jmoneco.2005.08.006; Rudd, J., Whelan, K., Modeling Inflation Dynamics: A Critical Review of Recent (2007) Journal of Money, Credit and Banking, 39, pp. 155-170. , https://doi.org/10.1111/j.1538-4616.2007.00019.x, (S1); Rudebusch, G. D., Assessing Nominal Income Rules for Monetary Policy with Model and Data Uncertainty (2002) The Economic Journal, 112 (479), pp. 402-432. , https://doi.org/10.1111/1468-0297.00036; Rumler, F., Estimates of the Open Economy New Keynesian Phillips Curve for Euro Area Countries (2007) Open Economies Review, 18 (4), pp. 427-451. , https://doi.org/10.1007/s11079-007-9028-6; Sargan, J. D., The Estimation of Economic Relationships Using Instrumental Variables (1958) Econometrica, 26 (3), pp. 393-415. , https://doi.org/10.2307/1907619; Saygili, H., Sectoral inflationary dynamics: cross-country evidence on the Open Economy New Keynesian Phillips Curve (2020) Review of World Economics, 156 (1), pp. 75-101. , https://doi.org/10.1007/s10290-019-00340-7; Sbordone, A. M., Prices and Unit Labor Costs: A New Test of Price Stickiness (2002) Journal of Monetary Economics, 49 (2), pp. 265-292. , https://doi.org/10.1016/S0304-3932(01)00111-8; Sbordone, A. M., Do Expected Future Marginal Costs Drive Inflation Dynamics? (2005) Journal of Monetary Economics, 52 (6), pp. 1183-1197. , https://doi.org/10.1016/j.jmoneco.2005.08.010; Scheibe, J., Vines, D., (2005) A Phillips Curve for China, , https://papers.ssrn.com/sol3/papers.cfm?abstract_id=770244, [CEPR discussion paper No. 4957]; Urrutia, M., Pontón, A., Esteban-Posada, C., Reyes, C., El crecimiento económico colombiano en el siglo XX: aspectos globales (1999) Borradores de Economía, (134). , https://repositorio.banrep.gov.co/handle/20.500.12134/5152; Vaona, A., Ascari, G., Regional Inflation Persistence: Evidence from Italy (2012) Regional Studies, 46 (4), pp. 509-523. , https://doi.org/10.1080/00343404.2010.505913; Vasicek, B., Inflation Dynamics and the New Keynesian Phillips Curve in Four Central European Countries (2011) Emerging Markets Finance and Trade, 47 (5), pp. 71-100. , https://doi.org/10.2753/REE1540-496X470504; Wardhono, A., Nasir, M. A., Qori’ah, C. G., Indrawati, Y., Krishnabudi, N. G., (2018) Estimated New Keynesian Phillips Curves (Nkpc) Model in Dynamic Inflation Based on Panel Data Perspective in ASEAN [conferencia], , https://repository.unej.ac.id/handle/123456789/89097; Yesilyurt, F., Elhorst, J. P., A Regional Analysis of Inflation Dynamics in Turkey (2014) The Annals of regional science, 52 (1), pp. 1-17. , https://doi.org/10.1007/s00168-013-0570-4</t>
  </si>
  <si>
    <t>Universidad de Antioquia</t>
  </si>
  <si>
    <t>Lect. Econ.</t>
  </si>
  <si>
    <t>2-s2.0-85139844013</t>
  </si>
  <si>
    <t>Colón Llamas L.C., Rodríguez A.P.</t>
  </si>
  <si>
    <t>57915709400;57915709500;</t>
  </si>
  <si>
    <t>Digitize, Georeference, Visualize and Narrate the City. Land Uses and Urban Order: Bogotá, 1894 [Digitalizar, georreferenciar, visualizar e narrar a cidade. Usos da terra e ordem urbana: Bogotá, 1894] [Digitalizar, georreferenciar, visualizar y narrar la ciudad. Usos del suelo y orden urbano: Bogotá, 1894]</t>
  </si>
  <si>
    <t>Territorios</t>
  </si>
  <si>
    <t>10.12804/revistas.urosario.edu.co/territorios/a.11785</t>
  </si>
  <si>
    <t>https://www.scopus.com/inward/record.uri?eid=2-s2.0-85139240587&amp;doi=10.12804%2frevistas.urosario.edu.co%2fterritorios%2fa.11785&amp;partnerID=40&amp;md5=31de2e9e87611c1090c74db25ceffe02</t>
  </si>
  <si>
    <t>Universidad Nacional de Colombia - Sede Bogotá, Colombia; La-boratorio digital de Arquitectura y Urbanismo, Universidad Nacional de Colombia, Colombia</t>
  </si>
  <si>
    <t>Colón Llamas, L.C., Universidad Nacional de Colombia - Sede Bogotá, Colombia; Rodríguez, A.P., La-boratorio digital de Arquitectura y Urbanismo, Universidad Nacional de Colombia, Colombia</t>
  </si>
  <si>
    <t>The article aims to reflect on the humanities, spatial history and some experiences that have combined data, old maps and digital systems for the georeferencing of sources and their visualization on maps. It is argued that these tools and their use in spatial history have great potential to enrich the understanding of the history of the city, not only from the new possibilities in the management and organization of sources, but also through the forms of analysis and collaboration that allow the new scenarios of spatial narratives. This shows both the methodological paths that these tools have opened, as well as the future challenges that they pose to those who want to use them. © 2022 Universidad del Rosario. All rights reserved.</t>
  </si>
  <si>
    <t>Digital humanities; geographic information systems; history of Bogotá; spatial history</t>
  </si>
  <si>
    <t>Arias Hernández, L., (2019) Catálogo del fondo Ministerio de Justicia, , https://repositorio.uptc.edu.co/bitstream/001/2747/1/TGT_1363.pdf, Archivo General de la Nación. 1891-1894 [Tesis de pregrado, Universidad Pedagógica y Tecnológica de Colombia]. Repositorio Universidad Pedagógica y Tecnológica de Colombia; Baics, G., Meisterlin, L., Zoning before zoning: Land use and density in mid-nineteenth-century New York City (2016) Annals of the American Association of Geographers, 106 (5), pp. 1152-1175. , https://doi.org/10.1080/24694452.2016.1177442; Bodenhamer, D., Corrigan, J., Harris, T., (2015) Deep maps and spatial narratives, , Indiana University Press; Bodenhamer, D., Corrigan, J., Harris, T., (2010) The Spatial Humanities: gis and the Future of Humanities Scholarship, , (Eds). Indiana University Press; Briceño, I. J., (2015) Inventario cartográfico del plano topográfico de Bogotá levantado por Carlos Clavijo en 1891 y reformado en 1894, , https://repository.udistrital.edu.co/handle/11349/4895, [Tesis de pregrado, Universidad Distrital Francisco José de Caldas]. Repositorio Institucional Universidad Distrital; Calvo, I., Saade, I., (2002) La ciudad en cuarentena. Chicha, patología y profilaxis, , Ministerio de Cultura; Clavijo, R., (1891) Plano topográfico de Bogotá [Manuscrito], , C. Museo de Bogotá; Clavijo, R., Planos topográficos de Bogotá [Manuscrito], , C. (1891, 1891b, 1894). Museo de Bogotá; Clavijo, R., Plano topográfico de Bogotá [Archivo General de la Nación. Sección mapas y planos] (1894), 3, p. 145. , C. Mapoteca, Ref; Colón Llamas, L., Ingeniería, medicina y urbanismo: el papel de las ideas higienistas en los cambios urbanos de Bogotá en la primera mitad del siglo xx (2018) La hegemonía conservadora, , En R. Sierra (Ed), Universidad Nacional de Colombia; Farfán, J., (2020) Una ciudad al occidente: tejidos, urbanizaciones y barrios obreros en Bogotá, , Universidad Nacional de Colombia; Universidad del Rosario; Gallini, S., Osorio, C. C., Modernity and the silencing of nature in Nineteenth-century maps of Bogotá (2015) JournalofLatinAmericanGeography, 14 (3), pp. 91-125; Guan, W. W., Bol, P. K., Lewis, B. G., Bertrand, M., Berman, M. L., Blossom, J. C., WorldMap–a geospatial framework for collaborative research (2012) Annals of gis, 18 (2), pp. 121-134. , https://doi.org/10.1080/19475683.2012.668559; Knowles, A. K., Introduction (2000) Social Science History, 24 (3), pp. 451-470. , http://www.jstor.org/stable/1171608; Knowles, A. K., (2008) Placing History. How maps, spatial data and gis are changing historical scholarship, , (Ed). esRi Press; Lorenzo, M. D., Chávez, T., Ludlow, T., (2021) Los negocios y su dimensión espacial. La Ciudad de México en el directorio comercial de Jerónimo Figueroa Domenéch, 1899, , El Colegio Mexiquense; Instituto de Investigaciones Históricas, unAm; Martínez Ruiz, E., (2018) Quinta Sión: los judíos y la conformación del espacio urbano de Bogotá, , Pontificia Universidad Javeriana; Mejía Pavony, G., (1999) Los años del cambio. Historia urbana de Bogotá.1820-1910, , Pontificia Universidad Javeriana; Moreno, R., (2019) La ciudad de los enchichados, , Fundación para el desarrollo audiovisual y cultural El Criollo Producciones; Piccinato, G., (1993) La construcción de la urbanística. Alemania, 1871-1914, , Oikos; Tau; Picón Rodríguez, A., Cuadros, M., Introducción a Map Warper (2020) Revue Dhistoire Moderne Contemporaine, 4 (5), pp. 111-126. , https://www.cairn.info/revue-d-histoire-moderne-et-contemporaine-2011-5-page-111.htm, ProgrammingHistorianenEspañol, https://doi.org/10.46430/phes0048 Pinol, J. L. (2011). Les systèmes d’information géographique et la pratique de l’histoire; Rau, S., Ekkehard, E. S., (2014) Mapping spatial relations, their perceptions and dynamics: The city today and in the past, , Springer; (1890) Catastro de la Provincia de Bogotá y algunas provincias más del Departamento, , Imprenta Nacional; Rivadeneira, R., (2010) Macrocosmum Car-to-graphica: el arte de la cartografía, , Universidad Nacional de Colombia; Rojas Chávez, M. A., (2017) Sistematización de experiencias en la Biblioteca Nacional de Colombia, , https://ciencia.lasalle.edu.co/negocios_relaciones/66, Universidad de La Salle; Salgado, C., (1893) Directorio general de Bogotá, , https://babel.banrepcultural.org/digital/collection/p17054coll10/id/4084/, Banco de la República; Siebert, L., Using gis to document, visualize, and interpret Tokyo’s spatial history (2000) Social Science History, 24 (3), pp. 537-574. , https://doi.org/10.1017/S0145553200010294; Sonvilla-Weiss, S., (2010) Mashup cultures, , (Ed). Springer; Uribe Álvarez, A., (2020) Las Nieves mil ochocientos noventa y tres [Tesis de maestría, Universidad Nacional De Colombia], , https://repositorio.unal.edu.co/handle/unal/79023?show=full, Repositorio Universidad Nacional de Colombia; Vallejo, F., (2008) Almas en pena, chapolas negras, , Alfaguara; White, R., What is spatial history? (2010) Spatial History Lab, 1. , https://web.stanford.edu/group/spatialhistory/media/images/publication/what%20is%20spatial%20history%20pub%20020110.pdf; Woods, C., Simpkin, S., Brodeur, J., Leahey, A., Beard, C., Janzen, S., Historical map digitization in libraries: Collaborative approaches for large map series (2016) Association of CanadianMapLibrariesandArchives, Bulletin, 152, p. 11. , https://ir.lib.uwo.ca/wlpub/48/</t>
  </si>
  <si>
    <t>Universidad del Rosario</t>
  </si>
  <si>
    <t>2-s2.0-85139240587</t>
  </si>
  <si>
    <t>Walteros-Torres I., Palacios-Pacheco S., Cely G.E., Serrano P.A., Moreno-Pérez D.</t>
  </si>
  <si>
    <t>57884556900;57884309000;57885052900;57208760326;57884807900;</t>
  </si>
  <si>
    <t>Influence of land use change on soil organic carbon stocks in the Parque Natural Regional Cortadera, Boyacá (Colombia) [Influencia del cambio de uso del suelo sobre las reservas de carbono orgánico en el Parque Natural Regional Cortadera, Boyacá (Colombia)]</t>
  </si>
  <si>
    <t>Revista U.D.C.A Actualidad and Divulgacion Cientifica</t>
  </si>
  <si>
    <t>e1846</t>
  </si>
  <si>
    <t>10.31910/rudca.v25.n2.2022.1846</t>
  </si>
  <si>
    <t>https://www.scopus.com/inward/record.uri?eid=2-s2.0-85137663880&amp;doi=10.31910%2frudca.v25.n2.2022.1846&amp;partnerID=40&amp;md5=af602fc3c365cb459cbb17a5e45ceae6</t>
  </si>
  <si>
    <t>Universidad Pedagógica y Tecnológica de Colombia, UPTC, Grupo de Investigación en Desarrollo y Producción Agraria Sostenible, GIPSO, Boyacá, Tunja, Colombia; Universidad Pedagógica y Tecnológica de Colombia, UPTC, Boyacá, Tunja, Colombia</t>
  </si>
  <si>
    <t>Walteros-Torres, I., Universidad Pedagógica y Tecnológica de Colombia, UPTC, Grupo de Investigación en Desarrollo y Producción Agraria Sostenible, GIPSO, Boyacá, Tunja, Colombia; Palacios-Pacheco, S., Universidad Pedagógica y Tecnológica de Colombia, UPTC, Grupo de Investigación en Desarrollo y Producción Agraria Sostenible, GIPSO, Boyacá, Tunja, Colombia; Cely, G.E., Universidad Pedagógica y Tecnológica de Colombia, UPTC, Boyacá, Tunja, Colombia; Serrano, P.A., Universidad Pedagógica y Tecnológica de Colombia, UPTC, Boyacá, Tunja, Colombia; Moreno-Pérez, D., Universidad Pedagógica y Tecnológica de Colombia, UPTC, Grupo de Investigación en Desarrollo y Producción Agraria Sostenible, GIPSO, Boyacá, Tunja, Colombia</t>
  </si>
  <si>
    <t>The paramos accumulate high stocks of soil organic carbon (SOC), influenced by the climatic and biogeochemical conditions of the ecosystem. However, their progressive conversion to crops, livestock, or mining has a direct impact on the SOC stocks. To determine the effect of land use change on the variability of SOC stocks, monitoring of SOC content was conducted between the years 2013, 2018, and 2020 in the Parque Natural Regional Cortadera. Permanent sampling plots (PPS) located under three different land uses were studied: conserved, recovering, and intervened. To do so, samples of soil organic carbon and bulk density at two depths were analyzed (0-15 cm and 15-30 cm). The conserved PPS showed the highest SOC contents, with maximum values of 290.37; 199.22, and 257.5 tC ha-1 for each of the years under study; follow by the recovery PPM that presented COS values of 215.3 tC ha-1 in 2020, in contrast to the intervened PSP that showed minimum contents of 15.50; 34.01 and 88.06 tC ha-1. Furthermore, the highest SOC contents were found at 15-30 cm depth. These factors emphasize the importance of carrying out actions focused on protecting strategic ecosystems such as paramos, taking into account the continuous threats related to the transformation of the landscape and, consequently, the possibility of providing ecosystem functions and services related to carbon capture and climate regulation. © 2022 by the Author(s).</t>
  </si>
  <si>
    <t>Ecosystem services; Environmental Monitoring; Land use change; Organic carbon; Paramo</t>
  </si>
  <si>
    <t>BREMER, L.L., FARLEY, K.A., CHADWICK, O.A., HARDEN, C.P., Changes in carbon storage with land management promoted by payment for ecosystem services (2016) Environmental Conservation, 43 (4), pp. 397-406; CALDERÓN, M., ROMERO-SALTOS, H., CUESTA, F., PINTO, E., BAEZ, S., (2013) Monitoreo de contenidos y flujos de carbono en gradientes altitudinales, p. 64. , CONDESAN COSUDE (Quito-Ecuador); CÁRDENAS, M.F., TOBÓN, C., Recuperación del funcionamiento hidrológico de ecosistemas de páramo en Colombia (2017) Revista U.D.C.A Actualidad &amp; Divulgación Científica, 20 (2), pp. 403-412. , https://doi.org/10.31910/rudca.v20.n2.2017.381; CARVAJAL, A.F., FEIJOO, A., QUINTERO, H., RONDON, M.A., Carbono orgánico del suelo en diferentes usos del terreno de paisajes andinos colombianos (2009) Ciencia del Suelo y Nutrición Vegetal, 9 (3), pp. 222-235. , http://dx.doi.org/10.4067/S0718-27912009000300005; CASTAÑEDA-MARTÍN, A.E., MONTES-PULIDO, C.R., Carbono almacenado en páramo andino (2017) Entramado, 13 (1), pp. 210-221. , https://doi.org/10.18041/entramado.2017v13n1.25112; CAVIGLIA, O.P., WINGEYER, A.B., NOVELLI, L.E., El rol de los suelos agrícolas frente al cambio climático (2016) Serie de Extensión INTA Paraná, 78, pp. 27-32; CERRI, C.E.P., SPAROVEK, G., BERNOUX, M., EASTERLING, W.E., MELILLO, M., CERRI, C.C., Tropical agriculture and global warming: impact and mitigation options (2007) Scientia Agricola, 64, pp. 83-99. , https://doi.org/10.1590/S0103-90162007000100013; CUNALATA, C., INGA, C., ALVAREZ, G., RECALDE, C., ECHEVERRÍA, M., Determinación de carbono orgánico total presente en el suelo y la biomasa de los páramos de las comunidades del chimborazo y shobol llinllin en Ecuador (2013) Boletín Del Grupo Español Del Carbón, 27 (27), pp. 10-13; CURIEL YUSTE, J., HEREŞ, A.-M., OJEDA, G., PAZ, A., PIZANO, C., GARCÍA-ANGULO, D., LASSO, E., Soil heterotrophic CO2 emissions from tropical high-elevation ecosystems (Páramos) and their sensitivity to temperature and moisture fluctuations (2017) Soil Biology and Biochemistry, 110, pp. 8-11. , https://doi.org/10.1016/j.soilbio.2017.02.016; DAZA TORRES, M., HERNÁNDEZ FLÓREZ, F., TRIANA, F., Efecto del uso del suelo en la capacidad de almacenamiento hídrico en el Páramo de Sumapaz - Colombia (2014) Revista Facultad Nacional de Agronomía Medellín, 67 (1), pp. 7189-7200. , https://doi.org/10.15446/rfnam.v67n1.42642; DE SOUZA BARROS, D.E.S., Contribuições da matéria orgânica do solo para mitigar as emissões agrícolas de gases de efeito estufa (2013) Polêm!ca, 12 (2), pp. 341-351. , https://doi.org/10.12957/polemica.2013.6436; DON, A., SCHUMACHER, J., FREIBAUER, A., Impact of tropical land‐use change on soil organic carbon stocks - a meta‐analysis (2011) Global Change Biology, 17 (4), pp. 1658-1670. , https://doi.org/10.1111/j.1365-2486.2010.02336.x; ELLERT, B.H., BETTANY, J.R., Calculation of organic matter and nutrients stored in soils under contrasting management regimes (1995) Canadian Journal of Soil Science, 75 (4), pp. 529-538. , https://doi.org/10.4141/cjss95-075; ESTUPIÑAN, L.H., GÓMEZ, J.E., BARRANTES, V.J., LIMAS, L.F., Efecto de actividades agropecuarias en las características del suelo en el páramo el Granizo, (Cundinamarca - Colombia) (2009) Revista U.D.C.A Actualidad &amp; Divulgación Científica, 12 (2), pp. 79-89. , https://doi.org/10.31910/rudca.v12.n2.2009.694; FERNÁNDEZ-PÉREZ, C., CELY REYES, G.E, SERRANO, P.A., Cuantificación de la captura de carbono y análisis de las propiedades del suelo en coberturas naturales y una plantación de pino en el páramo de Rabanal, Colombia (2019) Cuadernos de Geografía: Revista Colombiana de Geografía, 28 (1), pp. 121-133. , https://doi.org/10.15446/rcdg.v28n1.66152; FORERO ULLOA, F.E., CELY REYES, G.E., PALACIOS PACHECO, L.S., (2015) Dinámica del páramo como espacio para la captura de carbono, p. 144. , Universidad Pedagógica y Tecnológica de Colombia UPTC (Tunja, Colombia); GONZÁLEZ-MOLINA, L., ETCHEVERS-BARRA, J.D., HIDALGO-MORENO, C., Carbon in hillsides soil: Factors that must be considered to determine its change over time (2008) Agrociencia, 42 (7), pp. 741-751; GUTIÉRREZ, J., ORDOÑEZ, N., BOLÍVAR, A., BUNNING, S., GUEVARA, M., MEDINA, E., OLIVERA, C., VARGAS, R., Estimación del carbono orgánico en los suelos de ecosistema de páramo en Colombia (2020) Ecosistemas, 29 (1), p. 1855. , https://doi.org/10.7818/ECOS.1855; (2017) Tercera comunicación nacional de Colombia a la convención marco de las naciones unidas sobre cambio climático (CMNUCC), , INSTITUTO DE HIDROLOGÍA, METEOROLOGÍA Y ESTUDIOS AMBIENTALES, IDEAM; PROGRAMA DE LAS NACIONES UNIDAS PARA EL DESARROLLO, PNUD; MINISTERIO DE AMBIENTE Y DESARROLLO SOSTENIBLE, MADS; DEPARTAMENTO NACIONAL DE PLANEACIÓN, DNP; CANCILLERÍA. Puntoaparte. 37p; (2018) Identificación de la hoja de ruta y procedimientos para la estimación del contenido de carbono orgánico en suelos de páramos y humedales, p. 150. , INSTITUTO GEOGRÁFICO AGUSTÍN CODAZZI, IGAC. Instituto de Investigación de Recursos Biológicos Alexander von Humboldt; (2020) El cambio climático y la tierra, , www.ipcc.ch, Disponible desde Internet en; LIS-GUTIÉRREZ, M., RUBIANO-SANABRIA, Y., LOAIZA-USUGA, J.C., Soils and land use in the study of soil organic carbon in Colombian highlands catena (2019) Auc Geographica, 54 (1), pp. 15-23. , https://doi.org/10.14712/23361980.2019.2; MACDICKEN, K.G., (1997) A guide to monitoring carbon storage in forestry and agroforestry projects. Forest carbon monitoring program, p. 87. , Winrock International Institute for Agricultural Development; MASCIANDARO, G., MACCI, C., PERUZZI, E., DONI, S., Soil Carbon in the World: Ecosystem Services Linked to Soil Carbon in Forest and Agricultural Soils (2018) The Future of Soil Carbon, pp. 1-38. , https://doi.org/10.1016/B978-0-12-811687-6.00001-8, García, C.; Nannipieri, P.; Hernandez, T. (eds). Elsevier; (2015) Plan Nacional de Restauración: restauración ecológica, rehabilitación y recuperación de áreas disturbadas, p. 92. , Ministerio de Ambiente y Desarrollo Sostenible (Bogotá, D.C., Colombia); MORALES RIVAS, M., OTERO GARCIA, J., HAMMEN, T.V.D., TORRES PERDIGÓN, A., CADENA VARGAS, C.E., PEDRAZA PEÑALOZA, C.A., RODRIGUEZ ERAZO, N., CARDENAS VALENCIA, L., (2007) Atlas de páramos de Colombia, p. 210. , Instituto de Investigación de Recursos Biológicos Alexander von Humboldt (Bogotá, Colombia); OLSON, K.R., AL-KAISI, M.M., The importance of soil sampling depth for accurate account of soil organic carbon sequestration, storage, retention and loss (2015) Catena, 125, pp. 33-37. , https://doi.org/10.1016/j.catena.2014.10.004; (2020) A protocol for measurement, monitoring, reporting and verification of soil organic carbon in agricultural landscapes – GSOC-MRV Protocol, p. 140. , https://doi.org/10.4060/cb0509en, ORGANIZACIÓN DE LAS NACIONES UNIDAS PARA LA ALIMENTACIÓN Y LA AGRICULTURA, FAO. FAO (Rome); PADBHUSHAN, R., KUMAR, U., SHARMA, S., RANA, D.S., KUMAR, R., KOHLI, A., KUMARI, P., GUPTA, V.V.S.R., Impact of Land-Use Changes on Soil Properties and Carbon Pools in India: A Meta-analysis (2022) Frontiers in Environmental Science, 9, p. 794866. , https://doi.org/10.3389/fenvs.2021.794866; PATIÑO, S., HERNÁNDEZ, Y., PLATA, C., DOMÍNGUEZ, I., DAZA, M., OVIEDO-OCAÑA, R., BUYTAERT, W., OCHOA-TOCACHI, B.F., Influence of land use on hydro-physical soil properties of Andean páramos and its effect on streamflow buffering (2021) CATENA, 202, p. 105227. , https://doi.org/10.1016/j.catena.2021.105227; QUICHIMBO, P., TENORIO, G., BORJA, P., CÁRDENAS, I., CRESPO, P., CÉLLERI, R., Efectos sobre las propiedades físicas y químicas de los suelos por el cambio de la cobertura vegetal y uso del suelo: páramo de Quimsacocha al sur del Ecuador (2012) Suelos Ecuatoriales, 42 (2), pp. 138-153; RÜGNITZ, M.T., CHACÓN, M.L., PORRO, R., (2009) Guía para la determinación de carbono en pequeñas propiedades rurales, p. 90. , Centro Mundial Agroforestal, Consorcio Iniciativa Amazónica (Lima, Perú); SALVO, L., BAYER, C., Balance de Gases de Efecto Invernadero en suelos agrícolas de secano (2014) Cangüé, 35, pp. 7-14; STOCKMANN, U., ADAMS, M.A., CRAWFORD, J.W., FIELD, D.J., HENAKAARCHCHI, N., JENKINS, M., MINASNY, B., ZIMMERMANN, M., The knowns, known unknowns and unknowns of sequestration of soil organic carbon (2013) Agriculture, Ecosystems and Environment, 164, pp. 80-99. , http://dx.doi.org/10.1016/j.agee.2012.10.001; SYLVESTER, S.P., HEITKAMP, F., SYLVESTER, M.D.P.V., JUNGKUNST, H.F., SIPMAN, H.J.M., TOIVONEN, J.M., GONZALES INCA, C.A., KESSLER, M., Relict high-Andean ecosystems challenge our concepts of naturalness and human impact (2017) Scientific Reports, 7 (1), p. 3334. , https://doi.org/10.1038/s41598-017-03500-7; THOMPSON, J.B., ZURITA-ARTHOS, L., MÜLLER, F., CHIMBOLEMA, S., SUÁREZ, E., Land use change in the Ecuadorian páramo: The impact of expanding agriculture on soil carbon storage (2021) Arctic, Antarctic, and Alpine Research, 53 (1), pp. 48-59. , https://doi.org/10.1080/15230430.2021.1873055; VISCONTI, F., DE PAZ, J.M., Estimación de la capacidad potencial de secuestro y emisión de CO2 de los suelos agrícolas de la Comunidad Valenciana (2017) Ecosistemas Revista Científica de Ecología y Medio Ambiente, 26 (1), pp. 91-100. , https://doi.org/10.7818/ECOS.2017.26-1.15; ZHANG, Z., ZHOU, Y., WANG, S., HUANG, X., Estimation of soil organic carbon storage and its fractions in a small karst watershed (2018) Acta Geochimica, 37 (1), pp. 113-124. , https://doi.org/10.1007/s11631-017-0164-4; ZHU, G., SHANGGUAN, Z., DENG, L., Dynamics of water-stable aggregates associated organic carbon assessed from delta C-13 changes following temperate natural forest development in China (2021) Soil and Tillage Research, 205, p. 104782. , https://doi.org/10.1016/j.still.2020.104782; ZIMMERMANN, M., MEIR, P., SILMAN, M.R., FEDDERS, A., GIBBON, A., MALHI, Y., URREGO, D.H., ZAMORA, F., No differences in soil carbon stocks across the tree line in the Peruvian Andes (2010) Ecosystems, 13 (1), pp. 62-74. , https://doi.org/10.1007/s10021-009-9300-2; ZÚÑIGA-ESCOBAR, O., PEÑA-SALAMANCA, E.J., TORRES-GONZÁLEZ, A.M., CUERO-GUEPENDO, R., PEÑA-ÓSPINA, J.A., Assessment of the impact of anthropic activities on carbon storage in soils of high montane ecosystems in Colombia (2013) Agronomía Colombiana, 31 (1), pp. 112-119</t>
  </si>
  <si>
    <t>Walteros-Torres, I.; Universidad Pedagógica y Tecnológica de Colombia, Boyacá, Colombia; email: ingrid.walteros@uptc.edu.co</t>
  </si>
  <si>
    <t>Universidad de Ciencias Aplicadas y Ambientales U.D.C.A</t>
  </si>
  <si>
    <t>Revista. Actual. Divulgacion. Cient.</t>
  </si>
  <si>
    <t>2-s2.0-85137663880</t>
  </si>
  <si>
    <t>Cleves A., Youkhana E., Toro J.</t>
  </si>
  <si>
    <t>56167717700;8538578400;57872554800;</t>
  </si>
  <si>
    <t>https://www.scopus.com/inward/record.uri?eid=2-s2.0-85137178482&amp;doi=10.3390%2fsu14148588&amp;partnerID=40&amp;md5=841a415e13b2379606f8f6ba04b05113</t>
  </si>
  <si>
    <t>Facultad Seccional Duitama, Escuela de Administración de Empresas Agropecuarias, Universidad Pedagógica y Tecnológica de Colombia (U.P.T.C.), Duitama, 150468, Colombia; Center for Development Research (ZEF) ZEF A, Department of Political and Cultural Change, University of Bonn, Bonn, 53113, Germany; Instituto de Estudios Ambientales, Universidad Nacional de Colombia, Bogotá, 111321, Colombia</t>
  </si>
  <si>
    <t>Cleves, A., Facultad Seccional Duitama, Escuela de Administración de Empresas Agropecuarias, Universidad Pedagógica y Tecnológica de Colombia (U.P.T.C.), Duitama, 150468, Colombia; Youkhana, E., Center for Development Research (ZEF) ZEF A, Department of Political and Cultural Change, University of Bonn, Bonn, 53113, Germany; Toro, J., Instituto de Estudios Ambientales, Universidad Nacional de Colombia, Bogotá, 111321, Colombia</t>
  </si>
  <si>
    <t>Agroecosystems are influenced by climate variability, which puts their productivity at risk. However, they tend to maintain a functional state through their resilience. The literature presents several methods for assessing general resilience, but for specific resilience to climate variability, there are very few methods. An index is proposed that assesses the resilience of agroecosystems to climate variability, based on approaches and indicators that consider the interrelationships of agricultural systems with the environment. The index is made up of a set of multidimensional indicators, which give weight to the role that these play in the resilience of an agroecosystem. As a result, decision-making is assisted in the attempt to adapt or modify components of a farm, technology, and the culture of farmers. This index conceptually introduces structural and linkage indicators that assess ecological connections within farms and between farms and their environment. To demonstrate the effectiveness of the method, an application was implemented to evaluate the resilience to climate variability of fifty-one farms, located in Colombia, dedicated to citrus production, and it was verified that the most resilient farms were those that have the best qualified indicators, as well as being the ones with the highest level of production and profitability. © 2022 by the authors.</t>
  </si>
  <si>
    <t>agroecosystems; climatic variability; index; resilience indicators</t>
  </si>
  <si>
    <t>agricultural ecosystem; climate variation; productivity; resilience; Colombia</t>
  </si>
  <si>
    <t>13129; Rheinische Friedrich-Wilhelms-Universität Bonn, Uni Bonn; Zentrum für Entwicklungsforschung, Rheinische Friedrich-Wilhelms-Universität Bonn, ZEF</t>
  </si>
  <si>
    <t>This research was funded by Universidad Pedagógica y Tecnológica de Colombia and Universidad Nacional de Colombia, Bogotá (Project Code Hermes: 13129), and the APC was funded by The Center for Development Research (ZEF), an institute of the University of Bonn, Germany.</t>
  </si>
  <si>
    <t>Ochieng, J., Kirimi, L., Mathenge, M., Effects of climate variability and change on agricultural production: The case of small scale farmers in Kenya (2016) NJAS-Wagening. J. Life Sci, 77, pp. 71-78; Lemi, T., Effects of Climate Change Variability on Agricultural Productivity (2019) Int. J. Environ. Sci. Nat. Resour, 17, p. 555953; Kang, Y., Khan, S., Ma, X., Climate change impacts on crop yield, crop water productivity and food security—A review (2009) Prog. Nat. Sci, 19, pp. 1665-1674; Kukal, M.S., Irmak, S., Climate-Driven Crop Yield and Yield Variability and Climate Change Impacts on the U.S. Great Plains Agricultural Production (2018) Sci. Rep, 8, p. 3450; Nelson, G.C., Valin, H., Sands, R.D., Havlík, P., Ahammad, H., Deryng, D., Elliott, J., Heyhoe, E., Climate change effects on agriculture: Economic responses to biophysical shocks (2014) Proc. Natl. Acad. Sci. USA, 111, pp. 3274-3279; Cleves Leguízamo, J.A., Martínez Bernal, L.F., Toro Calderon, J.J., Los balances hídricos agrícolas en modelos de simulación agroclimáticos. Una revisión analítica (2016) Rev. Colomb. Cienc. Hortícolas, 10, pp. 149-163; Lobell, D., Schlenker, W., Costa-Roberts, J., Climate Trends and Global Crop Production Since 1980 (2012) New Theory Earth, 333, pp. 616-620; Vesco, P., Kovacic, M., Mistry, M., Croicu, M., Climate variability, crop and conflict: Exploring the impacts of spatial concentration in agricultural production (2021) J. Peace Res, 58, pp. 98-113; (2014) Climate Change 2014: Synthesis Report. Contribution of Working Groups I, II and III to the Fifth Assessment Report of the Intergovernmental Panel on Climate Change, 218. , Pachauri R., Meyer L., (eds), IPCC, Geneva, Switzerland; Meuwissen, M., Feindt, P., Spiegel, A., Termeer, C., Mathijs, E., de Mey, Y., Finger, R., Urquhart, J., A framework to assess the resilience of farming systems (2019) Agric. Syst, 176, p. 102656; Córdoba, C., Triviño, C., Toro, J., Agroecosystem resilience. A conceptual and methodological framework for evaluation (2020) PLoS ONE, 15; (2019) Global Environment Outlook–GEO-6: Healthy Planet, Healthy People, , Cambridge University Press, Cambridge, UK; Carpenter, S., Westley, F., Turner, M., Surrogates for Resilience of Social-Ecological Systems (2005) Ecosystems, 8, pp. 941-944; Dovoudi, S., Shaw, K., Haider, J., Quinlan, A., Peterson, G., Wilkinson, C., Fünfgeld, H., Porter, L., Resilience: A Bridging Concept or a Dead End? “Reframing” Resilience: Challenges for Planning Theory and Practice Interacting Traps: Resilience Assessment of a Pasture Management System in Northern Afghanistan Urban Resilience: What Does it Mean in Planni (2012) Plan. Theory Pract, 13, pp. 299-333; Davoudi, S., Brooks, E., Mehmood, A., Evolutionary Resilience and Strategies for Climate Adaptation (2013) Plan. Pract. Res, 28, pp. 307-322; Raufflet, E., Berkes, F. and C. Folke, Eds. 1998. Linking social and ecological systems: Management practices and social mechanisms for building resilience. Cambridge University Press. New York (2000) Conserv. Ecol, 4, p. 5; Ostrom, E., Janssen, M.A., Multi-level governance and resilience of social-ecological systems (2005) Globalisation, Poverty and Conflict: A “Critical Development” Reader, pp. 239-259. , Spoor M., (ed), Springer, Berlin/Heidelberg, Germany; Gallopín, G., Linkages between vulnerability, resilience, and adaptive capacity (2006) Glob. Environ. Chang, 16, pp. 293-303; Bates, S., Saint-Pierre, P., Adaptive Policy Framework through the Lens of the Viability Theory: A Theoretical Contribution to Sustainability in the Anthropocene Era (2018) Ecol. Econ, 145, pp. 244-262; Holling, C.S., Resilience and Stability of Ecological Systems (1973) Source Annu. Rev. Ecol. Syst, 4, pp. 1-23; Adger, W., Social and ecological resilience: Are they related? (2000) Prog. Hum. Geogr, 24, pp. 347-364; Walker, B., Holling, C., Carpenter, S., Kizing, A., Resilience, adaptability and transformability in social-ecological systems (2004) Ecol. Soc, 9, p. 5; Kaly, U., Pratt, C., Mitchell, J., Report on the Environmental Vulnerability Index (EVI) Think Tank II Proceedings of the Environmental Vulnerability Index (EVI), , Suva, Fiji, 4–6 October 2004; Cabell, J., Oelofse, M., An Indicator Framework for Assessing Agroecosystem Resilience (2012) Ecol. Soc, 17, p. 18; Darnhofer, I., Resilience or how do we enable agricultural systems to ride the waves of unexpected change? (2021) Agric. Syst, 187, p. 102997; Wilbanks, F., Abeysinghe, A., Burton, I., Gao, Q., Lemos, M., Masui, T., O’Brien, K., Warner, K., (2014) Climate-Resilient Pathways: Adaptation, Mitigation, and Sustainable Development, , Intergovernmental Panel on Climate Change, Cambridge, UK, New York, NY, USA; Zolnikov, T., Palgrave Studies in Climate Resilient Societies (2019) Global Adaptation and Resilience to Climate Change, , Palgrave Macmillan, Cham, Switzerland; Alam, M., Alam, K., Mushtaq, S., Filho, W., How do climate change and associated hazards impact on the resilience of riparian rural communities in Bangladesh? Policy implications for livelihood development (2018) Environ. Sci. Policy, 84, pp. 7-18; Altieri, M., Funes, F., Henao, A., Nicholls, C., León-Sicard, T., Vázquez, L., Zuluaga, G., (2012) Towards a Methodology for Identification, Diagnosis and Systematization of Systems Agricultural Resilient to Climatic Events Extreme (in Spanish: Hacia una Metodología para la Identificación, Diagnóstico y Sistematización de Sistemas Agrícolas Resiliente), , Rede Consagro, Florianópolis, Brazil; Angeon, V., Bates, S., Reviewing composite vulnerability and resilience indexes: A sustainable approach and application (2015) World Dev, 72, pp. 140-162; Bonny, B.P., Prasad, R.M., Paulose, S., Agro-ecosystem Performance Index (API)—A Quantitative Approach to Evaluate the Sustainability of Rice Production Systems (2010) J. Sustain. Agric, 34, pp. 758-777; (2016) Analysing Resilience for Better Targeting and Action. Resilience Index Measurement and Analysis-II, , Food and Agriculture Organization of the United Nations, Rome, Italy; Häni, F., Braga, F., Stämpfli, A., Keller, T., Fischer, M., Porsche, H., RISE: A Tool for Holistic Sustainability Assessment at the Farm Level (2003) Int. Food Agribus. Manag. Rev, 6, p. 13; Henao, A., Methodological approach for measuring the socio-ecological systems qualification resilience: A case study in the Colombian Andes (2013) Agroecología, 8, pp. 85-91; López-Ridaura, S., Masera, O., Astier, M., Evaluating the sustainability of complex socio-environmental systems. the MESMIS framework (2002) Ecol. Indic, 2, pp. 135-148; Sarker, M.N.I., Wu, M., Alam, G.M., Shouse, R.C., Livelihood resilience of riverine island dwellers in the face of natural disasters: Empirical evidence from Bangladesh (2020) Land Use Policy, 95, p. 104599; Van Cauwenbergh, N., Biala, K., Bielders, C., Brouckaert, V., Franchois, L., Garcia Cidad, V., Hermy, M., Reijnders, J., SAFE-A hierarchical framework for assessing the sustainability of agricultural systems (2007) Agric. Ecosyst. Environ, 120, pp. 229-242; Vázquez, L., Castellanos, A., Leiva, V., (2019) Agroecological Transition and Socio-Ecological Resilience to Droughts in Cuba, , University of Minnesota Morris Digital Well, Morris, MN, USA; Santistevan-Mendez, M., Borjas-Ventura, R., Alvarado-Huaman, L., Anzules-Toala, V., Castro-Cepero, V., Julca-Otiniano, A., Sustainability of lemon (Citrus aurantifolia Swingle) farms in the province of Santa Elena, Ecuador (2018) Peruv. J. Agron, 2, pp. 44-53; Córdoba, C., León-Sicard, T., Resilience of organic and conventional farming systems against climate variability in Anolaima (Cundinamarca-Colombia) (2013) Agroecology, 8, pp. 21-32; Bates, S., Angeon, V., Ainouche, A., The pentagon of vulnerability and resilience: A methodological proposal in development economics by using graph theory (2014) Econ. Model, 42, pp. 445-453; León-Sicard, T., Toro, J., Martínez, L., Cleves-Leguízamo, A., The Main Agroecological Structure (MAS) of the agroecosystems: Concept, methodology and applications (2018) Sustainability, 10; Suarez-Pardo, A., Villegas-Palacio, C., Berrouet, L., Resilience in Agroecosystems: An Index Based on a Socioecological Systems Approach (2022) Weather Clim. Soc, 14, pp. 425-438; Leippert, F., Darmaun, M., Bernoux, M., Mpheshea, M., (2020) The Potential of Agroecology to Build Climate-Resilient Livelihoods and Food Systems, , FAO and Biovision, Rome, Italy; Meuwissen, M., Paas, W., Slijper, T., Coopmans, I., Ciechomska, A., Lievens, E., Deckers, J., Kopainsky, B., (2018) Report on Resilience Framework for EU Agriculture: Sustainable and Resilient EU Farming Systems (SureFarm) Project Report, Work Package D1.1, , Wageningen University &amp; Research, Wageningen, The Netherlands; Peterson, C.A., Eviner, V.T., Gaudin, A.C.M., Ways forward for resilience research in agroecosystems (2018) Agric. Syst, 162, pp. 19-27; Conway, G., (1986) Agroecosystem Analysis for Research and Development, , Winrock International, Bangkok, Thailand; Folke, C., Carpenter, S., Elmqvist, T., Gunderson, L., Holling, C., Walker, B., Resilience and sustainable development: Building adaptive capacity in a world of transformations (2002) Ambio, 31, pp. 437-440. , 12374053; Van Apeldoorn, D.F., Kok, K., Sonneveld, M.P.W., Veldkamp, T.A., Panarchy rules: Rethinking resilience of agroecosystems, evidence from Dutch dairy-farming (2011) Ecol. Soc, 16, p. 39; Lindfield, G., Penny, J., Chapter 9-Optimization Methods (2019) Mathematical Modelling and Simulation in Chemical Engineering, pp. 433-483. , Lindfield G., Penny J.B.T.-N.M., (eds), 4th ed., Academic Press, Cambridge, MA, USA; Mersha, A.A., van Laerhoven, F., The interplay between planned and autonomous adaptation in response to climate change: Insights from rural Ethiopia (2018) World Dev, 107, pp. 87-97; Carpenter, S., Walker, B., Anderies, J.M., Abel, N., From Metaphor to Measurement: Resilience of What to What? (2001) Ecosystems, 4, pp. 765-781; Folke, C., Carpenter, S.R., Walker, B., Scheffer, M., Chapin, T., Rockström, J., Resilience thinking: Integrating resilience, adaptability and transformability (2010) Ecol. Soc, 15, p. 20; Urruty, N., Tailliez-Lefebvre, D., Huyghe, C., Stability, robustness, vulnerability and resilience of agricultural systems. A review (2016) Agron. Sustain. Dev, 36, pp. 1-15; Skoufias, E., (2012) The Poverty and Welfare Impacts Ofclimate Change: Quantifying the Effects, Identifying the Adaptation Strategies, , World Bank, Washington, DC, USA; Berkes, F., Environmental Governance for the Anthropocene? Social-Ecological Systems, Resilience, and Collaborative Learning (2017) Sustain. Artic, 9; Colding, J., Barthel, S., Exploring the social-ecological systems discourse 20 years later (2019) Ecol. Soc, 24, p. 2; Berkes, F., Folke, C., (1998) Linking Social and Ecological Systems: Management Practices and Social Mechanisms for Building Resilience, , Cambridge University Press, Cambridge, UK; Carpenter, S.R., Arrow, K.J., Barrett, S., Biggs, R., Brock, W.A., Crépin, A.S., Engström, G., Kautsky, N., General resilience to cope with extreme events (2012) Sustainability, 4, pp. 3248-3259; Walker, B., Salt, D., (2006) Resilience Thinking: Sustaining Ecosystems and People in a Changing World, , Island Press, Washington, DC, USA; Kerner, D.A., Thomas, J.S., Resilience attributes of social-ecological systems: Framing metrics for management (2014) Resources, 3, pp. 672-702; Kaly, U., Pratt, C., Mitchell, J., (2005) Building Resilience in SIDS. The Environmental Vulnerability Index, , South Pacific Alied Geoscience Commission (SOPAC), Suva, Fiji; Javadpoor, M., Sharifi, A., Roosta, M., An adaptation of the Baseline Resilience Indicators for Communities (BRIC) for assessing resilience of Iranian provinces (2021) Int. J. Disaster Risk Reduct, 66, p. 102609; Mikulic, J., Kožic, I., Krešić, D., Krešic, D., Weighting indicators of tourism sustainability: A critical note (2015) Ecol. Indic, 48, pp. 312-314; Etter, A., McAlpine, C., Seabrook, L., Wilson, K.A., Incorporating temporality and biophysical vulnerability to quantify the human spatial footprint on ecosystems (2011) Biol. Conserv, 144, pp. 1585-1594; Dalkey, N., Helmer, O., An Experimental Application of the Delphi Method to the Use of Experts (1963) Manag. Sci, 9, pp. 458-467; Sancho, F., Villatoro, M., Effect of the slope position on productivity of three soil sequences in ustic environments of Costa Rica (2005) Agron. Costarric, 29, pp. 159-174; Zhang, Z., Sheng, L., Yang, J., Chen, X.A., Kong, L., Wagan, B., Effects of land use and slope gradient on soil erosion in a red soil hilly watershed of southern China (2015) Sustainability, 7, pp. 14309-14325; Lamichhane, P., Miller, K.K., Hadjikakou, M., Bryan, B.A., Resilience of smallholder cropping to climatic variability (2020) Sci. Total Environ, 719, p. 137464. , 32229014; Borrelli, P., Robinson, D.A., Panagos, P., Lugato, E., Yang, J.E., Alewell, C., Wuepper, D., Ballabio, C., Land use and climate change impacts on global soil erosion by water (2015–2070) (2020) Proc. Natl. Acad. Sci. USA, 117, pp. 21994-22001. , 32839306; Li, Z., Fang, H., Impacts of climate change on water erosion: A review (2016) Earth-Sci. Rev, 163, pp. 94-117; Chapman, S., Birch, C.E., Galdos, M.V., Pope, E., Davie, J., Bradshaw, C., Eze, S., Marsham, J.H., Assessing the impact of climate change on soil erosion in East Africa using a convection-permitting climate model (2021) Environ. Res. Lett, 16, p. 084006; Panagos, P., Standardi, G., Borrelli, P., Lugato, E., Montanarella, L., Bosello, F., Cost of agricultural productivity loss due to soil erosion in the European Union: From direct cost evaluation approaches to the use of macroeconomic models (2018) Land Degrad. Dev, 29, pp. 471-484; Pérez-Guzmán, L., Acosta-Martínez, V., Phillips, L.A., Mauget, S.A., Resilience of the microbial communities of semiarid agricultural soils during natural climatic variability events (2020) Appl. Soil Ecol, 149, p. 103487; Karlen, D., PRODUCTIVITY (2005) Encyclopedia of Soils in the Environment, pp. 330-336. , Hillel D., (ed), Elsevier, Oxford, UK; Mariusz, S., Kozłowski, M., Barbara, K., Stasik, R.S., Napierała, M., Jaskuła, J., Liberacki, D., The Effect of Climate Change on Controlled Drainage E ff ectiveness in the Context of Groundwater (2020) Agronomy, 10, p. 625; Várallyay, G., The impact of climate change on soils and on their water management (2010) Agron. Res, 8, pp. 385-396; Karmakar, R., Das, I., Dutta, D., Rakshit, A., Potential Effects of Climate Change on Soil Properties: A Review (2016) Sci. Int, 4, pp. 51-73; Gelybó, G., Tóth, E., Farkas, C., Horel, A., Kása, I., Bakacsi, Z., Potential impacts of climate change on soil properties (2018) Agrochem. Soil Sci, 67, pp. 121-141; Clark, L., Whalley, W., Barraclough, P., How do roots penetrate strong soil? (2003) Plant Soil, 255, pp. 93-104; Kaushal, M., (2019) Climatic Resilient Agriculture for Root, Tuber, and Banana Crops Using Plant Growth-Promoting Microbes, , Elsevier Inc., Amsterdam, The Netherlands; Mondal, S., (2021) Impact of Climate Change on Soil Fertility BT-Climate Change and the Microbiome: Sustenance of the Ecosphere, pp. 551-569. , Choudhary D.K., Mishra A., Varma A., (eds), Springer International Publishing, Cham, Switzerland; Raes, D., Waongo, M., Vanuytrecht, E., Mejias Moreno, P., Improved management may alleviate some but not all of the adverse effects of climate change on crop yields in smallholder farms in West Africa (2021) Agric. For. Meteorol, 308–309, p. 108563; Rao, K.P.C., Ndegwa, W.G., Kizito, K., Oyoo, A., Climate variability and change: Farmer perceptions and understanding of intra-seasonal variability in rainfall and associated risk in semi-arid Kenya (2011) Exp. Agric, 47, pp. 267-291; Chowdhury, S., Bolan, N., Farrell, M., Sarkar, B., Sarker, J.R., Kirkham, M.B., Hossain, M.Z., Kim, G.H., (2021) Role of Cultural and Nutrient Management Practices in Carbon Sequestration in Agricultural Soil, 166. , 1st ed., Elsevier Inc., Amsterdam, The Netherlands; Baumhardt, R.L., Blanco-Canqui, H., Soil: Conservation Practices (2014) Encycl. Agric. Food Syst, 5, pp. 153-165; Borden, K.A., Anglaaere, L.C.N., Owusu, S., Martin, A.R., Buchanan, S.W., Addo-Danso, S.D., Isaac, M.E., Soil texture moderates root functional traits in agroforestry systems across a climatic gradient (2020) Agric. Ecosyst. Environ, 295, p. 106915; Auci, S.V.M., Climate variability and agricultural production efficiency: Evidence from Ethiopian farmers (2020) Int. J. Environ. Stud, 78, pp. 57-76; Kim, H., (2021) Technologies for Adapting to Climate Change: A Case Study of Korean Cities and Implications for Latin American Cities, , UN, Santiago, Chile; Fleiner, R., Grace, D., Pert, P., Bindraban, P., Rebecca, T., Boelee, E., Lloyd, G., Molden, D., Water Use in Agroecosystems (2013) Managing Water and Agroecosystems for Food Security, pp. 53-67. , Boelee E., (ed), CAB International, Wallingford, UK; Campos, M., Velázquez, A., McCall, M., Adaptation strategies to climatic variability: A case study of small-scale farmers in rural Mexico (2014) Land Use Policy, 38, pp. 533-540; Kumar, S., Mishra, A.K., Pramanik, S., Mamidanna, S., Whitbread, A., Climate risk, vulnerability and resilience: Supporting livelihood of smallholders in semiarid India (2020) Land Use Policy, 97, p. 104729; Verburg, R., Rahn, E., Verweij, P., van Kuijk, M., Ghazoul, J., An innovation perspective to climate change adaptation in coffee systems (2019) Environ. Sci. Policy, 97, pp. 16-24; Roco, L., Engler, A., Bravo-Ureta, B., Jara-Rojas, R., Farm level adaptation decisions to face climatic change and variability: Evidence from Central Chile (2014) Environ. Sci. Policy, 44, pp. 86-96; Keshavarz, M., Moqadas, R.S., Assessing rural households’ resilience and adaptation strategies to climate variability and change (2021) J. Arid Environ, 184, p. 104323; Zaman, M., Shahid, S.A., Heng, L., Irrigation Water Quality (2018) Guideline for Salinity Assessment, Mitigation and Adaptation Using Nuclear and Related Techniques, pp. 113-131. , Springer International Publishing, Cham, Switzerland; Debray, V., Wezel, A., Lambert-Derkimba, A., Roesch, K., Lieblein, G., Francis, C.A., Agroecological practices for climate change adaptation in semiarid and subhumid Africa (2019) Agroecol. Sustain. Food Syst, 43, pp. 429-456; Baffour-Ata, F., Antwi-Agyei, P., Apawu, G.O., Nkiaka, E., Amoah, E.A., Akorli, R., Antwi, K., Using traditional agroecological knowledge to adapt to climate change and variability in the Upper East Region of Ghana (2021) Environ. Chall, 4, p. 100205; Marchant Santiago, C., Díaz, P.R., Morales-Salinas, L., Betancourt, L.P., Fernández, L.O., Practices and strategies for adaptation to climate variability in family farming. An analysis of cases of rural communities in the andes mountains of colombia and Chile (2021) Agriculture, 11; Nilsson, J., Lundmark, C., Heliyon The effect of personal values and the roles on representational principles in natural resource management decision-making (2020) Heliyon, 6; Cothern, C., (1996) Handbook for Environmental Risk Decision Making. Values, Perceptions &amp; Ethics, , 1st ed., CRC Press, Boca Raton, FL, USA; Marshall, N.A., Thiault, L., Beeden, A., Beeden, R., Benham, C., Curnock, M.I., Diedrich, A., Marshall, P.A., Our Environmental Value Orientations Influence How We Respond to Climate Change (2019) Front. Psychol, 10, p. 938; Arshad, M., Kächele, H., Krupnik, T.J., Amjath-Babu, T.S., Aravindakshan, S., Abbas, A., Mehmood, Y., Müller, K., Climate variability, farmland value, and farmers’ perceptions of climate change: Implications for adaptation in rural Pakistan (2017) Int. J. Sustain. Dev. World Ecol, 24, pp. 532-544; Jones, L., Tanner, T., ‘Subjective resilience’: Using perceptions to quantify household resilience to climate extremes and disasters (2017) Reg. Environ. Chang, 17, pp. 229-243; Neef, A., Benge, L., Boruff, B., Pauli, N., Weber, E., Varea, R., Climate adaptation strategies in Fiji: The role of social norms and cultural values (2018) World Dev, 107, pp. 125-137; Lee, A., Corporation, C., Smith, J., Consulting, S., Blair, M., Carter, L.M., Adaptation, Cap. 28 (2014) Climate Change Impacts in the United States: The Third National Climate Assessment, pp. 670-706. , Melillo J.M., Terese T.C., Richmond G.W.Y., (eds), U.S. Global Change Research Program, Washington, DC, USA; Archer, D., Dodman, D., Urban Climate Making capacity building critical: Power and justice in building urban climate resilience in Indonesia and Thailand (2015) Urban Clim, 14, pp. 68-78; Moser, S., Pike, C., Urban Climate Community engagement on adaptation: Meeting a growing capacity need (2015) Urban Clim, 14, pp. 111-115; (2009) The Resilience of Water Supply and Sanitation in the Face of Climate Change. Vision 2030, , World Health Organization, Geneva, Switzerland; Charles, K., Howard, G., Villalobos, E., Gruber, J., Alam, S., Alamgir, A.S.M., Baidya, M., Hassan, S.M.Q., Science of the Total Environment Infrastructure alone cannot ensure resilience to weather events in drinking water supplies (2022) Sci. Total Environ, 813, p. 151876. , 34826465; Howard, G., Nijhawan, A., Flint, A., Baidya, M., Pregnolato, M., Ghimire, A., Poudel, M., Mengustu, B., The how tough is WASH framework for assessing the climate resilience of water and sanitation (2021) NPJ Clean Water, 4, p. 39; Pachauri, S., Spreng, D., Energy in and Use Relation Access Energy to Poverty (2004) Econ. Polit. Wkly, 39, pp. 271-278; Barnes, D., Samad, H., (2018) Measuring the Benefits of Energy Access. A Handbook for Development Practitioners, , Inter-American Development Bank, Washington, DC, USA; Sambodo, M.T., Novandra, R., The state of energy poverty in Indonesia and its impact on welfare (2019) Energy Policy, 132, pp. 113-121; Sy, S.A., Mokaddem, L., Energy poverty in developing countries: A review of the concept and its measurements (2022) Energy Res. Soc. Sci, 89, p. 102562; Cabello Eras, J.J., Mendoza Fandiño, J.M., Gutiérrez, A.S., Rueda Bayona, J.G., Sofan German, S.J., The inequality of electricity consumption in Colombia. Projections and implications (2022) Energy, 249, p. 123711; Ebi, K., Hess, J., Watkiss, P., Health Risks and Costs of Climate Variability and Change (2017) Injury Prevention and Environmental Health. Disease Control Priorities, pp. 153-169. , World Bank, Washington, DC, USA; Olutumise, A.I., Ajibefun, I.A., Omonijo, A.G., Effect of climate variability on healthcare expenditure of food crop farmers in Southwest, Nigeria (2021) Int. J. Biometeorol, 65, pp. 951-961; Manyuchi, A., Vogel, C., Wright, C.Y., Erasmus, B., Systems approach to climate services for health (2021) Clim. Serv, 24, p. 100271; Pailler, S., Tsaneva, M., The effects of climate variability on psychological well-being in India (2018) World Dev, 106, pp. 15-26; Pearson, A., Barnard, L., Pearce, J., Kingham, S., Howden-Chapman, P., Housing quality and resilience in New Zealand (2014) Build. Res. Inf, 42, pp. 182-190; Bezgrebelna, M., McKenzie, K., Wells, S., Ravindran, A., Kral, M., Christensen, J., Stergiopoulos, V., Kidd, S.A., Climate change, weather, housing precarity, and homelessness: A systematic review of reviews (2021) Int. J. Environ. Res. Public Health, 18. , 34071641; Quan, J., Dyer, N., (2008) Climate Change and Land Tenure: The Implications of Climate Change for Land Tenure and Land Policy, , FAO, Geneva, Switzerland; Murken, L., Gornott, C., The importance of different land tenure systems for farmers’ response to climate change: A systematic review (2022) Clim. Risk Manag, 35, p. 100419; Kalkuhl, M., Schwerhoff, G., Waha, K., Land tenure, climate and risk management (2020) Ecol. Econ, 171, p. 106573; https://www.nortonrosefulbright.com/en/knowledge/publications/879ee20a/family-agriculture-units-in-colombia---the-rationale-and-objective, Available online; Suh, N., Molua, E., Cocoa production under climate variability and farm management challenges: Some farmers’ perspective (2022) J. Agric. Food Res, 8, p. 100282; Reidsma, P., Ewert, F., Lansink, A.O., Leemans, R., Adaptation to climate change and climate variability in European agriculture: The importance of farm level responses (2010) Eur. J. Agron, 32, pp. 91-102; O’Neill, B., Jiang, L., Kc, S., Fuchs, R., Pachauri, S., Laidlaw, E., Zhang, T., Ren, X., The effect of education on determinants of climate change risks (2020) Nat. Sustain, 3, pp. 520-528; Anderson, A., Climate Change Education for Mitigation and Adaptation (2012) J. Educ. Sustain. Dev, 6, pp. 191-206; Reid, A., Climate change education and research: Possibilities and potentials versus problems and perils? (2019) Environ. Educ. Res, 25, pp. 767-790; Goodwin, D., Holman, I., Pardthaisong, L., Visessri, S., Ekkawatpanit, C., Rey Vicario, D., What is the evidence linking financial assistance for drought-affected agriculture and resilience in tropical Asia? A systematic review (2022) Reg. Environ. Chang, 22, p. 12; Frankenberg, E., Sikoki, B., Sumantri, C., Suriastini, W., Thomas, D., Education, vulnerability, and resilience after a natural disaster (2013) Ecol. Soc, 18, p. 16. , 25170339; Choptiany, J., Graub, B., Phillips, S., Colozza, D., Dixon, J., (2015) Self-Evaluation and Holistic Assessment of Climate Resilience of Farmers and Pastoralists, , FAO, Rome, Italy; Cleves, A., (2018) Resilience of Citrus Agroecosystems to Climate Variability in the Department of Meta, , Universidad Nacional de Colombia, Bogotá, Colombia; Jacobson, C., Community climate resilience in Cambodia (2020) Environ. Res, 186, p. 109512. , 32330769; Washington-Ottombre, C., Pijanowski, B.C., Rural organizations and adaptation to climate change and variability in rural Kenya (2013) Reg. Environ. Chang, 13, pp. 537-550; Anik, A.R., Rahman, S., Sarker, J.R., Al Hasan, M., Farmers’ adaptation strategies to combat climate change in drought prone areas in Bangladesh (2021) Int. J. Disaster Risk Reduct, 65, p. 102562; Altieri, M., Nicholls, C., The adaptation and mitigation potential of traditional agriculture in a changing climate (2017) Clim. Chang, 140, pp. 33-45; Pretty, J., Agricultural sustainability: Concepts, principles and evidence (2008) Philos. Trans. R. Soc. B Biol. Sci, 363, pp. 447-465. , 17652074; Talukder, B., Blay-Palmer, A., van Loon, G.W., Hipel, K.W., Towards complexity of agricultural sustainability assessment: Main issues and concerns (2020) Environ. Sustain. Indic, 6, p. 100038; Zawalińska, K., Wąs, A., Kobus, P., Bańkowska, K., A framework linking farming resilience with productivity: Empirical validation from Poland in times of crises (2022) Sustain. Sci, 17, pp. 81-103; Stathers, T., Holcroft, D., Kitinoja, L., Mvumi, B.M., English, A., Omotilewa, O., Kocher, M., Torero, M., A scoping review of interventions for crop postharvest loss reduction in sub-Saharan Africa and South Asia (2020) Nat. Sustain, 3, pp. 821-835; Bendito, A., Twomlow, S., Promoting climate smart approaches to post-harvest challenges in Rwanda (2014) Int. J. Agric. Sustain, 13, pp. 222-239; Moretti, C.L., Mattos, L.M., Calbo, A.G., Sargent, S.A., Climate changes and potential impacts on postharvest quality of fruit and vegetable crops: A review (2010) Food Res. Int, 43, pp. 1824-1832; Bekele, D., Role of Postharvest Management for Food Security: A Review (2021) Adv. Crop Sci. Technol, 9, pp. 1-6; Ndiritu, S.W., Ruhinduka, R.D., Climate variability and post-harvest food loss abatement technologies: Evidence from rural Tanzania (2019) Stud. Agric. Econ, 121, pp. 30-40; Scott, J., Webber, B., Murphy, H., Ota, N., Kriticos, D., Loechel, B., (2014) AdaptNRM: Weeds and Climate Change: Supporting Weed Management Adaptation, , AdaptNRM, Wembley, UK; Ramesh, K., Matloob, A., Aslam, F., Florentine, S.K., Chauhan, B.S., Weeds in a changing climate: Vulnerabilities, consequences, and implications for future weed management (2017) Front. Plant Sci, 8, p. 95. , 28243245; Singh, R.P., Prasad, P.V.V., Reddy, K.R., (2013) Impacts of Changing Climate and Climate Variability on Seed Production and Seed Industry, 118. , 1st ed., Elsevier, Amsterdam, The Netherlands; Vilà, M., Beaury, E.M., Blumenthal, D.M., Bradley, B.A., Early, R., Laginhas, B.B., Trillo, A., Ibáñez, I., Understanding the combined impacts of weeds and climate change on crops (2021) Environ. Res. Lett, 16, p. 034043; Peters, K., Breitsameter, L., Gerowitt, B., Impact of climate change on weeds in agriculture: A review (2014) Agron. Sustain. Dev, 34, pp. 707-721; Antwi-Agyei, P., Stringer, L.C., Improving the effectiveness of agricultural extension services in supporting farmers to adapt to climate change: Insights from northeastern Ghana (2021) Clim. Risk Manag, 32, p. 100304; Mills, G., Cleugh, H., Emmanuel, R., Endlicher, W., Erell, E., McGranahan, G., Ng, E., Steemer, K., Climate information for improved planning and management of mega cities (Needs Perspective) (2010) Procedia Environ. Sci, 1, pp. 228-246; Feder, G., Birner, R., Anderson, J.R., The private sector’s role in agricultural extension systems: Potential and limitations (2011) J. Agribus. Dev. Emerg. Econ, 1, pp. 31-54; Afsar, N., Idrees, M., Farmers perception of agricultural extension services in disseminating climate change knowledge (2019) Sarhad J. Agric, 35, pp. 942-947; Guido, Z., Knudson, C., Campbell, D., Tomlinson, J., Climate information services for adaptation: What does it mean to know the context? (2020) Clim. Dev, 12, pp. 395-407; (2016) Climate Services for Supporting Climate Change Adaptation. Supplement to the Technical Guidelines for the National Adaptation Plan Process, , World Meteorological Organization, Geneva, Switzerland; Liu, C., Huang, Y., Wang, X., Tai, Y., Liu, L., Liu, H., Total environmental impacts of biofuels from corn stover using a hybrid life cycle assessment model combining process life cycle assessment and economic input–output life cycle assessment (2018) Integr. Environ. Assess. Manag, 14, pp. 139-149. , 28796442; Martin, D.J., Howard, A., Hutchinson, R., Mcgree, S., Jones, D.A., Development and implementation of a climate data management system for western Pacific small island developing states (2015) Meteorol. Appl, 22, pp. 273-287; Ifejika Speranza, C., Wiesmann, U., Rist, S., An indicator framework for assessing livelihood resilience in the context of social-ecological dynamics (2014) Glob. Environ. Chang, 28, pp. 109-119; Chen, C., Wang, E., Yu, Q., Modelling the effects of climate variability and water management on crop water productivity and water balance in the North China Plain (2010) Agric. Water Manag, 97, pp. 1175-1184; Eeswaran, R., Pouyan Nejadhashemi, A., Miller, S.R., Evaluating the climate resilience in terms of profitability and risk for a long-term corn-soybean-wheat rotation under different treatment systems (2021) Clim. Risk Manag, 32, p. 100284; Zong, X., Liu, X., Chen, G., Yin, Y., A deep-understanding framework and assessment indicator system for climate-resilient agriculture (2022) Ecol. Indic, 136, p. 108597; Saqib, M., Anjum, M.A., Ali, M., Ahmad, R., Sohail, M., Zakir, I., Ahmad, S., Hussain, S., Horticultural Crops as Affected by Climate Change BT-Building Climate Resilience in Agriculture: Theory, Practice and Future Perspective (2022) Building Climate Resilience in Agriculture, pp. 95-109. , Jatoi W.N., Mubeen M., Ahmad A., Cheema M.A., Lin Z., Hashmi M.Z., (eds), Springer International Publishing, Cham, Switzerland; Wossen, T., Berger, T., Haile, M.G., Troost, C., Impacts of climate variability and food price volatility on household income and food security of farm households in East and West Africa (2018) Agric. Syst, 163, pp. 7-15; Sen, L.T.H., Bond, J., Winkels, A., Linh, N.H.K., Dung, N.T., Climate change resilience and adaption of ethnic minority communities in the upland area in Thừa Thiên-Huế province, Vietnam (2020) NJAS-Wageningen J. Life Sci, 92, p. 100324; Alinovi, L., D’errico, M., Mane, E., Romano, D., Livelihoods strategies and household resilience to food insecurity: An empirical analysis to Kenya Proceedings of the Conference on “Promoting Resilience through Social Protection in Sub-Saharan Africa, pp. 1-52. , Dakar, Senegal, 28–30 June 2010; Ramilan, T., Kumar, S., Haileslassie, A., Craufurd, P., Scrimgeour, F., Kattarkandi, B., Whitbread, A., Quantifying Farm Household Resilience and the Implications of Livelihood Heterogeneity in the Semi-Arid Tropics of India (2022) Agriculture, 12; Simane, B., Zaitchik, B.F., Mesfin, D., Building climate resilience in the Blue Nile/Abay Highlands: A framework for action (2012) Int. J. Environ. Res. Public Health, 9, pp. 610-631. , 22470313; Shehzad, M., Zahid, N., Maqbool, M., Singh, A., Liu, H., Wu, C</t>
  </si>
  <si>
    <t>Flórez M.F., Linares J.F., Carrillo E., Mendes F.M., de Sousa B.</t>
  </si>
  <si>
    <t>57191196981;57854285400;15622921600;57854143600;57708475700;</t>
  </si>
  <si>
    <t>Proposal for a Framework to Develop Sustainable Tourism on the Santurbán Moor, Colombia, as an Alternative Source of Income between Environmental Sustainability and Mining</t>
  </si>
  <si>
    <t>10.3390/su14148728</t>
  </si>
  <si>
    <t>https://www.scopus.com/inward/record.uri?eid=2-s2.0-85136440648&amp;doi=10.3390%2fsu14148728&amp;partnerID=40&amp;md5=ee453058410ac36ff8d7eb8511a1572a</t>
  </si>
  <si>
    <t>Programa de Ingeniería Electrónica, Universidad de Investigación y Desarrollo (UDI), Bucaramanga, 680001, Colombia; Departamento de Ciencias Básicas, Universidad Autónoma de Bucaramanga (UNAB), Bucaramanga, 680003, Colombia; Postgraduate Program in Computer Science, Federal Rural University of the Semi-Arid (UFERSA), Mossoro, 59625-900, Brazil</t>
  </si>
  <si>
    <t>Flórez, M.F., Programa de Ingeniería Electrónica, Universidad de Investigación y Desarrollo (UDI), Bucaramanga, 680001, Colombia; Linares, J.F., Programa de Ingeniería Electrónica, Universidad de Investigación y Desarrollo (UDI), Bucaramanga, 680001, Colombia; Carrillo, E., Departamento de Ciencias Básicas, Universidad Autónoma de Bucaramanga (UNAB), Bucaramanga, 680003, Colombia; Mendes, F.M., Postgraduate Program in Computer Science, Federal Rural University of the Semi-Arid (UFERSA), Mossoro, 59625-900, Brazil; de Sousa, B., Postgraduate Program in Computer Science, Federal Rural University of the Semi-Arid (UFERSA), Mossoro, 59625-900, Brazil</t>
  </si>
  <si>
    <t>The main goal of this paper was to propose a program to develop sustainable tourism at Santurbán moor in Colombia. This would open new paths toward economic growth for the communities inhabiting this sector who are currently facing a serious dilemma. First, the moor is an area of vital importance to the sustainability of more than two million people, who depend on water generated in the area. On the other hand, this land contains great mineral wealth and agricultural resources. This has generated an already long-lasting conflict of interest between environment conservation and the possible economic exploitation of the Santurbán moor through industrial mining. To this end, we conducted bibliographic research on sustainable tourism, specifically with scientific ends, that considered the potential of this area for its implementation. Prospective methodology was applied, beginning with the selection of a panel of experts to identify the most important external and internal variables that could affect the area. Then, Impact Matrix Cross-Reference Multiplication Applied to a Classification (MICMAC) software was used to identify the correlation between the different actors and their possible contributions. As a result of this research, a proposal is presented that is focused on the needs of the community living in the area, as supported by science and the academic community, and by the use of Industry 4.0 and related new technologies. This strategy could be used in other protected areas in Colombia, or throughout the world, that are currently being visited by tourists who, maybe unwillingly, are actually putting the sustainability of these areas at risk. In the future, this strategy will be consolidated and will lead to technological applications. This will allow tourists to enjoy protected places without threatening the conservation of these habitats. © 2022 by the authors.</t>
  </si>
  <si>
    <t>Colombia; Industry 4.0; MICMAC; Santurbán moor; sustainable tourism</t>
  </si>
  <si>
    <t>data mining; economic growth; ecotourism; habitat conservation; numerical model; risk assessment; suburban area; sustainability; tourism; Colombia</t>
  </si>
  <si>
    <t>Serrano, M.R., Serrano, Y.T.R., (2017) Incidencias de la Resolución no. 2090 de 2014 del Ministerio de Ambiente y Desarrollo Sostenible, Frente a los Derechos Adquiridos de Propietarios–Caso Páramo de Santurbán, , https://revistas.unilibre.edu.co/index.php/hipotesis_libre/article/view/3740, Hipótesis Libre, no. 11, Available online; Celedón, N., (2014) Minería Ilegal se Toma una Zona de Santurbán, , https://www.portafolio.co/economia/finanzas/mineria-ilegal-toma-zona-santurban-60276, Portafolio. co., Available online; Vialette, Y., Mao, P., Bourlon, F., Le tourisme scientifique dans les Alpes françaises: Un laboratoire pour la médiation scientifique et la recherche (2021) J. Alp. Res.|Rev. De Géographie Alp, pp. 109-112; Orozco, N., Caracterización y Análisis de Competitividad del Sector de Turismo de Naturaleza en Colombia, , https://www.colombiamascompetitiva.com/wp-content/uploads/2021/02/Reporte-Turismo.pdf, Obtenido de, Available online; Basto Torrado, S.P., The Socio-Environmental Conflict of the Santurban Wetland. A Bioethical Analysis with a Political Ecology Focus (2017) Rev. Colomb. Bioet, 12, pp. 8-24; Duarte-Abadía, B., Boelens, R., Disputes over territorial boundaries and diverging valuation languages: The Santurban hydrosocial highlands territory in Colombia (2016) Water Int, 41, pp. 15-36; Alonso, D.L., Pérez, R., Okio, C.K.Y.A., Castillo, E., Assessment of mining activity on arsenic contamination in surface water and sediments in southwestern area of Santurbán paramo, Colombia (2020) J. Environ. Manage, 264, p. 110478; Méndez-Villamizar, R., Mejía-Jerez, A., Acevedo-Tarazona, Á., Territorialidades y representaciones sociales superpuestas en la dicotomía agua vs. oro: El conflicto socioambiental por minería industrial en el páramo de Santurbán (2020) Territorios, 42SPE, pp. 150-174. , http://www.scielo.org.co/scielo.php?script=sci_arttext&amp;pid=S0123-84182020000300150, Available online; Flórez, J.D.Z., Contreras, Á.P.H., (2020) Análisis de la Explotación Minera en el Páramo de Santurbán Antes y Después del 2014, , https://ciencia.lasalle.edu.co/economia/1625/, Available online; Gavilanes Montoya, A.V., Esparza Parra, J.F., Chávez Velásquez, C.R., Tito Guanuche, P.E., Parra Vintimilla, G.M., Mestanza-Ramón, C., Vizuete, D.D.C., A Nature Tourism Route through GIS to Improve the Visibility of the Natural Resources of the Altar Volcano, Sangay National Park, Ecuador (2021) Land, 10; Buzinde, C.N., Manuel-Navarrete, D., Swanson, T., Co-producing sustainable solutions in indigenous communities through scientific tourism (2020) J. Sustain. Tour, 28, pp. 1255-1271; Haid, M., Albrecht, J.N., Sustainable Tourism Product Development: An Application of Product Design Concepts (2021) Sustainability, 13; MacKenzie, N., Gannon, M.J., Exploring the antecedents of sustainable tourism development (2019) Int. J. Contemp. Hosp. Manag, 31, pp. 2411-2427; Rasoolimanesh, S.M., Ramakrishna, S., Hall, C.M., Esfandiar, K., Seyfi, S., A systematic scoping review of sustainable tourism indicators in relation to the sustainable development goals (2020) J. Sustain. Tour, pp. 1-21; Cetin, M., Zeren, I., Sevik, H., Cakir, C., Akpinar, H., A study on the determination of the natural park’s sustainable tourism potential (2018) Environ. Monit Assess, 190, pp. 1-8; Grilli, G., Tyllianakis, E., Luisetti, T., Ferrini, S., Turner, R.K., Prospective tourist preferences for sustainable tourism development in Small Island Developing States (2021) Tour. Manag, 82, p. 104178; Megeirhi, H.A., Woosnam, K.M., Ribeiro, M.A., Ramkissoon, H., Denley, T.J., Employing a value-belief-norm framework to gauge Carthage residents’ intentions to support sustainable cultural heritage tourism (2020) J. Sustain. Tour, 28, pp. 1351-1370; Chong, K.Y., Balasingam, A.S., Tourism sustainability: Economic benefits and strategies for preservation and conservation of heritage sitesin Southeast Asia (2018) Tour. Rev, 74, pp. 268-279; Boley, B.B., Strzelecka, M., Woosnam, K.M., Resident perceptions of the economic benefits of tourism: Toward a common measure (2018) J. Hosp. Tour. Res, 42, pp. 1295-1314; Ochoa, C., Generating conflict: Gold, water and vulnerable communities in the Colombian Highlands (2017) Natural Resources and Sustainable Development, , Edward Elgar Publishing, Cheltenham, UK; Revilla, M.R.G., Moure, O.M., Scientific tourism and future cities (2017) Int. J. Sci. Manag. Tour, 3, pp. 123-130; Bourlon, F., Torres, R., (2016) Scientific Tourism A Tool for Tourism Development in Patagonia, , https://hal.archives-ouvertes.fr/hal-01954694/document, Available online; Alaoui, L.L., Smouth, Z., Benayache, S., Saghrane, M.Y., Perception of scientific tourism in Moroccan University: Case of Mohammed V University Rabat (2019) Maghreb-Machrek, 239, pp. 69-78; Bourlon, F., Mao, P., Las formas del turismo científico en Aysén, Chile (2011) Gestión Turística, 15, pp. 74-98; Peña Castellanos, Y.E., (2019) Estrategias Para Postular el Páramo del Almorzadero Como Eje Ecoturístico del Municipio del Cerrito Santander, , https://repository.unad.edu.co/handle/10596/30996, Available online; Shafiee, S., Ghatari, A.R., Hasanzadeh, A., Jahanyan, S., Developing a model for sustainable smart tourism destinations: A systematic review (2019) Tour. Manag. Perspect, 31, pp. 287-300; van der Merwe, C.D., Tourist guides’ perceptions of cultural heritage tourism in South Africa. Bulletin of Geography (2016) Socio-Econ. Series, 34, pp. 117-130; Izurieta, G., Torres, A., Patino, J., Vasco, C., Vasseur, L., Reyes, H., Torres, B., Exploring community and key stakeholders’ perception of scientific tourism as a strategy to achieve SDGs in the Ecuadorian Amazon (2021) Tour. Manag. Perspect, 39, p. 100830; Bourlon, F., Gale, T., Adiego, A., Álvarez-Barra, V., Salazar, A., Grounding Sustainable Tourism in Science—A Geographic Approach (2021) Sustainability, 13; Herningtyas, W., Njurumana, G.N., Feriani, M.E.S., Mugiono, I., Development Strategies of Oelsonbai Research Center Scientific Tourism in KHDTK Oelsonbai Kupang (2022) J. Sylva Lestari, 10, pp. 63-82; Conti, B.R., Elicher, M.J., Lavandoski, J., Systematic review of the literature on scientific tourism (2021) Rev. Bras. Pesqui. Tur, 15; Greenfield, J., Short, K., Software factories: Assembling applications with patterns, models, frameworks and tools Proceedings of the Companion of the 18th annual ACM SIGPLAN Conference on Object-Oriented Programming, Systems, Languages, and Applications, pp. 16-27. , Anaheim, CA, USA, 26–30 October 2003; Narasimhan, V.L., Managing diseases thru’Asclepios: An agile information exploitation framework Proceedings of the 2017 IST-Africa Week Conference (IST-Africa), pp. 1-9. , Windhoek, Namibia, 30 May–2 June 2017; Zou, L., Liu, Q., Zhang, C., Yang, H., An approach to applying creative computing in tourism by constructing a big data based knowledge system framework Proceedings of the 2016 22nd International Conference on Automation and Computing (ICAC), pp. 244-249. , Colchester, UK, 7–8 September 2016; Wakahara, T., Maki, T., Takahashi, K., Yamaguchi, A., Kimoto, S., Takagi, A., Ichifuji, Y., Sonehara, N., Tourism Local Community System Using LOD Proceedings of the 2016 10th International Conference on Complex, Intelligent, and Software Intensive Systems (CISIS), pp. 332-336. , Fukuoka, Japan, 6–8 July 2016; Fang, Y., Jiaming, Z., Yaohui, L., Mei, G., Semantic description and link construction of smart tourism linked data based on big data Proceedings of the 2016 IEEE International Conference on Cloud Computing and Big Data Analysis (ICCCBDA), pp. 32-36. , Chengdu, China, 5–7 July 2016; Flórez, A., Barajas, A.F., Jaramillo, O., Martínez, N.J., Barrera, M.S., Montoya, J.W., (2010) Sistemas Morfogénicos del Territorio Colombiano, , IDEAM, Bogotá, Colombia; Castaño, C., (2002) Golfos y bahías de Colombia, , https://www.imeditores.com/banocc/golfos/bibliografia.htm, Banco de Occidente Credencial, Available online; Portocarrero-Aya, M., Cowx, I.G., Conservation of freshwater biodiversity in key areas of the Colombian Amazon (2016) Aquat. Conserv. Mar. Freshw. Ecosyst, 26, pp. 350-363; Nuncira Chaves, A.N., González Velandia, N.C., (2020) Propuesta de Correlación Espacial Entre los Cambios Inducidos Antrópicamente y Las Áreas Protegidas en Parques Nacionales. Estudio de Caso: Área de Manejo Especial La Macarena (AMEM), , https://ciencia.lasalle.edu.co/ing_ambiental_sanitaria/1844/, Available online; Brüggemann, J., Hernández, M., Rodríguez, E., Soler, J., Tapper, R., Biodiversity and Tourism in the Framework of the Convention on biological Diversity: The case of the Tayrona National Park, Colombia (2001) Report of the Workshop at Cañaveral, pp. 25-30. , Bundesamt für Naturschutz (BfN)/Federal Agency for Nature Conbservation Konstantinstr., Bonn, Germany; Godet, M., The art of scenarios and strategic planning: Tools and pitfalls (2000) Technol. Forecast. Soc. Change, 65, pp. 3-22; Flostrand, A., Pitt, L., Bridson, S., The Delphi technique in forecasting–A 42-year bibliographic analysis (1975–2017) (2020) Technol. Forecast. Soc. Change, 150, p. 119773; Gisbert-Trejo, N., Albizu, E., Landeta, J., Fernández-Ferrín, P., Mentee characteristics in inter-organizational mentoring for managers: A hybrid Delphi survey (2020) Eur. J. Training Dev, 44, pp. 369-389; Gutierrez, O., Experimental techniques for information requirements analysis (1989) Inf. Manag, 16, pp. 31-43; Ryan, R.M., Deci, E.L., Self-determination theory and the facilitation of intrinsic motivation, social development, and well-being (2000) Am. Psychol, 55, p. 68; Skulmoski, G.J., Hartman, F.T., Krahn, J., The Delphi method for graduate research (2007) J. Inf. Technol. Educ. Res, 6, pp. 1-21; Hallowell, M.R., Gambatese, J.A., Qualitative research: Application of the Delphi method to CEM research (2010) J. Constr. Eng. Manag, 136, pp. 99-107; Zhang, H., Song, H., Wen, L., Liu, C., Forecasting tourism recovery amid COVID-19 (2021) Ann. Tour. Res, 87, p. 103149; Sarmiento Pinzón, C.E., Sarmiento Giraldo, M.V., León Moya, O.A., Cadena Vargas, C.E., Cuervo, Á., Marín, C., Jiménez, D., Corzo, L., (2014) Aportes a la Delimitación del Páramo Mediante la Identificación de los Límites Inferiores del Ecosistema a Escala 1: 25.000 y Análisis del Sistema Social Asociado Al Territorio: Complejo de Páramos Jurisdicciones Santurbán–Berlín Departamentos de Santander y Norte de Santande, , http://hdl.handle.net/20.500.11761/32539, Available online; Laura, N.M., (2020) Minesa Extraería Hasta Nueve Millones de Onzas de oro en Soto Norte en Santander, , https://www.larepublica.co/empresas/minesa-extraeria-nueve-millones-de-onzas-de-oro-en-soto-norte-en-santander-2971200, La República, Bogotá, 29, February, Available online; García, H., (2013) Valoración de los Bienes y Servicios Ambientales Provistos por El Páramo de Santurbán, , http://hdl.handle.net/11445/332, Available online; Marín, C., Parra, S., (2015) Bitácora de Flora. Guía Visual de Plantas de Páramos de Colombia, , http://hdl.handle.net/20.500.11761/9283, Available online; Angeliaume-Descamps, A., Blot, F., Luis, D., Adam, H., Les páramos andins (2015) L’Ordinaire Amériques, 218, p. 7p; Monzonís, J.S., Análisis prospectivo del turismo rural: El caso de la Comunitat Valenciana (2014) Cuad. Tur, 34, pp. 313-334; Nunes, S.L., Sousa, V., Perfect resources, tourism and territorial singularities: Contributions to the development of a scientific tourism line in Golegã (2019) Rev. Port. Estud. Reg, 50, pp. 27-47; Riaño, P.F.P., La minería colonial en el páramo de Santurbán, el caso de Las Montuosas, Vetas y Páramo Rico (2014) Boletín Hist. Antigüedades, 101, pp. 517-577; Torrado, S.P.B., El conflicto socioambiental del páramo Santurbán. Un análisis bioético con enfoque de ecología política (2017) Rev. Colomb. Bioética, 12, pp. 8-24; Vidal, L.F., Delgado, J., Andrade, G.I., Factores de la vulnerabilidad de los humedales altoandinos de Colombia al cambio climático global (2013) Cuad. Geogr. Rev. Colomb. Geogr, 22, pp. 69-85; Kubickova, M., Campbell, J.M., The role of government in agro-tourism development: A top-down bottom-up approach (2020) Curr. Issues Tour, 23, pp. 587-604; Agyeiwaah, E., Over-tourism and sustainable consumption of resources through sharing: The role of government (2019) Int. J. Tour. Cities, 6, pp. 99-116; Liu, C., Dou, X., Li, J., Cai, L.A., Analyzing government role in rural tourism development: An empirical investigation from China (2020) J. Rural Stud, 79, pp. 177-188; Wang, W., Liu, J., Innes, J.L., Conservation equity for local communities in the process of tourism development in protected areas: A study of Jiuzhaigou Biosphere Reserve, China (2019) World Dev, 124, p. 104637; Giampiccoli, A., Mtapuri, O., Tourism and independence: Beyond neoliberalism and dependency a community-based tourism proposal for Kurdistan (2020) Afr. J. Hosp. Tour. Leis, 9, pp. 1-19; Harianto, S.P., Masruri, N.W., Winarno, G.D., Tsani, M.K., Santoso, T., Development strategy for ecotourism management based on feasibility analysis of tourist attraction objects and perception of visitors and local communities (2020) Biol. Divers, 21, pp. 689-698; Li, C., Ahmed, N., Qalati, S.A., Khan, A., Naz, S., Role of business incubators as a tool for entrepreneurship development: The mediating and moderating role of business start-up and government regulations (2020) Sustainability, 12; Arévalo, D.H.C., Diagnóstico preliminar para la organización del plan de desarrollo turístico del destino Santander, Colombia (2019) Gestión Turística, 31, pp. 7-47; Cortés Osorio, N., (2019) Turismo de Naturaleza en Colombia, Barreras Encontradas Para la Certificación de esta Actividad, , http://hdl.handle.net/11634/28966, Available online; Beltrán, N., Buitrago, L., (2015) Lista de Taxones Asociados a Páramos y Humedales de Colombia, , http://hdl.handle.net/20.500.11761/9631, Available online; Pérez, C.D., Martha, F.M., (2018) Riqueza de Musgos por Sustrato del Complejo de Páramos Guantivala Rusia (Boyacá-Santander, Colombia), , http://repositorio.uptc.edu.co/handle/001/6652, Available online; Barreto, L., Amaral, A., Pereira, T., Industry 4.0 implications in logistics: An overview (2017) Procedia Manuf, 13, pp. 1245-1252; Dopico, M., Gómez, A., de la Fuente, D., García, N., Rosillo, R., Puche, J., A vision of Industry 4.0 from an artificial intelligence point of view Proceedings of the International Conference on Artificial Intelligence (ICAI), p. 407. , New York, NY, USA, 9–15 July 2016; Gutiérrez Losada, I., (2010) Ontologías Turísticas Geográficas: Creación de una Ontología Sobre Rutas Turísticas (a Pie o en Bicicleta) por Espacios Naturales, , http://hdl.handle.net/10609/2284, Available online; Bezerra, S.F., Costa, A., Neto, F.M., Silva, P., Monteiro, B., Um Sistema de Recomendação Híbrido Integrado a Ontologia em um Ambiente de Aprendizagem Ubíqua (2018) Brazilian Symposium on Computers in Education (Simpósio Brasileiro de Informática na Educação-SBIE), 29, p. 1253. , http://ojs.sector3.com.br/index.php/sbie/article/view/8085, no. 1, Available online; Jaramillo, C.M.Z., Giraldo, G.L., Giraldo, G.A.U., Las Ontologías en la Ingeniería de Software: Un Acercamiento de dos Grandes Áreas del Conocimiento (2010) Rev. Ing. Univ. Medellín, 9, pp. 91-99; Tziortzioti, C., Amaxilatis, D., Mavrommati, I., Chatzigiannakis, I., IoT sensors in sea water environment: Ahoy! Experiences from a short summer trial (2019) Electron. Theor. Comput. Sci, 343, pp. 117-130; Moreno, E.S.R., Ordoñez, V.F.L., (2017) Diseño e Implementación de un Sistema Inteligente Para un Edificio Mediante IOT Utilizando el Protocolo de Comunicación LORAWAN, , http://hdl.handle.net/11349/7394, Available online; Suthaharan, S., Machine learning models and algorithms for big data classification (2016) Integr. Ser. Inf. Syst, 36, pp. 1-12; Suthaharan, S., Big data analytics: Machine learning and Bayesian learning perspectives—What is done? What is not? (2019) Min. Knowl. Discov, 9, p. e1283; Yang, C., Huang, Q., Li, Z., Liu, K., Hu, F., Big Data and cloud computing: Innovation opportunities and challenges (2017) Int. J. Digit. Earth, 10, pp. 13-53; Iorio, C., Pandolfo, G., D’Ambrosio, A., Siciliano, R., Mining big data in tourism (2020) Qual. Quant, 54, pp. 1655-1669; Diaz, C., Hincapié, M., Moreno, G., How the type of content in educative augmented reality application affects the learning experience (2015) Procedia Comput. Sci, 75, pp. 205-212; Yung, R., Khoo-Lattimore, C., New realities: A systematic literature review on virtual reality and augmented reality in tourism research (2019) Curr. Issues Tour, 22, pp. 2056-2081; Dieck, M., Jung, T., Han, D.-I., Mapping requirements for the wearable smart glasses augmented reality museum application (2016) J. Hosp. Tour. Technol, 7, pp. 230-253; Feierherd, G., González, F., Viera, L., Soler, R., Romano, L., Delía, L., Depetris, B., Combining artificial intelligence services for the recognition of flora photographs: Uses in augmented reality and tourism (2018) Argentine Congress of Computer Science, pp. 367-375. , Springer, Berlin/Heidelberg, Germany; Hannola, L., Richter, A., Richter, S., Stocker, A., Empowering production workers with digitally facilitated knowledge processes—A conceptual framework (2018) Int. J. Prod. Res, 56, pp. 4729-4743; Kapera, I., Sustainable tourism development efforts by local governments in Poland (2018) Sustain. Cities Soc, 40, pp. 581-588; Guo, Y., Jiang, J., Li, S., A sustainable tourism policy research review (2019) Sustainability, 11; Mandić, A., Nature-based solutions for sustainable tourism development in protected natural areas: A review (2019) Environ. Syst. Decis, 39, pp. 249-268; Pan, S.-Y., Gao, M., Kim, H., Shah, K.J., Pei, S.-L., Chiang, P.-C., Advances and challenges in sustainable tourism toward a green economy (2018) Sci. Total Environ, 635, pp. 452-469; Boluk, K.A., Cavaliere, C.T., Higgins-Desbiolles, F., A critical framework for interrogating the United Nations Sustainable Development Goals 2030 Agenda in tourism (2019) J. Sustain. Tour, 27, pp. 847-864; Stone, M.T., Nyaupane, G.P., Protected areas, wildlife-based community tourism and community livelihoods dynamics: Spiraling up and down of community capitals (2018) J. Sustain. Tour, 26, pp. 307-324; Feyers, S., Stein, T., Klizentyte, K., Bridging worlds: Utilizing a multi-stakeholder framework to create extension—Tourism partnerships (2019) Sustainability, 12</t>
  </si>
  <si>
    <t>Flórez, M.F.; Programa de Ingeniería Electrónica, Colombia; email: marcoflorez@udi.edu.co</t>
  </si>
  <si>
    <t>2-s2.0-85136440648</t>
  </si>
  <si>
    <t>Becerra Lagos J.I., Becerra Mayorga W.</t>
  </si>
  <si>
    <t>57849251900;57849005500;</t>
  </si>
  <si>
    <t>Plants, Animals and Roads in the Poetry of Hugo Jamioy [Plantas, animales y caminos en la poesía de Hugo Jamioy]</t>
  </si>
  <si>
    <t>10.19130/Iifl.Ap.2022.2.178X270S5</t>
  </si>
  <si>
    <t>https://www.scopus.com/inward/record.uri?eid=2-s2.0-85136172423&amp;doi=10.19130%2fIifl.Ap.2022.2.178X270S5&amp;partnerID=40&amp;md5=ad6b8ce89375bc86f0552bf2d8e93ef6</t>
  </si>
  <si>
    <t>Becerra Lagos, J.I., Universidad Pedagógica y Tecnológica de Colombia, Colombia; Becerra Mayorga, W., Universidad Pedagógica y Tecnológica de Colombia, Colombia</t>
  </si>
  <si>
    <t>Several works of contemporary indigenous literature from Latin America can be read as a scenario of lyrical and narrative proposal of a harmonious relationship between human beings and nature. Almost always in their own language, each poet criticizes, describes and proposes variants of this relationship, born from the way their people live with nature. In the collection of poems Bínÿbe oboyejuayëng (Dancers of the Wind), by Hugo Jamioy, we have found three thematic axes in which this relationship unfolds: the presence of plants, animals and roads. In this article, we will interpret these presences in some poems, complementing the analysis with the place they have in Camëntsá culture. © 2022 Universidad Nacional Autonoma de Mexico. All rights reserved.</t>
  </si>
  <si>
    <t>Camëntsá Poetry; Ecocriticism; Hugo Jamioy; Indigenous Oralitures; Nature</t>
  </si>
  <si>
    <t>Avida Peralta, Ramón, Colombia: Hidroeléctrica Urrá: tragedia humanitaria Servindi, Servicios de Comunicación Intercultural, , https://www.servindi.org/actualidad/63665, en Disponible en: [21 de octubre de 2021]; Bajtín, Mijail, (1989) Teoría y estética de la novela, , Trads. Helena S. Kriukova y Vicente Cazcarra Cremallé. Madrid: Taurus; Chindoy, Tirsa, (2019) Los kamëntsá y el legado visual de la diócesis de Mocoa-Sibundoy, , https://www.uasb.edu.ec/fr/publicacion?los-katmentsa-y-el-legado-visual-de-la-diocesis-de-mocoa-sibundoy-916, Universidad Andina Simón Bolívar, Trabajo de grado de Maestría. Publicaciones uasb. Disponible en: [21 de octubre de 2021]; Day, Ida, (2013) Las ecologías indígenas en la construcción de la ética ambiental en la literatura latinoamericana, , https://getd.libs.uga.edu/pdfs/day_ida_201305_phd.pdf, Universidad de Georgia, Tesis doctoral. Dissertations and Theses at uga. Disponible en: [21 de octubre de 2021]; Díaz González, Luis, Amantes que se desvanecen en el tiempo: la memoria etnográfica o la compleja significación de las leyendas (2007) Revista de Antropología Social, 17, pp. 141-164. , https://core.ac.uk/reader/38821660, en Disponible en: [21 de octubre de 2021]; Freitas, Joana G., Landscapes of Fear: the Portuguese Coast (2016) The Nautilus. A Maritime Journal of Literature, History and Culture, 7, pp. 27-59. , https://novaresearch.unl.pt/en/publications/landscapes-of-fear-the-portuguese-coast, en Disponible en: [21 de octubre de 2021]; Gómez Ardila, Cristian, (2016) Visiones de mundo de tres poéticas indígenas a propósito de memoria, territorio y resistencia: los casos de Fredy Chikangana, , http://repository.udistrital.edu.co/bitstream/11349/4236/1/GomezArdilaCristianEduardo2016.pdf, Miguel Ángel López-Hernández y Hugo Jamioy. Universidad Distrital Francisco José de Caldas, Trabajo de grado de Maestría. Disponible en: [21 de octubre de 2021]; Jamioy, Hugo, Situación y futuro de los idiomas indígenas de Colombia en las zonas de conflicto (2005) Identidad lingüística de los pueblos indígenas de la región andina, pp. 199-205. , https://www.uasb.edu.ec/publicacion/identidad-linguistica-de-los-pueblos-indigenas-de-la-region-andina-139-id139/, en Comp. Ariruma Kowii, Universidad Andina Simón Bolívar, Ediciones Abya Yala e Instituto Ítalo-Latino America-no, Disponible en: [21 de octubre de 2021]; Jamioy, Hugo, Bínÿbe oboyejuayëng / Danzantes del viento (2010) Biblioteca Básica de los Pueblos Indígenas, 6. , http://babel.banrepcultural.org/cdm/singleitem/collection/p17054coll8/id/6, Ministerio de Cultura, Disponible en: [21 de octubre de 2021]; Marmon Silko, Leslie, Landscape, History and the Pueblo Imagination (1996) The Ecocriticism Reader: Landmarks in Literary Ecology, pp. 264-275. , en Eds. Cheryll Glotfelty y H. Fromm. Georgia: The University of Georgia Press; Martos-Núñez, Eloy, Martos-García, Aitana, Memorias e imaginarios del agua: nuevas corrientes y perspectivas (2015) Agua y Territorio, 5, pp. 121-123. , https://doi.org/10.17561/at.v0i5.2539, en Disponible en&gt; [21 de octubre de 2021]; Ortiz, Carolina, La poética de Hugo Jamioy Juagibioy en “Danzantes del viento” / “Binybeoboyejuayëng (2013) Poesía Indígena Contemporánea, , http://repositorio.uasb.edu.ec/bitstream/10644/4072/1/PI-2013-12-Ortiz-La%20po%C3%A9tica.pdf, Universidad Andina Simón Bolívar, Reporte de investigación. Repositorio Institucional uasb. Disponible en: [21 de octubre de 2021]; Rocha, Miguel, (2017) Comp. Pütchi Biyá Uai II: Puntos aparte, , https://siise.bibliotecanacional.gov.co/BBCC/Documents/Doc/283, Colombia: Ministerio de Cultura y Biblioteca Nacional de Colombia, Disponible en: [21 de octubre de 2021]; Rodríguez Monarca, Claudia, Estrategias de reterritorialización en la poesía amazónica contemporánea (2017) Taller de Letras, 60, pp. 19-37. , https://dialnet.unirioja.es/servlet/articulo?codigo=6499335, en Disponible en: [21 de octubre de 2021]; Salazar, Jerónimo, (2015) Antigua y nueva palabra en la obra de Hugo Jamioy Juagibioy, , https://repository.javeriana.edu.co/handle/10554/15941, Pontificia Universidad Javeriana, Trabajo de grado. Repositorio Institucional, Pontificia Universidad Javeriana. Disponible en: [21 de octubre de 2021]; Simanca Pushaina, Estercilia, El encierro de una pequeña doncella (2006) Centro Educativo Indígena Regional y Fundación Manifiesta No Saber Firmar, , https://aulas.caroycuervo.gov.co/contenidos/lenguasYCulturasDeColombia/amazonas/docs/elEncierroDeUnaPeque%C3%B1aDoncella-EsterciliaSimanca.pdf, en Disponible en: [21 de octubre de 2021]; Vargas Pardo, Camilo, (2019) Poéticas que germinan entre la voz y la letra: itinerarios de la palabra a partir de las obras de Hugo Jamioy y Anastasia Candre, , https://repositorio.unal.edu.co/handle/unal/76045, Universidad de La Sorbona y Universidad Nacional, Tesis doctoral. Repositorio Institucional un, Biblioteca Digital. Disponible en: [21 de octubre de 2021]; Villegas-Restrepo, Juan, Ecologías literarias en la Colombia del posacuerdo (2018) Agenda cultural, Universidad de Antioquia, 251, pp. 9-11. , https://revistas.udea.edu.co/index.php/almamater/article/view/331422, en Disponible en: [21 de octubre de 2021]</t>
  </si>
  <si>
    <t>Universidad Nacional Autonoma de Mexico</t>
  </si>
  <si>
    <t>2-s2.0-85136172423</t>
  </si>
  <si>
    <t>Moreno Cañadas A., Rios G.B., Serna R.-J.</t>
  </si>
  <si>
    <t>57846634000;57189732193;56698018300;</t>
  </si>
  <si>
    <t>https://www.scopus.com/inward/record.uri?eid=2-s2.0-85136078987&amp;doi=10.3390%2fcomputation10070124&amp;partnerID=40&amp;md5=e30959c8aa39bc467e77d7d67a1b26d3</t>
  </si>
  <si>
    <t>Departamento de Matemáticas, Universidad Nacional de Colombia, Edificio Yu Takeuchi 404, Kra 30 No 45-03, Bogotá, 111321, Colombia; Escuela de Matemáticas y Estadística, Universidad Pedagógica y Tecnológica de Colombia, Avenida Central del Norte 39-115, Tunja, 150003, Colombia</t>
  </si>
  <si>
    <t>Moreno Cañadas, A., Departamento de Matemáticas, Universidad Nacional de Colombia, Edificio Yu Takeuchi 404, Kra 30 No 45-03, Bogotá, 111321, Colombia; Rios, G.B., Departamento de Matemáticas, Universidad Nacional de Colombia, Edificio Yu Takeuchi 404, Kra 30 No 45-03, Bogotá, 111321, Colombia; Serna, R.-J., Escuela de Matemáticas y Estadística, Universidad Pedagógica y Tecnológica de Colombia, Avenida Central del Norte 39-115, Tunja, 150003, Colombia</t>
  </si>
  <si>
    <t>Snake graphs are connected planar graphs consisting of a finite sequence of adjacent tiles (squares) (Formula presented.). In this case, for (Formula presented.), two consecutive tiles (Formula presented.) and (Formula presented.) share exactly one edge, either the edge at the east (west) of (Formula presented.) ((Formula presented.)) or the edge at the north (south) of (Formula presented.) ((Formula presented.)). Finding the number of perfect matchings associated with a given snake graph is one of the most remarkable problems regarding these graphs. It is worth noting that such a number of perfect matchings allows a bijection between the set of snake graphs and the positive continued fractions. Furthermore, perfect matchings of snake graphs have also been used to find closed formulas for cluster variables of some cluster algebras and solutions of the Markov equation, which is a well-known Diophantine equation. Recent results prove that snake graphs give rise to some string modules over some path algebras, connecting snake graph research with the theory of representation of algebras. This paper uses this interaction to define Brauer configuration algebras induced by schemes associated with some multisets called polygons. Such schemes are named Brauer configurations. In this work, polygons are given by some admissible words, which, after appropriate transformations, permit us to define sets of binary trees called groves. Admissible words generate codes whose energy values are given by snake graphs. Such energy values can be estimated by using Catalan numbers. We include in this paper Python routines to compute admissible words (i.e., codewords), energy values of the generated codes, Catalan numbers and dimensions of the obtained Brauer configuration algebras. © 2022 by the authors.</t>
  </si>
  <si>
    <t>binary tree; Brauer configuration algebra; Catalan combinatorics; coding theory; path algebra; snake graph; string modules</t>
  </si>
  <si>
    <t>Propp, J., The combinatorics of frieze patterns and Markoff numbers (2020) Integers, 20, pp. 1-38; Çanakçi, I., Schiffler, R., Cluster algebras and continued fractions (2018) Compos. Math, 54, pp. 565-593; Çanakçi, I., Schiffler, R., Snake graphs and continued fractions (2020) Eur. J. Combin, 86, pp. 1-19; Çanakçi, I., Schiffler, R., Snake graphs calculus and cluster algebras from surfaces (2013) J. Algebra, 382, pp. 240-281; Çanakçi, I., Schiffler, R., Snake graphs calculus and cluster algebras from surfaces II: Self-crossings snake graphs (2015) Math. Z, 281, pp. 55-102; Çanakçi, I., Schiffler, R., Snake graphs calculus and cluster algebras from surfaces III: Band graphs and snake rings (2017) Int. Math. Res. Not. IMRN, rnx157, pp. 1-82; Musiker, G., Schiffler, R., Williams, L., Posiivity for cluster algebras from surfaces (2011) Adv. Math, 227, pp. 2241-2308; Çanakçi, I., Schroll, S., Lattice bijections for string modules snake graphs and the weak Bruhat order (2021) Adv. Appl. Math, 126, p. 102094; Green, E.L., Schroll, S., Brauer configuration algebras: A generalization of Brauer graph algebras (2017) Bull. Sci. Math, 121, pp. 539-572; Schroll, S., Brauer Graph Algebras (2018) Homological Methods, Representation Theory, and Cluster Algebras, CRM Short Courses, pp. 177-223. , Assem I., Trepode S., (eds), Springer, Cham, Switzerland; Cañadas, A.M., Gaviria, I.D.M., Vega, J.D.C., Relationships between the Chicken McNugget Problem, Mutations of Brauer Configuration Algebras and the Advanced Encryption Standard (2021) Mathematics, 9; Cañadas, A.M., Espinosa, P.F.F., Muñetón, N.A., Brauer configuration algebras defined by snake graphs and Kronecker modules (2022) Electron. Res. Arch, 30, pp. 3087-3110; Assem, I., Skowronski, A., Simson, D., (2006) Elements of the Representation Theory of Associative Algebras, , Cambridge University Press, Cambridge, UK; Andrews, G.E., (2010) The Theory of Partitions, , Cambridge University Press, Cambridge, UK; Sierra, A., The dimension of the center of a Brauer configuration algebra (2018) J. Algebra, 510, pp. 289-318; Loday, J.L., Arithmetree (2002) J. Algebra, 258, pp. 275-309; Boyvalenkov, P., Dragnev, P.D., Hardin, P.D., Saff, E.B., Stoyanova, M.M., Energy bounds for codes and designs in Hamming spaces (2017) Des. Codes Cryptogr, 82, pp. 411-433</t>
  </si>
  <si>
    <t>2-s2.0-85136078987</t>
  </si>
  <si>
    <t>Bonilla-Cruz N.-J., Moncada H.O., Yáñez J.D.L., Torres H.D.G., Niño-Vega J.A.</t>
  </si>
  <si>
    <t>57201681589;57838306400;57838574500;57838118800;57200002968;</t>
  </si>
  <si>
    <t>Psychological well-being and suicide orientation in teachers in Norte de Santander during COVID -19 confinement [Bienestar psicológico y orientación al suicidio en docentes de Norte de Santander durante el confinamiento por la COVID-19]</t>
  </si>
  <si>
    <t>Gaceta Medica de Caracas</t>
  </si>
  <si>
    <t>S727</t>
  </si>
  <si>
    <t>S733</t>
  </si>
  <si>
    <t>10.47307/GMC.2022.130.s3.26</t>
  </si>
  <si>
    <t>https://www.scopus.com/inward/record.uri?eid=2-s2.0-85135759673&amp;doi=10.47307%2fGMC.2022.130.s3.26&amp;partnerID=40&amp;md5=0207287a71fd3df91f2d7c33085859f7</t>
  </si>
  <si>
    <t>Universidad Simón Bolívar, Faculty of Law and Social Sciences, Cúcuta, Colombia; Universidad Simón Bolívar, School of Law and Social Sciences, Cúcuta, Colombia; Universidad Pedagógica y Tecnológica de Colombia, Duitama, Colombia</t>
  </si>
  <si>
    <t>Bonilla-Cruz, N.-J., Universidad Simón Bolívar, Faculty of Law and Social Sciences, Cúcuta, Colombia; Moncada, H.O., Universidad Simón Bolívar, School of Law and Social Sciences, Cúcuta, Colombia; Yáñez, J.D.L., Universidad Simón Bolívar, Faculty of Law and Social Sciences, Cúcuta, Colombia; Torres, H.D.G., Universidad Simón Bolívar, Faculty of Law and Social Sciences, Cúcuta, Colombia; Niño-Vega, J.A., Universidad Pedagógica y Tecnológica de Colombia, Duitama, Colombia</t>
  </si>
  <si>
    <t>The objective of this research is to analyze the relationship between psychological well-being and suicidal orientation in teachers from Norte de Santander during the COVID-19 confinement, implementing a methodology with a positivist approach, a non-experimentaldesign ofcross-sectional correlational scope, with a sample of 86 teachers from Norte de Santander. The findings obtained correspond to the identification of psychological well-being and the evaluation of suicidal orientation. Finally, the respective correlation between the variables was carried out. In conclusion, it is possible to determine that the population studied does not present anomalies in psychological well-being and suicidal orientation, taking into account the unforeseen change due to the confinement of COVID-19 and the new workload assignments. © 2022 Academia Nacional de Medicina. All rights reserved.</t>
  </si>
  <si>
    <t>COVID-19; Psycholo gical well-being; suicidal orientation; teachers</t>
  </si>
  <si>
    <t>Arenas, A, Gómez, C, Rondón, M., Factores asociados a la conducta suicida en Colombia. Resultados de la Encuesta Nacional de Salud Mental 2015 (2016) Rev Colomb Psiquiat, 45 (1), pp. 68-75; Huarcaya, J., Consideraciones sobre la salud mental en la pandemia de COVID-19 (2020) Rev Peru Med Exp Salud Publica, 37 (2), pp. 327-334; (2019) Suicidio, , https://www.who.int/es/news-room/fact-sheets/detail/suicide; (2018) Información 2017 definitivo, III trimestre 2018pr y año corrido 2018pr, , https://www.dane.gov.co/index.php/estadisticas-portema/salud/nacimientos-y-defunciones; (2018) Forensis datos para la vida, , http://www.medicinalegal.gov.co/documents/20143/386932/Forensis+2018.pdf/be4816a4-3da3-1ff0-2779-e7b5e3962d60; Muñoz, A., (2017) ¿Qué es el bienestar psicológico? El modelo de Carol Ryff, , http://www.uniminuto.edu/documents/702814/0/Qu%C3%A9+es+el+bienestar+psicol%C3%B3gico/94cf47ca-be8b-44cf-85a7-d9359f351f95?version=1.0; Pineda, C, Castro, J, Chaparro, R., Estudio psicométrico de las Escalas de Bienestar Psicológico de Ryff en adultos jóvenes colombianos (2017) Pensamiento Psicológico, 16 (1), p. 55; Paniagua, RE, González, CM, Rueda, SM., Orientación al suicidio en adolescentes en una zona de Medellín, Colombia (2014) Rev Fac Nac Salud Pública, 32 (3), pp. 314-322; Panesso, K, Arango, M., (2017) La Autoestima, Proceso Humano, , https://aprendeenlinea.udea.edu.co/revistas/index.php/Psyconex/article/viewFile/328507/20785325; Gonzales, T, Hernández, A., La desesperanza aprendida y sus predictores en jóvenes: Análisis desde El Modelo De Beck (2012) Enseñanza e Investigación en Psicología, 17 (2), pp. 313-327; Gómez, G, Berra, E, Silva, R, VegaMuñozS.Emociones, estrésyafrontamientoenadolescentesdesdeelmodelo de Lazarus y Folkman (2014) Rev Intercont Psicol Edu, 16 (1), pp. 37-57; Oñate, M., Aislamiento y Patología Inherente: Paralelismo Entre El Renacimiento En Doña Juana I De Castilla y La Época Actual. 2014 (2014) Rev Aequitas, 4, pp. 83-166; Rodríguez Pulido, F, Glez de Rivera, Revuelta, JL, Gracia Marco, R, Montes de Oca Hernández, D., El suicidio y sus interpretaciones teóricas (1990) Psiquis, 11, pp. 374-380; Sánchez, G., (2012) Teorías del desarrollo III, , http://www.aliat.org.mx/BibliotecasDigitales/Educacion/Teorias_del_desarrollo_III.pdf; Hernández, R, Fernández, C, Baptista, P., Metodología de la investigación sexta edición, pagina 9 (2017), https://www.uca.ac.cr/wp-content/uploads/2017/10/Investigacion.pdf, McGrawTill. México; Barrantes-Brais, K, Ureña-Bonilla, P., Bienestar psicológico y bienestar subjetivo en estudiantes universitarios costarricenses (2015) Rev Intercont Psicol Educ, 17 (1), pp. 101-123; Millán, A, Garcia, D, D’Aubeterre-Lopez, M., Efecto de la Inteligencia Emocional y Flujo en el Trabajo Sobre Estresores y Bienestar Psicológico:Análisis de Ruta en Docentes (2014) Rev Colomb Psicol, 23 (1), pp. 207-228; Cano, P, Pena, J, Ruiz, M., (2017) Las conductas suicidas, , Availableathttp://www.medynet.com/usuarios/jraguilar/Manual%20de%20urgencias%20y%20Emergencias/suicidas.pdf; Cornejo, C, Rojas, A, Bonilla, N., Estrategias de afrontamiento como elemento terapéutico en la orientación suicida de adolescentes de un colegio de la comuna 7 en Cúcuta (2018) Arch Vene Farmacol Terap, 37 (5), pp. 528-533; Torres, C, Espinoza, V, Sandoval, A, Eguiluz, L., Bienestarpsicológico,conductasasociadasalsuicidio ydesempeñoacadémicoenestudiantesuniversitarios (2017) Rev Electr Psicol Iztacala, 20 (3), pp. 1124-1150; Cañón Buitrago, S, Carmona Parra, J., Ideación suicida y conductas suicidas en adolescentes y jóvenes (2018) Rev Pediatría de Atención Primaria, 20, pp. 387-397; Bahamón, MJ, Vásquez-Alarcón, Y, Cudris Torres, L, Trejos-Herrera, AM, Campo Aráuz, L., Bienestar psicológico en adolescentes colombianos (2019) Arch Vene Farmacol Terap, 38 (5), pp. 519-523; Cudris-Torres, L, Barrios-Núñez, Á, Bonilla-Cruz, NJ., Coronavirus: epidemia emocional y social (2020) Arch Vene Farmacol Terap, 39 (3), pp. 309-312; Bahamón, MJ, Alarcón-Vásquez, Y, Cudris-Torres, L, CabezasCorcioneA. Diseñoyvalidacióndeunaescala de bienestar psicológico para adolescentes (BIPSI) (2020) Arch Vene Farmacol Terap, 39 (3), pp. 334-340; Olivella-López, G, Cudris-Torres, L, Medina-Pulido, PL., La telepsicología: una perspectiva teórica desde la psicología contemporánea (2020) Desbordes Rev Investig Esc Cienc Sociales Artes Humanid, 11 (1), pp. 95-112; Ebratt-Castro, L, Cudris-Torres, L, Bahamón, MJ, Bonilla-Cruz, NJ, Pinzón-Atencio, E, Navarro-Rodríguez, F., Bienestar psicológico y contextos relacionales en adolescentes con ideación suicida en el caribe colombiano (2020) Arch Vene Farmacol Terap, 39 (3), pp. 268-273</t>
  </si>
  <si>
    <t>Bonilla-Cruz, N.-J.; Universidad Simón Bolívar, Colombia; email: n.bonilla01@unisimonbolivar.edu.co</t>
  </si>
  <si>
    <t>Academia Nacional de Medicina</t>
  </si>
  <si>
    <t>GMCAA</t>
  </si>
  <si>
    <t>Gac. Med. Caracas</t>
  </si>
  <si>
    <t>2-s2.0-85135759673</t>
  </si>
  <si>
    <t>Niño-Vega J.A., Giraldo-Cardona M.T., Fernández-Morales F.H.</t>
  </si>
  <si>
    <t>57200002968;57838574200;57837935200;</t>
  </si>
  <si>
    <t>Analysis of web accessibility to Colombian universities under the guidelines proposed by WCAG 2.1 [Análisis de accesibilidad web a universidades colombianas bajo las pautas propuestas por la WCAG 2.1]</t>
  </si>
  <si>
    <t>S618</t>
  </si>
  <si>
    <t>S625</t>
  </si>
  <si>
    <t>10.47307/GMC.2022.130.s3.15</t>
  </si>
  <si>
    <t>https://www.scopus.com/inward/record.uri?eid=2-s2.0-85135738201&amp;doi=10.47307%2fGMC.2022.130.s3.15&amp;partnerID=40&amp;md5=d4f826045e6d58e417fd33ee139e9d91</t>
  </si>
  <si>
    <t>Niño-Vega, J.A., Universidad Pedagógica y Tecnológica de Colombia, Duitama, Colombia; Giraldo-Cardona, M.T., Universidad Pedagógica y Tecnológica de Colombia, Duitama, Colombia; Fernández-Morales, F.H., Universidad Pedagógica y Tecnológica de Colombia, Duitama, Colombia</t>
  </si>
  <si>
    <t>This article reports the results of a study that aimed to analyze the level of accessibility of the websites of Colombian universities under the accessibility guidelines for web content, WCAG 2.1. The web portals of 11 universities categorized in the Q1 and Q2 quartiles of the U-sapiens 2020-1 Ranking were analyzed. The results show that no university met all the success criteria, and the most accessible only reached 71.79 % of them. No relationship was found between the accessibility of web pages and the ranking of universities in the U-Sapiens 2020-1 ranking. This indicates that the websites of the universities studied are not fully accessible. Although there are regulations that promote web inclusion for all people, regardless of their disability status, it is necessary to promote educational campaigns that teach and motivate designers, digital content creators, and programmers to consider when developing websites. © 2022 Academia Nacional de Medicina. All rights reserved.</t>
  </si>
  <si>
    <t>disability; inclusive education; universities; WCAG 2.1; Web accessibility; websites</t>
  </si>
  <si>
    <t>(1991) Artículo 67, , Bogotá: Secretaría General de la Alcaldía Mayor de Bogotá D.C; Burbano-Pantoja, V M A, Munévar-Sáenz, A, Valdivieso-Miranda, MA., Influencia del método Montessori en el aprendizaje de la matemática escolar (2021) Rev Investigación, Desarrollo e Innovación, 11 (3), pp. 555-568; Esparza, J, Vizcaíno, G., ¿Cómo terminan las pandemias? El futuro de la COVID-19 (2021) Gac Méd Car, 129 (4), pp. 968-974; Cudris-Moreno, M, Cudris-Torres, L, Bustos-Arcón, V, Olivella-López, G, Medina-Pulido, PL, Moreno-Londoño, HA., Educational technology and academic performance in students of public educational institutions during confinement by COVID-19 (2021) Gac Méd Car, 128, pp. S336-S349; García-Rey, T., Impacto del COVID-19 en la educación (2020) Acta de Otorrinolaringol Cirugía de Cabeza y Cuello, 48 (2), pp. 131-132; Hernández-Suarez, CA, Espinel-Rubio, GA, Prada-Núñez, R., Competencias TIC del docente en época de no presencialidad: Una mirada desde los estudiantes de comunicación social (2022) Saber, Ciencia y Libertad, 17 (1); Cudris-Torres, L, Bahamón, MJ, Javela, JJ, Olivella-López, G, Gutiérrez-García, RA, Alvis Barranco, L, Psychometric properties of the family communication scale in colombian population (2021) Gac Méd Car, 129, pp. S44-S55; Cruz-Rojas, GA, Molina-Blandón, MA, Valdiri-Vinasco, V., Vigilancia tecnológica para la innovación educativa en el uso de bases de datos y plataformas de gestión de aprendizaje en la universidad del Valle, Colombia (2019) Rev Investigación, Desarrollo e Innovación, 9 (2), pp. 303-317; Quitian-Feliciano, ID, Rodríguez-González, GL, Morales-Rubiano, ME., Desafíos de los centros de gestión de la investigación para promover la investigación colaborativa (2020) Rev Investigación, Desarrollo e Innovación, 11 (1), pp. 73-83; Fernández-Morales, FH, Duarte, JE., Retos de la inclusión Académica de Personas con Discapacidad en una Universidad Pública Colombiana (2016) Formación Universitaria, 9 (4), pp. 95-104; Ferreira-Ariza, J, Pérez-Reyes, G, Rangel-Navia, H, Rivera-Porras, D., Estrategias de intervención en el desarrollo de las habilidades comunicativas en personas en condición discapacidad: Una revisión sistemática (2021) Gac Méd Car, 129 (1), pp. 107-127; Casasola-Balsells, LA, Guerra-González, JC, Casasola-Balsells, MA, Pérez-Chamorro, VA., Accesibilidad web de cita previa por Internet en atención primaria (2019) Gac Sanit, 33 (1), pp. 85-88; Gutiérrez-García, RA, Martínez-Martínez, KI, Moral-Jiménez, MV, Cudris-Torres, L, González-Gonzáles, R, Paz-Pérez, MA., Fieldwork approaching in socially excluded participants of young neet (2021) Gac Méd Car, 129, pp. S213-S223; Londoño-Rojas, LF, Tabares-Morales, V, Bez, MR, Duque-Méndez, ND., Análisis comparativo de guías para el desarrollo web accesible (2017) Ciencia e Ingeniería Neogranadina, 28 (1), pp. 101-115; (2020) Reporte U-Sapiens 2020-1, , https://www.srg.com.co/noticias/reporte-ranking-usapiens-2020-1/; (2018) Pautas de Accesibilidad al Contenido en la Web (WCAG) 2.1, , https://www.w3.org/TR/WCAG21/#reading-level; Pineda-Henao, EF, Londoño-Cardozo, J., Clasificación de los mejores programas de pregrado de Administración en Colombia según criterios de investigación:periodo2016-2017 (2018) RevInvestigación, Desarrollo e Innovación, 9 (1), pp. 47-62; Angarita-López, RD, Fernández-Morales, FH, Niño-Vega, JA, Duarte, J E, Gutiérrez-Barrios, G J., Accesibilidad de las revistas colombianas del área de humanidades bajo las pautas WCAG 2.1 (2020) Rev Espacios, 1 (4), p. 18; Carreras-Montoto, O., (2018) Audit Tool WCAG 2.1, Usableaccesible, , https://olgacarreras.blogspot.com/2018/06/audit-tool-wcag-21.html; Durán-Becerra, T, Tejedor-Calvo, S., Interacción en plataformas educomunicativas. Reflexión sobre tipologías y usabilidad. El Caso de Colombia (2017) Teknokultura, 14 (2), pp. 261-275; Galeano-Barrera, CJ, Bellón-Monsalve, D, Zabala-Vargas, SA, Romero-Riaño, E, Duro-Novoa, V., Identificación de los pilares que direccionan a una institución universitaria hacia un Smart-Campus (2018) Rev Investigación, Desarrollo e Innovación, 9 (1), pp. 127-145; Jiménez-Escalante, JT, Guerra-Moreno, D., Fake news, libertad de expresión y derecho a la información, un nuevo reto para la responsabilidad civil (2022) Saber, Ciencia y Libertad, 17 (1); Mayer-Lux, L., Elementos criminológicos para el análisis jurídico-penal de los delitos informáticos (2018) Ius et Praxis, 24 (1), pp. 159-206; Fernández-Morales, FH, Duarte, JE, Gutiérrez-Barrios, GJ., Estrategia pedagógica para la formación de ingenieros con discapacidad visual (2015) Papeles de trabajo - Centro de Estudios Interdisciplinarios en Etnolingüística y Antropología Sociocultural, 29, pp. 36-48; Pérez-Carrillo, M., (2020) Diseño de un tema de WordPress optimizado para el cumplimiento de los criterios de accesibilidad WCAG 2.1 y el desarrollo y validación a nivel de prototipo (Tesis de Maestría), , http://hdl.handle.net/10609/116826, España: Universitat Oberta de Catalunya; Stable-Rodríguez, Y, Sam-Anlas, CA., Bibliotecas nacionales y accesibilidad web. Situación en América Latina (2018) Revista Interamericana De Bibliotecología, 41 (3), pp. 253-265; Ortiz-Ruiz, Y., Accesibilidad en sitios web del Ministerio de Educación de Chile (2019) Tendencias Pedagógicas, (33), pp. 99-116; Esparza-Cruz, NK, Merino-Acosta, Z, Guerrero-Torres, H., Accesibilidad Web en las Instituciones de Educación Superior del Ecuador: Año 2016 (2016) J Sci Res: Rev Cien Invest, 1, pp. 44-48. , (CITT2016)</t>
  </si>
  <si>
    <t>Niño-Vega, J.A.; Universidad Pedagógica y Tecnológica de ColombiaColombia; email: Jorge.ninovega@gmail.com</t>
  </si>
  <si>
    <t>2-s2.0-85135738201</t>
  </si>
  <si>
    <t>de Araújo J.S.</t>
  </si>
  <si>
    <t>57201306899;</t>
  </si>
  <si>
    <t>The Paraguayan war and the construction of the image of a war volunteer: The case of Jovita Alves Feitosa (1865-1867) [La guerre du Paraguay et la construction de l’image d’une volontaire de guerre: Le cas de Jovita Alves Feitosa (1865-1867)] [A guerra do Paraguai e a construção da imagem de uma voluntária da pátria: o caso Jovita Alves Feitosa (1865-1867)] [La guerra de Paraguay y la construcción de la imagen de una voluntaria de guerra: el caso de Jovita Alves Feitosa (1865-1867)]</t>
  </si>
  <si>
    <t>Historia y Memoria</t>
  </si>
  <si>
    <t>10.19053/20275137.n25.2022.12835</t>
  </si>
  <si>
    <t>https://www.scopus.com/inward/record.uri?eid=2-s2.0-85135569777&amp;doi=10.19053%2f20275137.n25.2022.12835&amp;partnerID=40&amp;md5=07bb191c4ed6cd707bb72aad2c23a0a2</t>
  </si>
  <si>
    <t>Universidade Federal do Piauí UFPI, Instituto Histórico e Geográfico Brasileiro IHGB, Brazil</t>
  </si>
  <si>
    <t>de Araújo, J.S., Universidade Federal do Piauí UFPI, Instituto Histórico e Geográfico Brasileiro IHGB, Brazil</t>
  </si>
  <si>
    <t>The present article aims to illustrate how, in mid-1865, the president of the Piaui province, Franklin Américo de Meneses Doria, with the help of newspapers, acted to build the image of the voluntary heroine, Jovita Alves Feitosa. This was with the intention of recruiting more men into the armed forces of the Brazilian Empire in the war against the Republic of Paraguay. By means of the documental analysis of a biographical text written in her honor in the newspapers of the time, and with the aid of a bibliography, it is sought to understand how she joined the army, what the activities of the newspapers of the time were, and how her trip to the Court of Rio de Janeiro transpired. From this, intense propaganda was identified, which was built around her character, and came to divide the society of the time either in favor of or against her recruitment. At the same time, and paradoxically, the same newspapers would end up taking advantage of the news of her demise, which occurred in 1867 due to a crime of passion, two years after her turbulent arrival in Rio de Janeiro. © 2022 hist.mem. All rights reserved.</t>
  </si>
  <si>
    <t>Jovita Feitosa; newspapers; Paraguayan war; propaganda</t>
  </si>
  <si>
    <t>A heroína brazileira (1865) A Imprensa, , Teresina PI, 16 de setembro de; (1865) Alguém censurou, , A Imprensa, Teresina PI, 28 de outubro de; A Moderação (1865) A Imprensa, , Teresina PI, 11 de novembro de; Suicidou-se (1867) A Imprensa, , Teresina PI, 16 de novembro de; Marquês de Olinda (1865) Liga e Progresso, , Teresina, PI, 31 de janeiro de; (1865) Bravos do Piauí! Orgulhai-vos, , O Paiz, de São Luís MA, 25 agosto de; A Voluntaria (1865) Publicador Maranhense, , São Luís MA, 25 de agosto de; A maior novidade (1865) Diário da Bahia, , Salvador BA, 5 de setembro de; Patriota, Um, (1865) Patriotismo, , Correio Mercantil, Rio de Janeiro 12 de setembro de; Notícias diversas (1865) Correio Mercantil, , Rio de Janeiro, 14 de setembro de; A heroína brasileira (1865) Jornal do Commercio, , Rio de Janeiro, 14 de setembro de; Jovita (1867) Correio Mercantil, , Rio de Janeiro, 11 de outubro de; Jovita, ou a voluntária da Morte (1867) Diário do Povo, , Rio de Janeiro, 27 de outubro de; Os maranhenses fizeram a essa patriota (1865) Diário do Rio de Janeiro, , Rio de Janeiro, 10 de setembro de; Teatro de São Pedro de Alcântara (1865) Diário do Rio de Janeiro, , Rio de Janeiro, 12 de setembro de; Suicídio (1867) Diário do Rio de Janeiro, , Rio de Janeiro, 11 de outubro de; Publicações a pedido (1867) Diário do Rio de Janeiro, , Um também pobre. Rio de Janeiro, 12 de outubro de; Um grito de reprovação a nova especulação (1865) Jornal do Commercio, , O, Justo. Rio de Janeiro, 15 de setembro de; Suicídio (1867) Jornal do Commercio, , Rio de Janeiro 11 de outubro de; Coleção de Leis do Império do Brasil, , Decreto 3.371/1865 de 7 de janeiro de 1865, 5 1 pt I; Relatório do Ministério de Estado dos Negócios da Guerra do Império do Brasil de 1864; Relatório do Ministério da Repartição dos Negócios Estrangeiros do Império do Brasil de 1871A - Anexo I, Tratado de Alliança Offensiva e Defensiva entre o Brasil e as Repúblicas Argentina e Oriental do Uruguay contra o governo do Paraguay; Coleção Barão do Loreto, , Rio de Janeiro Brasil. Coleção Senador Nabuco; Alambert, Francisco, Civilização e barbárie, história e cultura - representações literárias e projeções da Guerra do Paraguai nas crises do segundo Reinado e da Primeira República (1995) Guerra do Paraguai: 130 anos depois, , 2. Ed., editado por Maria Eduarda Castro Magalhães Marques. Rio de Janeiro: Relume Dumará; Bandeira, Luiz Alberto Moniz, (2012) A expansão do Brasil e a formação dos Estados na Bacia do Prata: Argentina, Uruguai e Paraguai (Da colonização à Guerra da Tríplice Aliança) Império, , 4. ed. Rio de Janeiro: Civilização Brasileira; Baratta, María Victoria, (2019) La Guerra del Paraguay y la construcción de la identidad nacional, , Buenos Aires: Editorial SB; Barbosa, Marialva, (2010) História cultural da imprensa. Brasil 1800-1900, , Rio de Janeiro: Mauad X; Becker, Jean-Jacques, A opinião pública (2003) Por uma história política, , 2. ed., editado por René Remond. Rio de Janeiro: UFRJ/FGV; Brito, Anísio, (1931) Contribuição do Piauí a Guerra do Paraguai, , Teresina: Comepi; Calmon, Pedro, (1981) Franklin Dória. Barão de Loreto, , Rio de Janeiro: Biblioteca do Exército; Pedro, José Murilo de. D., (2007), Carvalho II. São Paulo: Companhia das Letras; Castro, Jeanne Berrance de, (1977) A milícia cidadã: a Guarda Nacional de 1831 a 1850, , São Paulo: Brasiliana; Cerqueira, Dionísio, (1980) Reminiscência da Campanha do Paraguai. 1865-1870, , Rio de Janeiro: Biblioteca do Exército; Chaves, Joaquim, O Piauí na Guerra do Paraguai (1971) Cadernos Históricos, (4). , n Teresina: Academia Piauiense de Letras; Costa, Francisco Felix Pereira da, (1870) História da Guerra do Brasil contra as Repúblicas do Uruguai e Paraguay, 2. , Rio de Janeiro: Livraria de A. G. Guimarães &amp; C; Doratioto, Francisco Fernando M., (2002) Maldita guerra: nova história da Guerra do Paraguai, , São Paulo: Companhia das Letras; Dourado, Maria Teresa Garritano, (2005) Senhoras comuns, senhoras respeitáveis: a presença feminina na Guerra do Paraguai, , Campo Grande: Ed. UFMS; Duarte, Paulo de Queiroz, (1981) Os voluntários da Pátria na Guerra do Paraguai, , Rio de Janeiro: Biblioteca do Exército; Fragoso, Augusto T., (2009) História da guerra entre a Tríplice Aliança e o Paraguai, p. 5v. , Rio de Janeiro: Biblioteca do Exército; Galvão, Walnice Nogueira, (1998) A donzela-guerreira: um estudo de gênero, , São Paulo: Senac; Góes, Damião de, (1865) Traços biográficos da heroína brasileira Jovita Alves Feitosa: ex-sargento do 2° Corpo de Voluntários do Piauí, natural do Ceará – por um fluminense, , Rio de Janeiro: Tipografia Imparcial de Brito &amp; Irmão; Graham, Richard, (1997) Clientelismo e política no Brasil do século XIX, , Rio de Janeiro: UFRJ; Ginzburg, Carlo, (1989) A microhistoria e outros ensaios, , Lisboa: Difel; Johansson, María Lucrecia, (2017) La gran máquina de publicida de: Redes transnacionales e intercambios periodísticos durante la guerra de la Triple Alianza (1864-1870), , Sevilla: Universidad Internacional de Andalucía; Maestri, Mário, A guerra contra o Paraguai: História e Historiografia: da instauração à restauração historiográfica [1871-2002] (2009) Nuevo Mundo Mundos Nuevos, Colloques, 1, pp. 1-29. , https://doi.org/10.4000/nuevomundo.55579; Martins, Ana Luiza, Lucca, Tania Regina de, (2008) História da Imprensa no Brasil, , São Paulo: Contexto; Mendes, Fabio Faria, (2010) Recrutamento militar e construção do Estado no Brasil Imperial, , Belo Horizonte: Argvmentvm; Morel, Marco, Barros, Mariana Monteiro de, (2003) Palavra, imagem e poder: o surgimento da imprensa no Brasil do século XIX, , Rio de Janeiro: DP&amp;A; Moura, Denise, A farda do tendeiro: cotidiano e recrutamento no Império (1999) Revista de História Regional, 4 (1). , nº; Mugge, Miqueias H., Antes do mito: Soldados-cidadãos da Guarda Nacional do Rio Grande do Sul (1850-1873) (2018) Varia História, 34 (nº64), pp. 123-164. , https://doi.org/10.1590/0104-87752018000100005; Pinheiro, Celso, (1997) História da imprensa no Piauí, , 3. ed. Teresina: Zodíaco; Queiroz, Teresinha de J. M., (1998) Economia piauiense: da pecuária ao extrativismo, , Teresina: EDUFPI; Richard, Nicolas, Capdevila, Luc, Boidin, Capucine, (2007) Les guerres du Paraguay aux XIXe XXe siècles, , ed. París: Colibris; Saldanha, Flávio Henrique Dias, Deus é grande, mas o mato é ainda maior”: o recrutamento militar no Brasil imperial (2010) Locus. Revista de História, 16 (2), pp. 175-201. , https://locus.ufjf.emnuvens.com.br/locus/article/viewFile/1058/901, nº; Schwarcz, Lilia Moritz, (1998) As barbas do imperador: D. Pedro II, um monarca nos trópicos, , São Paulo: Companhia das Letras; Silveira, Mauro César, Os múltiplos papéis do jornalismo brasileiro na guerra contra o Paraguai (2014) Historiæ, 5 (1), pp. 213-236. , nº; Squinelo, Ana Paula, (2002) A Guerra do Paraguai, essa desconhecida...: ensino, memória e história de um conflito secular, , Campo Grande: UCDB; Squinelo, Ana Paula, (2016) 150 anos após - a Guerra do Paraguai: entreolhares do Brasil, Paraguai, Argentina e Uruguai, I. , org. Campo Grande: Ed. UFMS, II; Soares, Pedro Paulo, A guerra da imagem: iconografia da Guerra do Paraguai na imprensa ilustrada fluminense (2003) Dissertação Mestrado em História, , Rio de Janeiro: Instituto de Filosofia e Ciências Sociais da Universidade Federal do Rio de Janeiro (UFRJ); Taunay, Alfredod’Escragnolle, (1946), Memórias.SãoPaulo:Melhoramentos; Whigham, Thomas, (2018) The Paraguayan War: causes and early conduct, , 2nd edition. Calgary: University of Calgary Press</t>
  </si>
  <si>
    <t>de Araújo, J.S.; Universidade Federal do Piauí UFPI, Brazil; email: johny@ufpi.edu.br</t>
  </si>
  <si>
    <t>Hist.Mem.</t>
  </si>
  <si>
    <t>2-s2.0-85135569777</t>
  </si>
  <si>
    <t>Quispe-Mamani J.C., Hancco-Gomez M.S., Carpio-Maraza A., Aguilar-Pinto S.L., Mamani-Flores A., Flores-Turpo G.A., Velásquez-Velásquez W.L., Cutipa-Quilca B.E., Alegre-Larico M.I.</t>
  </si>
  <si>
    <t>57222526757;57831708500;57831708600;57537930500;57395073000;57638878000;57638878200;57536287700;57831864800;</t>
  </si>
  <si>
    <t>Effect of Education on the Economic Income of Households in Peru, Application of the Mincer Theory in Times of Pandemic (COVID-19)</t>
  </si>
  <si>
    <t>Social Sciences</t>
  </si>
  <si>
    <t>10.3390/socsci11070300</t>
  </si>
  <si>
    <t>https://www.scopus.com/inward/record.uri?eid=2-s2.0-85135438374&amp;doi=10.3390%2fsocsci11070300&amp;partnerID=40&amp;md5=f1c595850ffd0545977e2e84e3418bd9</t>
  </si>
  <si>
    <t>Facultad de Ingeniería Económica, Universidad Nacional del Altiplano, Av. Floral 1153, Puno, 352206, Peru; Facultad de Ciencias Contables y Administrativas, Universidad Nacional del Altiplano, Av. Floral 1153, Puno, 352206, Peru; Facultad de Ciencias Administrativas, Universidad Andina Néstor Cáceres Velásquez, Urbanización Taparachi Km 4.5 salida a, Juliaca, Puno, 322213, Peru; Facultad de Ciencias Sociales, Universidad Nacional del Altiplano, Av. Floral 1153, Puno, 352206, Peru; Escuela Profesional de Gestión Pública y Desarrollo Social, Universidad Nacional de Juliaca, Jirón Nueva Zelandia 631, Juliaca332927, Peru; Instituto de Educación Superior San Marcelo, Av. los Álamos S/N, Puno, 352749, Peru</t>
  </si>
  <si>
    <t>Quispe-Mamani, J.C., Facultad de Ingeniería Económica, Universidad Nacional del Altiplano, Av. Floral 1153, Puno, 352206, Peru; Hancco-Gomez, M.S., Facultad de Ciencias Contables y Administrativas, Universidad Nacional del Altiplano, Av. Floral 1153, Puno, 352206, Peru; Carpio-Maraza, A., Facultad de Ciencias Contables y Administrativas, Universidad Nacional del Altiplano, Av. Floral 1153, Puno, 352206, Peru; Aguilar-Pinto, S.L., Facultad de Ciencias Administrativas, Universidad Andina Néstor Cáceres Velásquez, Urbanización Taparachi Km 4.5 salida a, Juliaca, Puno, 322213, Peru; Mamani-Flores, A., Facultad de Ciencias Sociales, Universidad Nacional del Altiplano, Av. Floral 1153, Puno, 352206, Peru; Flores-Turpo, G.A., Facultad de Ciencias Contables y Administrativas, Universidad Nacional del Altiplano, Av. Floral 1153, Puno, 352206, Peru; Velásquez-Velásquez, W.L., Escuela Profesional de Gestión Pública y Desarrollo Social, Universidad Nacional de Juliaca, Jirón Nueva Zelandia 631, Juliaca332927, Peru; Cutipa-Quilca, B.E., Facultad de Ciencias Contables y Administrativas, Universidad Nacional del Altiplano, Av. Floral 1153, Puno, 352206, Peru; Alegre-Larico, M.I., Instituto de Educación Superior San Marcelo, Av. los Álamos S/N, Puno, 352749, Peru</t>
  </si>
  <si>
    <t>The objective was to determine the effect of education on the economic income of households in Peru in times of the pandemic (COVID-19), for which a quantitative research approach was applied, of a non-experimental type and of descriptive-correlational design; the econometric model of log-linear type was used, based on the Mincer equation, with the information from the database of the National Household Survey, for the period of 2021. The economic income on average was 275.96 soles, with a standard deviation of 1451.41 soles, with high variability, identifying very precarious economic income ranging from 15.00 to 15,000.00 soles/month per worker; the years of schooling of the worker on average were 12 years, showing the scope of complete secondary training, with a population without years of education, and on the contrary, there are workers with postgraduate education, with the variability of 4 years. Finally, the effect of education measured through years of schooling on economic income is positive, or direct, since education explains 14.34% of economic income; the experience of the worker, gender, area of residence, age and marital status, in the same way, have a positive effect on economic income, strongly highlighting gender and area of residence which explain 19.86% and 30.45% of the economic income in the household in Peru. © 2022 by the authors.</t>
  </si>
  <si>
    <t>COVID-19; educational level; human capital; labor market; Mincer</t>
  </si>
  <si>
    <t>Abbasa, Q., Foreman-Peck, J., (2007) The Mincer human Capital Model in Pakistan: Implications for Educational Policy, , https://www.econstor.eu/handle/10419/83948, Available online; Alfonzo, L., La Educación en la determinación de los ingresos laborales en el Paraguay (2000) Economía &amp; Sociedad, 1, p. 21. , http://biblioteca.clacso.edu.ar/Paraguay/cadep/20160721042551/1.pdf, Available online; Bakker, B., Ghazanchyan, M., Ho, A., Nanda, V., (2020) The Lack of Convergence of Latin-America Compared with CESEE, , IMF Working Papers, International Monetary Fund, Washington, DC; Birdsall, N., Londono, J.L., Inequality and human capital accumulation in Latin America (With some lessons for Egypt) (1997) Egyptian Center for Economic Studies, 1. , https://www.eces.org.eg/cms/NewsUploads/Pdf/2019_1_6-10_9_37qqq.pdf, Available online; Björklund, A., Kjellström, C., Estimating the return to investments in education: How useful is the standard Mincer equation? (2002) Economics of Education Review, 21, pp. 195-210; Bornacelly, I., Educación técnica y tecnológica para la reducción de la desigualdad salarial y la pobreza (2013) Desarrollo y Sociedad, 71, pp. 83-121; Briceño, M.A., La educación y su efecto en la formación de capiltal humano y en el desarrollo económico de los países (2013) Apuntes Del Cenes, 30, p. 45; Carrasco, C.F., Castillo, A.R.F., Human capital and job opportunities according to educational level in Perú (2021) Universidad Ciencia y Tecnología, 25, pp. 48-57; Cerquera, L., Hernán, O., Tovar, M.D.L.Á.C., Peña, C.Y.P., Capital humano y crecimiento económico: Evidencia empírica para Suramérica (2022) Apuntes del CENES, 41. , https://revistas.uptc.edu.co/index.php/cenes/article/view/13679/11460, Available online; Chatani, K., Human capital and economic development (2012) Diagnosing the Indonesian Economy: Toward Inclusive and Green Growth, pp. 275-300. , Anthem Press, London; De La Cruz-Vargas, J., Protegiendo al personal de la salud en la pandemia Covid-19 (2020) Revista de La Facultad de Medicina Humana, 20, pp. 7-9; De la Fuente, A., Ciccone, A., Human Capital in a Global and Knowledge-Based Economy (2003) Education + Training, 45; Delgado, P.D., La COVID-19 en el Perú: Una pequeña tecnocracia enfrentándose a las consecuencias de la desigualdad (2020) Análisis Carolina, pp. 1-16; Digdowiseiso, K., Education Inequality, Economic Growth, and Income Inequality: Evidence from Indonesia, 1996–2005 (2009) SSRN Electronic Journal, , https://papers.ssrn.com/abstract=1602642, Available online; Espinosa, A.B., Marín, J.M.N., Educación Superior, CTI y desigualdad: Límites y contradicciones sistémicas en tiempos de COVID-19 (2022) Revista del Núcleo de Estudios e Investigaciones en Educación Superior de Mercosur, 11, pp. 54-69; Ferrada-Bustamante, V., González-Oro, N., Ibarra-Caroca, M., Ried-Donaire, A., Vergara-Correa, D., Castillo-Retamal, F., Formación docente en TIC y su evidencia en tiempos de COVID-19 (2021) Revista Saberes Educativos, 6, pp. 144-168. , https://sintesisdejurisprudencia.uchile.cl/index.php/RSED/article/view/60715/64525, Available online; Figallo, F., González, M.T., Diestra, V., Perú: Educación superior en el contexto de la pandemia por el COVID-19 (2020) Revista de Educación Superior en América Latina, 8, pp. 20-28; Fraumeni, B., Liu, G., (2020) A Brief Introduction to Human Capital Measures (Issue 13494), , https://www.nber.org/papers/w27561, Available online; Freire, S., Jesús, M., Álvarez, M.T., La inversión en capital humano de los jóvenes gallegos: ¿sigue siendo rentable la educación? (2010) Cuadernos de Economía, 33, pp. 45-69; Galassi, G.L., Andrada, M.J., Relación entre educación e ingresos en las regiones geográficas de Argentina (2011) Papeles de Poblacion, 17, pp. 257-290. , http://www.scielo.org.mx/scielo.php?pid=S1405-74252011000300009&amp;script=sci_arttext, Available online; Giménez, D.L.C., Artemenko, K.M.F., Montiel, L.R.M., de Franco, M.R.R., Efectos de la educación en los ingresos: Una exploración de la teoría de Mincer aplicada a la realidad paraguaya (2005) Población y Desarrollo, 16, pp. 60-75. , https://dialnet.unirioja.es/servlet/articulo?codigo=5654300, Available online; Giménez, G., La dotación de capital humano de América Latina y el Caribe (2005) Revista de La CEPAL, 2005, pp. 103-122. , https://repositorio.cepal.org/bitstream/handle/11362/11071/086103122_es.pdf?sequence=1&amp;isAllowed=y, Available online; Graham, C., Pozuelo, J.R., Do high aspirations lead to better outcomes? Evidence from a longitudinal survey of adolescents in Peru (2022) Journal of Population Economics; Hall, G., Patrinos, H.A., Pueblos indígenas, pobreza y desarrollo humano en América Latina: 1994–2004 (2006) Banco Mundial: Direcciones Para El Desarrollo, 2, pp. 10-16. , http://www.crin.org/docs/bid_indigenous.pdf, Available online; Huggett, M., Ventura, G., Yaron, A., Human capital and earnings distribution dynamics (2006) Journal of Monetary Economics, 53, pp. 265-290; Evolucion de la Pobreza Monetaria 2009–2020 (2021) Reporte Anual INEI, , https://www.inei.gob.pe/media/MenuRecursivo/publicaciones_digitales/Est/pobreza2020/Pobreza2020.pdf, Available online; Ishfaq, M., Muhammad, A., Muhammad, Y., Human Capital Formation and Income Disparity in Developing Nations: A Panel Data Analyses (2021) Journal of Contemporary Macroeconomic Issues, 2, pp. 1-9. , http://scekr.org/wp-content/uploads/2021/07/1_JCMI_the_paper_June21.pdf, Available online; Juárez, G.F., Velázquez, J.V., Lugo, E.K.L., (2002) Apuntes de Estadística Inferencial, , https://d1wqtxts1xzle7.cloudfront.net/58715087/Estadistica_Inferencial-with-cover-page-v2.pdf?Expires=1652822788&amp;Signature=edb~vBVQFXTNca3jKXxQ832izhg7xmXpp2vU8yqG0ZAtmIt~GL-GvxzpYslncg9Fa5oJ3ZwSUXWg4swx9RcgZWRi2dHVPJ4HcAavGNGpiLcoDzrTG2Hek9ZkXIrqg5LsJv-g, Available online; Katz, R., Capital humano para la transformación digital en América Latina (2018) Desarrollo Productivo, 219, p. 40. , https://repositorio.cepal.org/handle/11362/43529, Available online; Korres, G., Kourliouros, E., Tsobanoglou, G., Aikaterini, K., Socio-economic sustainability, regional development and spatial planning: European and international dimensions and perspectives (2014) Mytilene; Kuzminov, Y., Sorokin, P., Froumin, I., Generic and specific skills as components of human capital: New challenges for education theory and practice (2019) Foresight and STI Governance, 13, pp. 19-41; Laderas, H.E., Quispe, P.H., Cárdenas, V.A.C., COVID-19, un desafío para la educación inclusiva en el Perú (2020) Nvestigación, 18, pp. 45-74; Lemieux, T., The “Mincer Equation” Thirty Years After (2006) Jacob Mincer A Pioneer of Modern Labor Economics, pp. 127-145. , https://link.springer.com/chapter/10.1007/0-387-29175-X_11, Available online; Martin, B., McNally, J., Kay, M., Examining the formation of human capital in entrepreneurship: A meta-analysis of entrepreneurship education outcomes (2013) Journal of Business Venturing, 28, pp. 211-224; McLauchlan de Arregui, P., Empleo, ingresos y ocupaciόn de los profesionales y técnicos en el Perú (1993) Notas Para el Debate, 9. , http://repositorio.grade.org.pe/handle/20.500.12820/331, Available online; Mendoza Bellido, W., (2014) Cómo Investigan los Economístas? Guía Para Elaborar y Desarrollar un Proyecto de Investigación, , https://files.pucp.education/departamento/economia/lde-2014-05.pdf, Available online; Meza, R., Fernando, L., Miranda, J.S.T., Mamani-Benito, O., Gestión educativa como factor determinante del desempeño de docentes de educación básica regular durante la pandemia Covid-19, Puno-Perú (2020) Apuntes Universitarios, 11, pp. 23-35; Mincer, J., Polachek, S., An Exchange: The Theory of Human Capital and the Earnings of Women: Women’s Earnings Reexamined (1978) The Journal of Human Resources, 13, p. 118; Mincer, J., Progress in Human Capital Analysis of the Distribution of Earnings (1974) Economics of Education Review, 3, pp. 195-205; Mincer, J., Human capital and economic growth (1984) Economics of Education Review, 3, pp. 195-205; Mincer, J., The Production of Human Capital and the Life Cycle of Earnings: Variations on a Theme (2015) Journal of Labor Economics, 15, pp. 26-47; Mincer, J., Human Capital and the Labor Market: A Review of Current Research (2016) Educational Researcher, 18, pp. 27-34; Miyashiro, M.J.K., Pobreza y desigualdad en el Perú en medio de la COVID-19 (2022) Praxis Social, Revista de Trabajo Social, 5, pp. 180-216. , https://revistapraxissocial.com/index.php/praxis/article/view/42/28, Available online; Monroy, G.V., Flores, R.P., Perspectiva de la Teoría del Capital Humano acerca de la relación entre educación y desarrollo económico (2009) Tiempo de Educar, , http://www.redalyc.org/articulo.oa?id=31112987002, Available online; Mungaray, A., Arzabal, N.G., Novela, G.O., Educación financiera y su efecto en el ingreso en México (2021) Problemas Del Desarrollo. Revista Latinoamericana de Economía, 52, pp. 55-78; Murillo Lozano, M., (2021) El rol de la Distribución de Capital Humano en el Crecimiento Económico: Teoría y Evidencia, , https://repositorio.unal.edu.co/bitstream/handle/unal/79667/38791894.2021.pdf?sequence=2&amp;isAllowed=y, Available online; Navarro-España, J.L., Comportamiento de los perfiles de edad-ingreso y educación-ingreso según género en Cartagena en 1999 (2011) Panorama Económico, 19, pp. 53-74; Osiobe, E.U., Human Capital and Economic Growth in Latin America: A Cointegration and Causality Analysis (2020) The Economics and Finance Letters, 7, pp. 218-235; Pacheco Lay, G.A., Miranda Blanco, A.R.O., Impacto de la crisis económica en el financiamiento y gasto público en educación en el Perú: Periodo 2020–2021 (2021) Revista Educación, 45, p. 21; Pérez-Fuentes, D.I., Castillo-Loaiza, J.L., Capital humano, teorías y métodos: Importancia de la variable salud (2016) Economía Sociedad y Territorio, p. 651; Prados de la Escosura, L., Rosés Vendoiro, J.R., Human capital and economic growth in Spain, 1850–2000 (2010) Explorations in Economic History, 47, pp. 520-532; Quispe, M., Cesar, J., Turpo, G.A.F., Álvarez, D.A.C., Saico, C.R.Y., Velásquez, W.L.V., Pinto, S.L.A., Quilca, B.E.C., Gap and Inequality in the Economic Income of Independent Workers in the Region of Puno-Peru and the Effect of the Pandemic, 2019–2020 (2022) Frontiers in Sociology, p. 31. , https://www.frontiersin.org/articles/10.3389/fsoc.2022.858331/full, Available online; Ramió, C., Salvador, M., (2005) Instituciones y nueva gestión pública en América Latina, , http://uaer.humanidades.unam.mx/boletin/Boletin-73-2020-Marzo.pdf, Available online; Ranis, G., Stewart, F., Crecimiento económico y desarrollo humano en América Latina (2002) Revista de La CEPAL, 2002, pp. 7-24; Terrones, M., Calderón, C., Educación, capital humano y crecimiento económico: El caso de América Latina (1990) Grade, , http://repositorio.grade.org.pe/handle/20.500.12820/332, Available online; Unger, J.M., Rauch, A., Frese, M., Rosenbusch, N., Human capital and entrepreneurial success: A meta-analytical review (2011) Journal of Business Venturing, 26, pp. 341-358; Urrunaga, R., Aparicio, C., Infraestructura y crecimiento económico en el Perú (2012) Revista de La CEPAL, 2012, pp. 157-177; Varona-Castillo, L., Gonzales-Castillo, J.R., Economic growth and income distribution in Peru (2021) Problemas Del Desarrollo, 52, pp. 79-107; Vázquez-Rodríguez, A., Álvarez, J.G., Rego, M.Á.S., Movilidad internacional y empleabilidad: El impacto en el capital humano y social de la juventud (2021) Educar, 57; (2018) Human Capital the Human, , https://elibrary.worldbank.org/doi/abs/10.1596/30498, Available online; (2020) Human Capital Project, , https://documents1.worldbank.org/curated/en/363661540826242921/pdf/The-Human-Capital-Project.pdf, Available online; (2017) The Global Human Capital Report 2017: Preparing for the Future of Work, , https://www3.weforum.org/docs/WEF_Global_Human_Capital_Report_2017.pdf, Available online</t>
  </si>
  <si>
    <t>Quispe-Mamani, J.C.; Facultad de Ingeniería Económica, Av. Floral 1153, Peru; email: jcquispe@unap.edu.pe</t>
  </si>
  <si>
    <t>Soc. Sci.</t>
  </si>
  <si>
    <t>2-s2.0-85135438374</t>
  </si>
  <si>
    <t>Rodas R.A.B., Bonilla B.P.</t>
  </si>
  <si>
    <t>57828923700;57828146600;</t>
  </si>
  <si>
    <t>In the image and likeness of the nobles: the case of the new neighbours of the city of Caloto, Popayan province, Kingdom of New Granada, 1784-1800 [À l’image et la ressemblance des nobles: le cas des nouveaux voisins de la Ville de Caloto, Province de Popayán, Reino de la Nueva Granada, 1784-1800] [A imagen y semejanza de los nobles: el caso de los nuevos vecinos de la ciudad de Caloto, Provincia de Popayán, Reino de la Nueva Granada, 1784-1800]</t>
  </si>
  <si>
    <t>10.19053/20275137.n25.2022.9872</t>
  </si>
  <si>
    <t>https://www.scopus.com/inward/record.uri?eid=2-s2.0-85135365036&amp;doi=10.19053%2f20275137.n25.2022.9872&amp;partnerID=40&amp;md5=4abbb3a3d5fe83954bda127488714eb5</t>
  </si>
  <si>
    <t>Editor Revista REGIÓN, Universidad del Valle- Colombia; Universidad Santiago de Cali- Colombia</t>
  </si>
  <si>
    <t>Rodas, R.A.B., Editor Revista REGIÓN, Universidad del Valle- Colombia; Bonilla, B.P., Universidad Santiago de Cali- Colombia</t>
  </si>
  <si>
    <t>The arrival of the Bourbons to the Hispanic Monarchy brought with it new ways of conceiving of the society attached to its body politic. New laws and rights were promoted, which motivated among the free population a recognition of their status and states in the space of the localities of Hispanic America. In this sense, the present work attempts to approach the case of the integration and recognition of the free population of the city of Caloto, And the contiguous seat of Quilichao. The analysis of the census carried out in the year 1784 in Caloto and of the decompiled documentation of the General Archive of the Nation, from the colony section (Cauca populations) allows the observation and identification that in the framework of the interwoven relationships of the free or mestizo population there were some activities that influenced incorporation and the forms of participation in the community. © 2022 hist.mem. All rights reserved.</t>
  </si>
  <si>
    <t>Bourbon reforms; Caloto; freemen; Intermarriage; local town halls; neighbours</t>
  </si>
  <si>
    <t>Archivo General de la Nación (AGN), Bogotá-Colombia. Poblaciones del Cauca, Rollo 4, 5 y 6; Mapoteca 4; Administración de Alcabalas, Mercancías, Licencias (Cauca) Archivo Anexo II, Caja 2, Carpeta 2; Acosta, Carlos Antonio Garriga, Los límites del reformismo borbónico: a propósito de la administración de la justicia en Indias (2002) Derecho y administración pública en las Indias hispánicas: actas del XII congreso internacional de historia del derecho indiano (Toledo, 19 a 21 de octubre de 1998), , Cortés de Castilla-La Mancha; Agüero, Alejandro, (2008) Castigar y perdonar cuando conviene a la república: la justicia penal de Córdoba del Tucumán, Siglos XVII y XVII, , Madrid: Centro de Estudios Políticos y constitucionales; Adelman, Jeremy, (2006) Sovreignty and Revolution in the Iberian Atlantic, , https://doi.org/10.1515/9781400832668, Princeton: Princeton University Press; Alzate Echeverri, Adriana, Cuerpos bárbaros y vida urbana en el Nuevo Reino de Granada (siglo XVIII) (2011) Historia de la Vida Privada en Colombia, pp. 257-260. , En Tomo I, dirigido por Jaime Borja Gómez, y Pablo Rodríguez Jiménez, Bogotá: Taurus; Bellingeri, M., (2000) Dinámicas de antiguo Régimen y orden constitucional. Representación, justicia y administración en Iberoamérica. Siglos XVIII-XIX, , ed. Turín: Otto ed; Rodas, Bolaños, Richard, A., Accediendo a la tenencia de la tierra: integración política de los libres de San Antonio de Quilichao en la jurisdicción de Caloto, provincia de Popayán (1740-1808) (2016) El Taller de la Historia, 8 (8). , https://doi.org/10.32997/2382-4794-vol.8-num.8-2016-1337, n sp; Rodas, Richard A., Entre el Rey y el Sacramento, la vecindad y el vasallaje: de libres a cristianos nuevos en el asiento de Quilichao, jurisdicción de Caloto, provincia de Popayán, Reino de la Nueva Granada. 1750-1769 (2019) Revista Historia y Espacio, 15 (52), pp. 1-31. , Bolaños n; Bolaños Rodas, Richard A., Fieles y leales vasallos del Rey”: El caso de los libres de San Antonio de Quilichao, jurisdicción de Caloto, provincia de Popayán (1750-1800) (2012) Ponencia: Memorias del XVI Congreso Colombiano de Historia, , Neiva, Huila; Rodas, Richard A., (2013) El Impacto del Reformismo Borbónico en la Nueva Granada. El caso de los indios de Jámbalo y el asiento de libres de San Antonio de Quilichao en la Jurisdicción de Caloto, Provincia de Popayán 1750- 1810, , Bolaños Tesis de pregrado, Cali: Universidad del Valle; Bolaños Rodas, Richard A., Valencia, Alonso Llano, Legitimando la posesión de la tierra: el caso de los indios tributarios de Jambaló, Jurisdicción de Caloto, provincia de Popayán. 1750-1799 (2018) Revista Región, (11), pp. 8-22. , nº; Rodas, Bolaños, Richard, A., Mezcla y legitimidad: clasificación social, étnica y de oficios, de los libres de San Antonio de Quilichao en la gobernación de Popayán (1740-1808) (2016) Ciencia Nueva, 1 (1); Bonil Gómez, Katherine, (2012) Gobierno y calidad en el orden colonial: las categorías del mestizaje en la provincia de Mariquita en la segunda mitad del siglo XVIII, , Bogotá: Ediciones Uniandes-Universidad de los Andes; Brading, David, La España de los Borbones y su imperio americano (1990) América Latina en la época colonial, compilado por Miguel León Portilla, pp. 85-126. , En Madrid: Crítica; Canedo, Mariana, Los pueblos de españoles” en la monarquía hispánica: La ampliación de jurisdicciones hacia el autogobierno. Buenos Aires, siglo XVIII y primeros años del XIX) (2016) Prohistoria, (25), pp. 03-27. , nº; Colmenares, Germán, (1986) La Independencia, Ensayos de Historia Social: Castas y Patrones de Poblamiento y conflictos sociales en las provincias del Cauca 1810-1830, , https://doi.org/10.4000/books.ifea.1704, Bogotá: Colección autores nacionales; Conde Calderón, Jorge, (1999) Espacio, sociedad y conflicto en la provincia de Cartagena 1740-185, , Barranquilla: Fondo de publicaciones Universidad del Atlántico; Duve, Thomas, El privilegio en el Antiguo Régimen y las Indias. Algunas anotaciones sobre su marco teórico-legal y la práctica jurídica (2007) Cuerpo político y pluralidad de derechos. Los privilegios de las corporaciones novohispanas, pp. 29-43. , En México: Instituto Mora; Echeverri, Marcela, Los derechos de indios y esclavos realistas y la transformación política en Popayán, Nueva Granada (1808-1820) (2009) Revista de Indias, 69 (246), pp. 45-72. , https://doi.org/10.3989/revindias.2009.012; Elliott, John H., A Europe of composite monarchies (1992) Past &amp; present, 137 (1), pp. 48-71. , https://doi.org/10.1093/past/137.1.48; GarcíaAyluardo, Clara, (2005) Elprivilegiodepertenecer:Lascomunidades de fieles y la crisis de la monarquía católica, , México: Centro de Investigación Docencia económicas CIDE; Garrido, Margarita, (1998) Libres de todos los colores en la sociedad colonial tardía: discursos y prácticas, , Cali: Universidad del Valle; Garrido, Margarita, (1993) Reclamos y representaciones. Variaciones sobre la política en el nuevo Reino de Granada, 1770-1815, , Bogotá: Banco de la República; Garrido, Margarita, Entre el honor y la obediencia: prácticas de desacato en la Nueva Granada colonial (1998) Historia y Sociedad, (5), pp. 19-35. , nº; Ginzburg, Carlo, Microhistoria: dos o tres cosas que sé de ella (1994) Manuscrits: revista d’història moderna, 12, pp. 13-42; González y González, Luis, (1972) Pueblo en vilo: microhistoria de San José de Gracia, , México: el colegio de México; Guerrero, Omar, (1994) Las raíces borbónicas del Estado mexicano, , México: UNAM; Herrera, Marta, Libres de todos los colores”: el ordenamiento social en las llanuras del Caribe, siglo XVIII (2006) El Caribe colombiano en la nación colombiana, Memorias X Cátedra Anual de Historia «Ernesto Restrepo Tirado, pp. 248-267. , En editado por Alberto Abello, Bogotá: Museo Nacional de Colombia Observatorio del Caribe Colombiano; Herrera, Marta, (2002) Ordenar para controlar. Ordenamiento espacial y control político en las Llanuras del caribe y en los Andes Centrales Neogranadinos, , Siglo XVIII. Bogotá: Instituto Colombiano de Antropología e Historia Academia Colombiana de Historia; Herrera, Marta, (2009) Popayán: la unidad de lo diverso: territorio, población y poblamiento en la Provincia de Popayán, siglo XVIII, , Bogotá: Uniandes; Herzog, Tamar, Nombres y Apellidos: ¿cómo se llamaban las personas en Castilla e Hispanoamérica durante la época moderna? (2007) Jahrbuch für Geschichte Lateinamerikas, Anuario de Historia de América Latina, 44 (1), pp. 1-36; Herzog, Tamar, (2006) Vecinos y Extranjeros. Hacerse español en la edad moderna, , Madrid: Alianza; Allan Fisher, Kuethe, John, R., Kuethe, Allan J., Mcfarlane, Anthony, (1990) Reform and Insurrection in Bourbon New Granada and Peru, , Louisiana: University Press; Lempérière, Annick, La recepción negativa de una grande idea: el absolutismo en Nueva España en la segunda mitad del siglo XVIII (2002) Élites intelectuales y modelos colectivos. Mundo ibérico (siglos XVI-XIX), pp. 199-218. , En editado por Mónica Quijada y Jesús Bustamante, Madrid: Consejo de Investigaciones Científicas; Lempérière, Annick, El paradigma colonial en la historiografía americanista (2009) La sociedad monárquica en la América Hispana, , En editado por Carrillo Magali e Isidro Vanegas. Bogotá: Plural; Lempérière, Annick, (2013) Entre Dios y el Rey: la República, la ciudad de México de los siglos XVI-XIX, , México: Fondo de Cultura Económica; Levi, Giovanni, Antropologia i microhistòria (1993) Manuscrits: revista d’història moderna, (11), pp. 15-28; Levi, Giovanni, On microhistory (1991) New perspectives on historical writing, , En editado por Peter Burke. Uk: Polity press; Lorandi, Ana María, (2008) Poder central, poder local: funcionarios borbónicos en el Tucumán colonial, , Buenos Aires: Prometeo Libros Editorial; Mc Farlane, Anthony, Renovación: el establecimiento del Virreinato (1997) En Colombia antes de la Independencia, , Bogotá: Banco de la República; Mejía Prado, Eduardo, (2002) Campesinos, poblamiento y conflictos: Valle del Cauca 1800-1848, , Cali: Univalle; Monod, Paul, Estado, nación y monarquía en el siglo XVIII: visión comparativa (1996) Las monarquías del Antiguo Régimen, ¿monarquías compuestas?, , En Madrid: Universidad Complutense; Monod, Paul, (2001) El poder de los reyes: monarquía y religión en Europa 1589-1715, , Madrid: Alianza Editorial; Morelli, Federica, La redefinición de las relaciones imperiales: en torno a la relación reformas dieciochescas/independencia en América (2017) Nuevo Mundo, Mundos Nuevos. Nouveaux mondes mondes nouveaux-Novo Mundo Mundos Novos-New world New worlds, , sp; Morelli, Federica, Pueblos, alcaldes y municipios: la justicia local en el mundo hispánico entre Antiguo Régimen y Liberalismo (2008) Historia Crítica, (36), pp. 36-57. , https://doi.org/10.7440/histcrit36.2008.03; O’Phelan Godo, Scarlett, (1988) Un siglo de rebeliones anticoloniales. Perú y Bolivia, 1700-1783, , Cusco: Centro de Estudios Regionales Andinos «Bartolomé de las Casas; Owensby, Brian P., Pacto entre el Rey lejano y súbditos indígenas, justicia, legalidad y política en Nueva España Siglo XVII (2011) Revista Historia Mexicana, 61 (1), pp. 59-106; Millán, Beatriz Patiño, (2011) Riqueza, pobreza y diferenciación social en la provincia de Antioquia durante el siglo XVIII, , Medellín, Editorial Universidad de Antioquia; Perea Bonilla, Bissy, (2017) Amores y pasiones ante la justicia de Popayán 1722- 1792, , Cali: Universidad del Valle, Tesis de maestría en historia; Rojas, Beatriz, Los privilegios como articulación del cuerpo político, Nueva España 1750-1821 (2009) La sociedad monárquica en la América Hispana, pp. 127-175. , En editado por Magalli Carrillo e Isidro Vanegas, Bogotá: Ediciones Plural; Beatriz, Rojas, Los privilegios como articulación del cuerpo político. Nueva España, 1750-1821 (2007) Cuerpo político y pluralidad de derechos. Los privilegios de las corporaciones novohispanas, pp. 127-174. , En editado por Beatriz Rojas, México: CIDE Instituto Mora; Sánchez Mejía, Hugues, De arrochelados a vecinos: reformismo borbónico e integración política en las gobernaciones de Santa Marta y Cartagena, Nuevo Reino de Granada, 1740-1810 (2015) Revista de Indias, (264), pp. 457-488. , https://doi.org/10.3989/revindias.2015.015, nº; Sánchez Mejía, Hugues, Amancebamiento, poligamia, lujuria y otros excesos de la población libre en el Caribe Colombiano. El nacimiento de una cultura. 1750-1880 (2004) Identidades, CulturaPopularyMúsicaTradicionalenelCaribeColombiano, pp. 45-60. , En editado por Hugues Sánchez y Leovedis Martínez, Valledupar: Ediciones Unicesar; Sánchez Mejía, Hugues, De esclavos a campesinos, de la “roza” al mercado: tierra y producción de los “libres de todos los colores” en la gobernación de Santa Marta (1740-1810) (2011) Historia Crítica, (43), pp. 130-155. , https://doi.org/10.7440/histcrit43.2011.08, nº; Sánchez Mejía, Hugues, Calderón, Jorge Conde, Entre la asignación de privilegios, el Estado y la causa pública: tierras y oratorio para el asiento de libres de Quilichao, Popayán, 1750-1810 (2019) Anuario Colombiano de historia social y de la cultura, 46 (1), pp. 59-83. , https://doi.org/10.15446/achsc.v46n1.75553, n; Solano, Sergio Paolo, Flórez, Roicer, Artilleros pardos y morenos artistas’: Artesanos, raza, milicias y reconocimiento social en el Nuevo Reino de Granada, 1770-1812 (2012) Historia Crítica, (48), pp. 11-37. , https://doi.org/10.7440/histcrit48.2012.02, nº; Valencia, Alonso, La Insurgencia Social y la Consolidación de los Campesinos Vallecaucanos (2003) Historia y Espacio, (21), pp. 53-72. , https://doi.org/10.25100/hye.v0i21.7050; Vázquez, Josefina Zoraida, (1992) Interpretaciones del siglo XVIII mexicano. El impacto de las reformas borbónicas, , ed. México: Nueva Imagen; Walker, Charles F., (1996) Entre la retórica y la insurgencia: las ideas y los movimientos sociales en los Andes, siglo XVIII, , dir. Cuzco: Centro de Estudios Regionales Andinos «Bartolomé de las Casas; El régimen de intendencias en el marco de las monarquías hispanas Rafael Diego-Fernández (2016) Issues, 53. , https://doi.org/10.7767/jbla-2015-0108; Zamora, Romina, (2014) Casa poblada y buen gobierno. La ciudad de San Miguel de Tucumán en el largo siglo XVIII, , Tesis de doctorado en historia de América Latina, Universidad Pablo de Olavide; Zamora, Romina, Que por su juicio y dictamen no puede perjudicar la quietud pública”. Acerca de la administración de justicia en San Miguel de Tucumán a fines del siglo XVIII (2011) Autoridades y prácticas judiciales en el Antiguo Régimen, problemas jurisdiccionales en el Río de la Plata, , En Córdoba, Tucumán, Cuyo y Chile, coordinado por María Paula Polimene. Rosario: Protohistoria; Zamora, Romina, Sobre la función de policía y el orden económico en San Miguel de Tucumán a fines del siglo XVIII. De presuntos delincuentes, acaparadores y monopolistas (2014) Historia Y MEMORIA, (8), pp. 175-207. , https://doi.org/10.19053/20275137.4444; Ramírez, Zuluaga, Uriel, Francisco, El paraguas: una forma de hacer historia local (I parte) (2006) Historia y Espacio, 2 (26), pp. 8-9. , https://doi.org/10.25100/hye.v2i26.1653; Ramírez, Zuluaga, Uriel, Francisco, (1997) La Protesta Social en el Suroccidente Colombiano Siglo XVIII, , Cali: Univalle</t>
  </si>
  <si>
    <t>Rodas, R.A.B.; Editor Revista REGIÓN, email: apolonioderodas@gmail.com</t>
  </si>
  <si>
    <t>2-s2.0-85135365036</t>
  </si>
  <si>
    <t>Bonito J.C., Arango D.E.S.</t>
  </si>
  <si>
    <t>57564308500;6505450602;</t>
  </si>
  <si>
    <t>Internationalisation at home. The experience of doing an internship during the confinement due to COVID-19 in Colombia and Spain (2000-2020) [L’internationalisation chez-soi. Une expérience de stage pendant le confinement à cause du Covid-19 en Colombie et en Espagne (2000-2020)] [La internacionalización en casa. Una experiencia de pasantía en el confinamiento del covid-19 en Colombia y España (2000-2020)]</t>
  </si>
  <si>
    <t>https://www.scopus.com/inward/record.uri?eid=2-s2.0-85135348098&amp;doi=10.19053%2f20275137.n25.2022.14542&amp;partnerID=40&amp;md5=a719d6be27f1c8f64c36f8b74376ede8</t>
  </si>
  <si>
    <t>Universidad Pablo de Olavide, Spain; Universidad Pedagógica y Tecnológica de Colombia, Colombia</t>
  </si>
  <si>
    <t>Bonito, J.C., Universidad Pablo de Olavide, Spain; Arango, D.E.S., Universidad Pedagógica y Tecnológica de Colombia, Colombia</t>
  </si>
  <si>
    <t>Under the direction of researchers from the Universidad Pedagógica y Tecnológica de Colombia (UPTC) and the Universidad Pablo de Olavide de Sevilla (UPO), this work intends to analyze the experience of the internationalisation of the Doctorate in Education Sciences Rudecolombia, comparing the first in-person internship in the year 2000 with the virtual one that took place in the Covid-19 pandemic period. An analysis of the internationalisation of the at-home curriculum was carried out with the mechanisms that were established in order to reach their members, establishing links that humanize academic relationships with human challenges and virtual realities in the context of cuts to the financing of public universities in Colombia. Using the methods of social history and heuristic analysis of the sources, it is concluded that the doctoral program has from the beginning implemented internationalisation, mobility and research in the curriculum. This virtual internship showed the good practices developed by universities working as a network and the creative capacity of the collective to provide experiences in specific spaces and times, with activities permeated by human affect in distance education, solving problems related to virtual learning as well as human and institutional issues, in addition to those pertaining to the lack of financing for public universities in Colombia. © 2022 hist.mem. All rights reserved.</t>
  </si>
  <si>
    <t>doctorates; Internationalisation; pandemic; technologies</t>
  </si>
  <si>
    <t>Acuerdo 068/2019, 28 de agosto, por el cual se reglamenta la movilidad de docentes y estudiantes en la UPTC; (1996), Convenio 4 de junio de Reglamento de Estudiantes, por Convenio 001 de 1 abril de 2016. RudeColombia; Manifiesto de Rectores RUDECOLOMBIA (2009) Revista Historia de la Educación Latinoamericana, (12), pp. 286-288; Resolución 1951/2000, 12 de julio, por la cual otorga la acreditación previa a cinco universidades Doctorado Ciencias de la Educación RudeColombia; Resolución 2333/1998, 3 de julio, por el cual se da aprobación del Doctorado en Ciencias de la Educación, , Ministerio de Educación Nacional; Las “misiones académicas” al exterior (2007), Circular 21, Diana Elvira SotoArango,directoraacadémicanacional,RUdecolombia, 11 de abril de; Tunja-Colombia. Fondo legislación, , Archivo personal de Diana Soto Arango (privado), RudeColombia; Archivo de la Facultad de Educación, , Universidad Pedagógica y Tecnológica de Colombia; Castells, Manuel, (1997) La Era de la Información: Economía, Sociedad y Cultura, , Madrid: Alianza Editorial; Cuño Bonito, Justo, El espacio Iberoamericano del Conocimiento en la Perspectiva de Transformación de la Universidad en una Microversidad (2019) Revista Historia de la Educación Latinoamericana, 21 (32), pp. 35-58. , https://doi.org/10.19053/01227238.9059; Cuño Bonito, Justo, La Universidad Latinoamericana en la Encrucijada: Amenazas, Desafíos y Soluciones (2016) Revista Historia de la Educación Latinoamericana, 18 (26), pp. 241-277; Declaración de Principios de Rudecolombia (2009) Revista Historia de la Educación Latinoamericana, (12), pp. 286-287; Gadotti, Moacir, El pensamiento pedagógico crítico (2008) Historias de las ideas pedagógicas, pp. 199-214. , En México: Siglo XXI; Gibbons, Michel, Limoges, Camille, Nowotny, Helga, Schwartzman, Simon, Scoot, Peter, Martin, Trow, (1997) La nueva producción del conocimiento. La dinámica de la ciencia y la investigación en las sociedades contemporáneas, , Barcelona: Ediciones Pomares Corredor; Lomnitz, Larissa Adler, (1994) Redes Sociales, Cultura, y Poder: Ensayos de Antropología Latinoamericana, , México City: Facultad Latinoamericana de Ciencas Sociales, México City; García, José Pascual, Arango, Diana Elvira Soto, Rubens Lima Jardilino, José, La historia de la educación en América Latina: contribución y aportes de la Sociedad de Historia de la Educación Latinoamericana - SHELA (1994-2015) (2017) Historia da Educação, 21 (51), pp. 351-375. , http://dx.doi.org/10.1590/2236-3459/66357, n; Reynaga Obregon, Sonia, Flores, Emiliano Farfán, Redes académicas… potencialidades académicas (2004) Ponencia presentada en el Cuarto Congreso Nacional y Tercero Internacional Retos y expectativas de la Universidad, , Guadalajara, Universidad de Guadalajara, febrero de; Ruiz, Álvarez, (2014) Interculturalidad: Conceptos, alcances y derecho, , México, Cámara de Diputados México: Ediciones Mesa Directiva; Sebastián, Jesús, Lasredesdecooperacióncomomodeloorganizativo y funcional para la I+D (2000) Redes, (15), pp. 97-111; Sloep, Peter, RedesdeAprendizaje,Aprendizaje En Red (2011) Comunicar, 19 (37), pp. 55-64. , https://doi.org/10.3916/C37-2011-02-05, yAdrianaBerlanga. n; Sotelo, María del Carmen, Globalización de la Educación: Comunidades Virtuales de Aprendizaje y su Participación en las Instituciones Educativas (2009) Hospitalidad ESDAI, (16), pp. 37-60; Arango, Soto, Elvira, Diana, El Doctorado en Ciencias de la Educación de RUDECOLOMBIA, un proyecto de integración universitaria (2004) Revista Pensamiento y Acción; Arango, Diana Elvira, Los doctorados en Colombia. Un camino hacia la transformación universitaria (2009) Revista Historia de la Educación Latinoamericana, (12), pp. 157-19. , Soto n; Arango, Diana Elvira, Redes universitarias en Colombia. Nueva concepción histórica para la universidad (2010) Revista Historia de la Educación Latinoamericana, (15), pp. 241-270. , https://doi.org/10.19053/01227238.1579, Soto n; Arango, Diana Elvira, Villate, Sandra Bernal, Boletín Informativo, n° 4 (2016). cade-Uptc Boletín de Historia y Prospectiva de la Universidad Latinoamericana, (18), p. 81. , n (2016); Tamayo, Rafael Lodezma, La Autoevaluación, la Coevaluación y la Evaluación Compartida en la Evaluación de la Integralidad en Educandos del Preuniversitario Cubano - Dialnet (2011) Cuadernos de Educación y Desarrollo, 3 (28). , https://econpapers.repec.org/article/ervcedced/y_3a2011_3ai_3a28_3a96.htm, n sp; Fandiño, Velásquez, Alvinzy, Laity, Las Redes de Investigación Virtuales: Propuesta de Fomento y Desarrollo de la Cultura Investigativa en las Instituciones de Educación Superior (2008) RUSC. Universities and Knowledge Society Journal, 4 (2), p. 5. , https://doi.org/10.7238/RUSC.V4I2.306; Wilson, Kofi Bentum, Impact of Emerging Technologies on Teacher Education: Experiences of Teacher-Trainees (2014) Journal of Education and Practice, 5 (28), pp. 168-175</t>
  </si>
  <si>
    <t>Bonito, J.C.; Universidad Pablo de OlavideSpain; email: jcubon@upo.es</t>
  </si>
  <si>
    <t>2-s2.0-85135348098</t>
  </si>
  <si>
    <t>Niño L.C.P.</t>
  </si>
  <si>
    <t>57828146500;</t>
  </si>
  <si>
    <t>Barclay, Katie, Sharon Crozier-De Rosa, y Peter N. Stearns, ed. Sources for the History of Emotions: A guide. Nueva York: Routledge, 2020, 251 p.</t>
  </si>
  <si>
    <t>10.19053/20275137.n25.2022.12989</t>
  </si>
  <si>
    <t>https://www.scopus.com/inward/record.uri?eid=2-s2.0-85135342493&amp;doi=10.19053%2f20275137.n25.2022.12989&amp;partnerID=40&amp;md5=63c65930f540d95e9927ce79dcb361bb</t>
  </si>
  <si>
    <t>Universidade Federal de Juiz de For, Brazil</t>
  </si>
  <si>
    <t>Niño, L.C.P., Universidade Federal de Juiz de For, Brazil</t>
  </si>
  <si>
    <t>Barclay, Katie, The practice and ethics of the history of emotions (2020) Sources for the History of Emotions, pp. 26-37. , https://doi.org/10.4324/9780429291685-3, En editado por Katie Barclay, Sharon Crozier-De Rosa y Peter Stearns, Nueva York: Routledge; Barclay, Katie, Rosa, Sharon Crozier-De, Stearns, Peter N., (2020) Sources for the History of Emotions: A guide, , https://doi.org/10.4324/9780429291685, ed. Nueva York: Routledge; Barclay, Katie, Rosa, Sharon Crozier-De, Stearns, Peter N., Introduction: a guide to source for the history of emotions (2020) Sources for the History of Emotions, pp. 3-14. , En editado por Katie Barclay, Sharon Crozier-De Rosa y Peter Stearns, Nueva York: Routledge; Dodman, Thomas, Theories and Methods in the history of emotions (2020) Sources for the history of emotions: A guide, pp. 15-25. , https://doi.org/10.4324/9780429291685-2, En editado por Katie Barclay, Sharon Crozier-De Rosa y Peter N. Stearns, Nueva York: Routledge; Elías, Norbert, (1990) La sociedad de los individuos, , Barcelona: Península; Garrido Otoya, Margarita, Historia de las emociones y los sentimientos: aprendizajes y preguntas desde América Latina (2020) Historia Crítica, (78), pp. 9-23. , http://doi.org/10.7440/histcrit78.2020.02; Neuendorf, Mark, Emotions and the body (2020) Sources to the history of emotions: A guide, pp. 224-239. , https://doi.org/10.4324/9780429291685-18, En editado por Katie Barclay, Sharon Crozier-De Rosa y Peter N. Stearns, Nueva York: Routledge; Roddice, Rob, (2018) The history of emotions, , Manchester: Manchester University Press; Stearns, Peter N., (2020) Epílogo a Sources to the history of emotions: A guide, pp. 240-242. , https://doi.org/10.4324/9780429291685-19, editado por Katie Barclay, Sharon Crozier-De Rosa y Peter N. Stearns, Nueva York: Routledge; Stearns, Peter N., Stearns, Carol Z., (1989) Anger: the struggle for emotional control in America's history, , Chicago: University of Chicago Press; Stearns, Peter N., Stearns, Carol Z., Emotionology. Clarifying the History of Emotions and Emotional Standards (1985) The American Historical Review, 90 (4), pp. 813-830. , https://doi.org/10.1086/ahr/90.4.813</t>
  </si>
  <si>
    <t>Niño, L.C.P.; Universidade Federal de Juiz de ForBrazil; email: lcpinto22@yahoo.com</t>
  </si>
  <si>
    <t>2-s2.0-85135342493</t>
  </si>
  <si>
    <t>Monroy Hernández C.L.</t>
  </si>
  <si>
    <t>57826039600;</t>
  </si>
  <si>
    <t>The Government of Carlos E. Restrepo, 1910 -1914. The rise and fall of the Republican Union [Le gouvernement de Carlos E. Restrepo, 1910-1914. Ascension et déclive de l'Unión Republicana] [Gobierno de Carlos E. Restrepo, 1910 -1914. Ascenso y decaimiento de la Unión Republicana]</t>
  </si>
  <si>
    <t>https://www.scopus.com/inward/record.uri?eid=2-s2.0-85135229210&amp;doi=10.19053%2f20275137.n25.2022.11711&amp;partnerID=40&amp;md5=a891bf3518da16ca78e4c3c7bb5eb486</t>
  </si>
  <si>
    <t>Secretaría de Educación de Tunja, Colombia</t>
  </si>
  <si>
    <t>Monroy Hernández, C.L., Secretaría de Educación de Tunja, Colombia</t>
  </si>
  <si>
    <t>The Republican Union was a political movement that existed in Colombia between 1908 and 1914 and which represented an advance in terms of political modernity under the principles of tolerance and conciliation. The objective of this article is to analyse the presidential term of Carlos E. Restrepo 1910-1914, considered to be moderate, which sought to consolidate peace and national progress, confronting economic and political instability and conflicts between conservatives and liberals. The text is framed within political history and attempts to make an account of the institutions, subjects, ideas, information networks, the role of the actors and the political practices. The hypothesis that is put forward in this article is that the Republican Union, despite proposing a quick advance in economic progress, formulating a novel policy of public instruction, attempting to separate the Church from politics, and representing both liberals and conservatives in the government of Carlos E. Restrepo, was not solid enough, nor could it confront the traditionalist mentality and political practices of Colombian society at the beginning of the 20th Century that propelled the bipartisan conflict, causing opposition between old friends and allies of republicanism. This resulted in the return of many of its leaders to their parties of origin, the weakening of the republican project and the erosion of the Republican Union as a bipartisan political movement. © 2022 Universidad Pedagogica y Tecnologica de Colombia, Instituto de Investigaciones y Formacion Avanzada. All rights reserved.</t>
  </si>
  <si>
    <t>political modernity; political parties; Republican Union</t>
  </si>
  <si>
    <t>Rodríguez, Olga Yanet, 1910 Colombian constitutional reform and the electoral system 1910-1914 (2017) Historia Y MEMORIA, (14), pp. 97-126. , http://dx.doi.org/10.19053/20275137.n14.2017.5817, Acuña n; Acuña Rodríguez, Olga, (2018) Ciudadanía Política en Construcción. Colombia 1910-1914, , Tunja: Universidad Pedagógica y Tecnológica de Colombia; Christopher, Abel, (1987) Política, Iglesia y partidos en Colombia, , Colombia: FAES, Universidad Nacional de Colombia, Primera Edición; Álvarez Llanos, Jaime, (2010) ¡Metiendo Mano! Costumbres electorales en el Bolívar grande, 1905-1930, , Barranquilla: Universidad de la Costa EDUCOSTA, Corporación Universitaria de la Costa, CUC; Bello, Luis Baudilio, La problemática de la Instrucción Pública y la propuesta del Partido Republicano en 1915 (1986) Anuario Colombiano de Historia Social y de la Cultura, (13-14), pp. 189-208. , http://bdigital.unal.edu.co/35735/1/36150-150027-1-PB.pdf, n Acceso el 4 de junio de 2020; Bergquist, Charles, (1999) Café y Conflicto en Colombia, , Bogotá: El Ancora Editores, Banco de la República; Brugman, Catalina, El Fracaso del Republicanismo en Colombia. 1910-1914 (2001) En Historia Crítica, (21), pp. 91-110. , https://doi.org/10.7440/histcrit21.2001.08; Lucero, Coral, Iván, James, Aproximaciones ideológicas a la reforma constitucional de 1910 en Colombia (2016) Papel Político, 21 (2), pp. 373-393. , https://doi.org/10.11144/Javeriana.papo21-2.airc; Cortés, José David, (1998) Curas y Políticos. Mentalidad religiosa e intransigencia en la diócesis de Tunja, , Colombia: Ministerio de Cultura; Duque Daza, Javier, La Reforma Constitucional de 1910. Constantes institucionales, consensos y nuevas reglas (2011) Papel Político, 16 (1), pp. 185-212; Henderson, James D., (2006) La modernización en Colombia. Los años de Laureano Gómez, 1889-1965, , Medellín: Editorial Universidad de Antioquia; Cortés, Martha Cecilia, (1999) Modernización y Escuela Nueva en Colombia: 1914-1951, , Herrera Bogotá: Plaza &amp; Janés Editores; Melo, Jorge Orlando, De Carlos E. Restrepo a Marco Fidel Suárez. Republicanismo y gobiernos conservadores (2001) Nueva Historia de Colombia, pp. 215-242. , En editado por Álvaro Tirado Mejía, Bogotá: Editorial Planeta; Molina, Gerardo, (1970) Las Ideas Liberales en Colombia 1849-1914, , Bogotá: Editorial Universidad Nacional de Colombia; Hernández, Monroy, Liliana, Claudia, Rodríguez, Olga Yanet Acuña, De las Juntas Republicanas a la Unión Republicana. Colombia 1908-1910 (2021) Secuencia, (109), p. e1717. , https://doi.org/10.18234/secuencia.v0i109.1717, 2021; Restrepo, Carlos E., (1982) Carlos E. Restrepo antes de la Presidencia, , Medellín: Lotería de Medellín; Restrepo, Carlos E., (1972) Orientación Republicana, I. , Tomo Medellín: Banco Popular; Restrepo, Carlos E., (1972) Orientación Republicana, , Tomo II. Medellín: Banco Popular; Ríos Beltrán, Rafael, Escuela Nueva y saber pedagógico en Colombia: apropiación, modernidad y métodos de enseñanza. Primera mitad del siglo XIX (2012) Historia y Sociedad, (24), pp. 79-107. , http://www.scielo.org.co/pdf/hiso/n24/n24a03.pdf, n Acceso el 4 de junio de 2020</t>
  </si>
  <si>
    <t>Monroy Hernández, C.L.; Secretaría de Educación de TunjaColombia; email: climohe@gmail.com</t>
  </si>
  <si>
    <t>2-s2.0-85135229210</t>
  </si>
  <si>
    <t>Rodríguez O.Y.A.</t>
  </si>
  <si>
    <t>57194097850;</t>
  </si>
  <si>
    <t>Free theme [Editorial. Tema Libre]</t>
  </si>
  <si>
    <t>https://www.scopus.com/inward/record.uri?eid=2-s2.0-85135228013&amp;doi=10.19053%2f20275137.n25.2022.14175&amp;partnerID=40&amp;md5=a50929d20bdf85e680d59670cbc9c597</t>
  </si>
  <si>
    <t>Universidad Pablo de Olavide, Spain; Historia y Escuela de Ciencias Sociales, Universidad Pedagógica y Tecnológica de Colombia, Colombia</t>
  </si>
  <si>
    <t>Rodríguez, O.Y.A., Universidad Pablo de Olavide, Spain, Historia y Escuela de Ciencias Sociales, Universidad Pedagógica y Tecnológica de Colombia, Colombia</t>
  </si>
  <si>
    <t>Rodríguez, O.Y.A.; Universidad Pablo de OlavideSpain; email: olga.acuna@uptc.edu.co</t>
  </si>
  <si>
    <t>2-s2.0-85135228013</t>
  </si>
  <si>
    <t>Valderrama J.M., Lopera W.D.O.</t>
  </si>
  <si>
    <t>16307488900;57826381800;</t>
  </si>
  <si>
    <t>Caponi, Sandra. Uma sala tranquila: neurolépticos para uma biopolítica da indiferença. São Paulo: Liber Ars, 2019, 216 p.</t>
  </si>
  <si>
    <t>10.19053/20275137.n25.2022.14242</t>
  </si>
  <si>
    <t>https://www.scopus.com/inward/record.uri?eid=2-s2.0-85135226422&amp;doi=10.19053%2f20275137.n25.2022.14242&amp;partnerID=40&amp;md5=973de138eef178ff5650cfbdff19534a</t>
  </si>
  <si>
    <t>Universidad Nacional de Colombia, Sede Medellín, Colombia</t>
  </si>
  <si>
    <t>Valderrama, J.M., Universidad Nacional de Colombia, Sede Medellín, Colombia; Lopera, W.D.O., Universidad Nacional de Colombia, Sede Medellín, Colombia</t>
  </si>
  <si>
    <t>2-s2.0-85135226422</t>
  </si>
  <si>
    <t>Lima Jardilino J.R., Ferreira M.G.</t>
  </si>
  <si>
    <t>57193001763;57825869500;</t>
  </si>
  <si>
    <t>The Inquisition in Brazil: Modus operandi of the inquisitors of the Tribunal of the Holy Office of Lisbon in the processes that involved the colony (1640 - 1739) [Inquisition au Brésil: Modus operandi des inquisiteurs du Tribunal do Santo Oficio de Lisbonne dans les procès impliquant la colonie (1640-1739)] [Inquisição no Brasil: Modus operandi dos inquisidores do Tribunal do Santo Oficio de Lisboa nos processos envolvendo a colônia (1640 - 1739)] [L'inquisición en Brasil: Modus operandi de los inquisidores del Tribunal do Santo Oficio de Lisboa en los procesos que involucran a la colonia (1640 - 1739)]</t>
  </si>
  <si>
    <t>10.19053/20275137.n25.2022.11382</t>
  </si>
  <si>
    <t>https://www.scopus.com/inward/record.uri?eid=2-s2.0-85135224676&amp;doi=10.19053%2f20275137.n25.2022.11382&amp;partnerID=40&amp;md5=e13d9340ca983c778fcd49985ebbdf0c</t>
  </si>
  <si>
    <t>Universidade Federal de Ouro Preto, Minas Gerias, Brazil; Universidade Estadual de Minas Gerais, Brazil</t>
  </si>
  <si>
    <t>Lima Jardilino, J.R., Universidade Federal de Ouro Preto, Minas Gerias, Brazil; Ferreira, M.G., Universidade Estadual de Minas Gerais, Brazil</t>
  </si>
  <si>
    <t>This article deals with the Inquisition in Brazil and the role of the inquisitors in the procedural modus operandi of the ecclesiastical Tribunal of the Holy Office of Lisbon. The source documents indicate part of what was the Portuguese inquisition in Brazil during the colonization process of the territory. It seeks to understand the rite of the process through the actions of the inquisitors, the highest office in the organisation of the Holy Office of the Portuguese Inquisition. With this objective, it was necessary to approach documental sources such as the regulation, the manual for inquisitors and the cases of those accused of various crimes during the Tribunal of Lisbon. The study was realised based on primary sources and illustrated by a case in the colony of Brazil, among many others, providing details about the diverse cases that were judged in the tribunal of the Holy Office of Lisbon, as the Portuguese colony did have its own court yet installed. It is hoped that this study inspires further investigations into the subject with an eye towards studying the most varied processes of the inquisition in Brazil during the colonial period. © 2022 Universidad Pedagogica y Tecnologica de Colombia, Instituto de Investigaciones y Formacion Avanzada. All rights reserved.</t>
  </si>
  <si>
    <t>colonial history; ecclesiastic law; Inquisition in Brazil; Portuguese Inquisition</t>
  </si>
  <si>
    <t>Almeida, Candido Mendes de, (1870) Ordenações e leis do Reino de Portugal, , Rio de Janeiro: Typ. do Instituto Philomathico; Cardin, Pedro, El catolicismo tridentino y los brotes del protestantismo en la América Portuguesa (1551-1707) (2018) La Reforma Luterana e sus influencias en América Latina. Del pasado al presente, pp. 117-145. , En editado por Enrique Ayala-Mora, Quito: Universidad Andina Simón Bolivar; Feitler, Bruno, A delegação de poderes inquisitoriais: o exemplo de Goa através da documentação da Biblioteca Nacional do Rio de Janeiro (2008) TEMPO, (24), pp. 137-158. , no; Feitler, Bruno, (2007) Nas Malhas da consciência: Igreja e Inquisição no Brasil, p. 207. , São Paulo: Phoebus; Herculano, Alexandre, (1852) História da Origem e Estabelecimento da Inquisição em Portugal: 1854/1859, , Lisboa: Faculdade de Letras da Universidade de Lisboa; Lima-Jardilino, J.R., Dos calvinistas españoles en los orígenes de la Reforma Protestante. Francisco de Enzenas y Juan Pérez de Pineda (2018) La Reforma Luterana e sus influencias en América Latina. Del pasado al presente, pp. 51-69. , En. editado por Enrique Ayala-Mora. Quito: Universidad Andina Simón Bolivar; Llorente, J. A., (1870) História Crítica de la Inquisición Espanola, I, pp. 395-397. , Barcelona: Biblioteca Ilustrada de Ambos Mundos Juan Pons (ed)), Tomo; Mattos, Yllan, (2013) A Inquisição Contestada: Críticos e críticas ao Santo Oficio Português (1605-1681), , Tesis de doctorado, Universidade Federal Fluminese, Brasil; Millán, José Martínez, Estructura de la hacienda de la Inquisición (2000) Historia de la Inquisición en España y América, 2, pp. 885-1076. , En. editado por Bartolomé Escandell Bonet, dirigido por Joaquín Pérez Villanueva, Madrid: Biblioteca de Autores Cristianos; Nazario, Luiz, (2005) Autos-de-fé como espetáculos de massas, , São Paulo: Associação Editorial Humanitas; Novinsky, Anita Waingort, (2018) Viver nos tempos da Inquisição, , São Paulo: Perspectiva; Novinsky, Anita, (2002) Inquisição: prisioneiros do Brasil, , Rio de Janeiro: Expressão e Cultura; Oliveira, Yllan de Mattos, A Inquisição na Época Moderna e as problemáticas em torno da intolerância religiosa: Uma entrevista com a Profa. Dra. Isabel Maria Ribeiro Mendes Drumond Braga (2016) Temporalidades Revista de História, (3), pp. 523-528; Pieroni, Geraldo, (2000) Os excluídos do Reino: A Inquisição Portuguesa e o Degredo para o Brasil Colônia, , Brasília: Ed. Universidade de Brasília, 2000: São Paulo: Imprensa Oficial do Estado; Carrasco, Rafael, La Nueva Jerusalén y la memoria judeoconversa (siglos XVI-XVII) (1996) La inquisición y la sociedad española, pp. 9-30. , En editado por Rafael Carrasco, Ricardo García Cárcel, y Jaime Contreras, Valencia: Real Sociedad Económica de Amigos del País; Rezende, Maria Leônia Chaves, de Sousa, Rafael José, Por temer o Santo Oficio: As denúncias de Minas Gerais no Tribunal da Inquisição (século XVIII) (2016) Varia. Historia, 58, pp. 203-224. , https://doi.org/10.1590/0104-87752016000100009, de y, no; Rodrigues, Aldair Carlos, (2007) Sociedade e inquisição em Minas colonial: Os familiares do Santo Oficio (1711-1808), , Tesis de doctorado, Universidade de São Paulo, Brasil; Rust, Leandro Duarte, Bulas Inquisitoriais: Ad Abolendam (1184) e Vergentis in Senium (1199) (2012) Revista De História, 166, pp. 129-161. , no; Rust, Leandro Duarte, Bulas Inquisitoriais: Ad Extirpanda (1252) (2014) Revista Diálogos Mediterrânicos, (7), pp. 200-228. , no; Siqueira, Sônia Aparecida de, A disciplina da vida colonial: Os regimentos da Inquisição (1996) Revista Do Instituto Histórico E Geográfico Brasileiro, 392, pp. 495-1020. , no; Vainfas, Ronaldo, (1995) Heresia dos Índios: Catolicismo e Rebeldia no Brasil Colonial, , São Paulo: Companhia das Letras; Vainfas, Ronaldo, (1997) Trópico dos Pecados: Moral, Sexualidade e Inquisição no Brasil Colonial, , São Paulo: Ed. Nova Fronteira; Vide, D., (1853) Sebastião Monteiro da, Constituições primeiras do Arcebispado da Bahia, 12 de junho do ano de 1707, , São Paulo: Typographia de Antônio Louzada Antunes; Werner, Thomas, (2001) La represión del protestantismo en España - 1517-1648, , Louvain, Belgium: Leuven University Press</t>
  </si>
  <si>
    <t>2-s2.0-85135224676</t>
  </si>
  <si>
    <t>Samudio E.O.A.</t>
  </si>
  <si>
    <t>56100562100;</t>
  </si>
  <si>
    <t>Sports in the construction of the imaginary of the modern woman in Panama [L’activité sportive dans la construction de l’imaginaire de la femme moderne à Panamá] [La actividad deportiva en la construcción del imaginario de la mujer moderna en Panamá]</t>
  </si>
  <si>
    <t>10.19053/20275137.n25.2022.14196</t>
  </si>
  <si>
    <t>https://www.scopus.com/inward/record.uri?eid=2-s2.0-85135222411&amp;doi=10.19053%2f20275137.n25.2022.14196&amp;partnerID=40&amp;md5=36bec0c64bef40358d77ff20c6e6f039</t>
  </si>
  <si>
    <t>SENACYT, Panama; University College, Universidad de Londres, United Kingdom</t>
  </si>
  <si>
    <t>Samudio, E.O.A., SENACYT, Panama, University College, Universidad de Londres, United Kingdom</t>
  </si>
  <si>
    <t>This article deals with the tough and prolonged struggle of women to overcome the obstacles imposed on their participation in sports in a society conceived and ruled under masculine precepts, which we identify as female androcentric imaginary. In this context, the main objective of this study is to analyze the incorporation process of the female physical culture in the educational environment of Panama during an important period and its role in the changes of the androcentric female social imaginary. This article is supported by the study and analysis of significant bibliographic and newspaper data collected. © 2022 Universidad Pedagogica y Tecnologica de Colombia, Instituto de Investigaciones y Formacion Avanzada. All rights reserved.</t>
  </si>
  <si>
    <t>female imaginary; history of Panama; modern woman; sports</t>
  </si>
  <si>
    <t>Arias de Galindo, Rosario, El Camino Recorrido (2008) Memorias, , En Colombia: Editorial Panamericana; Cabezas, Joaquín, (1907) Revista Escolar, Sección de Variedades, Año, 3 (12), pp. 377-378; Castoriadis, Cornelius, (1983) La institución imaginaria de la sociedad: Marxismo y teoría revolucionaria, , Barcelona: Tusquets; Duby, Georges, Perrot, Michelle, (2000) Historia de las Mujeres, , Tomo Madrid: Taurus Minor; Gaitán, C. R. Urbina, Inicios de la modernización de la práctica del ejercicio físico en Panamá y Costa Rica (2018) Lecturas: Educación Física y Deportes, 23 (244), pp. 2-14; García Avendaño, Pedro, Mujer y deporte hacia la equidad e igualdad (2008) Revista Venezolana de Estudios de la Mujer, 13 (30), pp. 063-076. , http://www.scielo.org.ve/scielo.php?script=sci_arttext&amp;pid=S1316-37012008000100004&amp;lng=en&amp;nrm=iso&amp;tlng=; García Bonafé, Milagros, El siglo XX. La revolución deportiva de las mujeres (2001) Revista Apunts, Educación Física Deportes, (64), pp. 63-68; Lerner, Gerda, (1986) The Creation of a Ptariarchy, , New York: Oxford University Press; López, Patricia, De los juegos Heroes a Barcelona ´92: el día que la Mujer saltó a la cancha (2018) Palco 23, Dossier: La mujer, el mejor fichaje para el deporte), , https://www.palco23.com/publicaciones/dossier.html; Méndez Pereira, Octavio, (1999) Historia de la Instrucción Pública en Panamá, , Panamá: Biblioteca de la Nacionalidad; Neira de Calvo, Esther, Lo que debe ser la educación física (1919) Cuasimodo, pp. 76-79; Oller, Juana, Discurso pronunciado en el ´Club Ariel´ en la velada en que esta sociedad conmemoró su segundo aniversario (Julio de 1917) (1922) Pro-Cultura. Discursos y conferencias, , En Panamá: Talleres Gráficos de «El Tiempo; Oller, Juana, (1978) Valores femeninos panameños, , Panamá: s/ed; Pérez, M., Bertina, Informe de la directora de la Escuela Normal de Institutoras al señor secretario de Instrucción Pública (1907) Reseña Escolar. Revista mensual, Año, 3 (8), pp. 255-258; Perkins Gilman, Charlotte, (2009) Our Androcentric Cultur, or The Man-Made World, , (sl: Disponible en: The Project Gutenberg, ReadHowYouWant); Felipe, M., La Educación Física (1908) Revista Escolar. Revista mensual, órgano oficial de la Secretaría de Instrucción Pública. Año, 4 (10). , Salabarría n; Samudio, A., Edda, O., El imaginario femenino emeritense y el advenimiento del movimiento sufragista en Venezuela (1936-1947) Procesos. Revista Ecuatoriana de Historia, 51. , no Quito-Ecuador: Universidad Andina Simón Bolívar; Verlichak, Carmen, (1996) Las diosas de la Belle Époque y de los ‘años locos’, , Buenos Aires: Editorial Atlántida; Vidaurreta Campillo, María, La guerra y la condición femenina (1978) REIS: Revista Española de Investigaciones Sociológicas, (1 65-104), p. 75. , nº; Marco Serra, Yolanda, La Escuela Normal de Institutoras (2014), La Prensa, Raíces, Panamá, 21 de diciembre de; Muntaz, Mahal, Deporte y Feminismo (1925) La Estrella de Panamá, , Panamá, 21 de junio de; 254 atletas integran la delegación de Panamá La Estrella de Panamá, p. 4. , Panamá, 2 de febrero de 1938, 4. La Estrella de Panamá, Panamá, 22 de noviembre de 1937; Bella Vista, Combinado y Mate Undus defenderán los colores de esta capital (1934) La Estrella de Panamá, p. 4. , Panamá, 16 de agosto de; El gimnasio de la Normal fue inaugurado en 1929 (1929) La Estrella de Panamá, p. 13. , Panamá, 17 de enero de; El gimnasio nacional será inaugurado el 3 de febrero (1929) La Estrella de Panamá, pp. 17-20. , Panamá, 17 de enero de; El torneo femenino de tennis se anunciaba para fines de julio de 1937, auspiciado por el Comité Nacional Olímpico (1932) La Estrella de Panamá, Panamá, 4 de julio de 1937. Lápiz Deportivo, p. 17. , La Estrella de Panamá, Panamá, 9 de noviembre de; El torneo femenino de tennis se anunciaba para fines de julio de 1937, auspiciado por el Comité Nacional Olímpico (1937) La Estrella de Panamá, p. 4. , Panamá, 4 de julio de; Josephine Mckim Sets New Record In 50 Yd. Back Stroke (1923), Star &amp; Herald, Panamá, R.P, 30 de noviembre de; Josephine Mckim.13 Years Old Score Fron J. Coffey (1923) Star &amp; Herald, , Panama, R.P, 25 de noviembre de; Jugarán fútbol a caballo y harán mil prezas (1930) Diario de Panamá, , Sección Deportiva, Panamá, 1 de noviembre de; La Normal sigue por la senda del deporte mañana (1930) Diario de Panamá, p. 4. , Panamá, 28 de noviembre de; La Normal sigue por la senda del deporte mañana (1930) Diario de Panamá, p. 4. , Panamá, 28 de noviembre de; Lápiz Deportivo (1932) La Estrella de Panamá, , Panamá, 9 de noviembre de; Las Guacamayas, campeonas de la liga menor femenina de basquetbol, 1932, vencieron a las ticas sensacionalmente (1932) La Estrella de Panamá, , Panamá, 2 de noviembre de; Las mujeres libertadas por el deporte. La participación de las chicas latinoamericanas en las olimpiadas de panamá es un paso más en su lucha hacia la igualdad con el hombre (1938) El Panamá-América, , Panamá, 13 de marzo de; Las nadadores locales se enfrentan a las del High Scholl de Balboa (1928) El Panamá-América, p. 2. , Panamá, 12 de enero de; (1930) Muy pronto tendremos un soberbio gimnasio de 2.500 a 3.00 personas, , Diario de Panamá, Panamá, 10 de octubre de; Numeroso público asistirá a los juegos de esta noche. Será muy interesante la preliminar entre ALA y Lucky Girls (1932) La Estella de Panamá, , Panamá, 7 de septiembre de; Numeroso público asistirá a los juegos de esta noche. Será muy interesante la preliminar entre ALA y Lucky Girls (1932) La Estella de Panamá, , Panamá, 7 de septiembre de; Se comentó el gesto que dejó muy en alto el espíritu deportivo del pueblo panameño, al ofrecer la capitana de Las Guacamayas, a la capitana del equipo tico, el hermoso trofeo conquistado (1932) La Estrella de Panamá, pp. 15-16. , Panamá, 2 de noviembre de; Se inaugurará hoy el gran estadio olímpico (1938) El Panamá América, , Panamá, 5 de febrero de; Será Brillante La Próxima Temporada de Basketball Masculino y Femenino (1938) El Panamá-América, , Panamá, 18 de marzo de; Un primer premio se otorgó a la Escuela profesional en la parada del 3 de noviembre 1930; mientras la Escuela Normal de Institutoras obtuvo el segundo lugar. Obtuvo el primer premio en el desfile del 3 de noviembre, la Escuela Profesional (1930), Diario de Panamá, Panamá, 5 de noviembre de; Un primer premio se otorgó a la Escuela profesional en la parada del 3 de noviembre 1930; mientras la Escuela Normal de Institutoras obtuvo el segundo lugar. Obtuvo el primer premio en el desfile del 3 de noviembre, la Escuela Profesional (1930), Diario de Panamá, Panamá, 5 de noviembre de; Urraca y Anaranjados juegan esta noche en el gimnasio nacional en el campeonato de la Liga Nacional de basket ball y Las Guacamayas y Lucky Girls chocan en el preliminar (1932) La Estrella de Panamá, , Panamá, 9 de septiembre de; Las nadadoras locales se enfrentan a las del High Scholl de Balboa (1928) El Panamá-América, p. 2. , Panamá, 12 de enero de; Women s golf honorswill be decided over Panama couse (1926) Star &amp; Herald, p. 8. , Panamá, 19 de marzo de</t>
  </si>
  <si>
    <t>Samudio, E.O.A.; SENACYTPanama; email: dda.samudio@gmail.com</t>
  </si>
  <si>
    <t>2-s2.0-85135222411</t>
  </si>
  <si>
    <t>Crispim Costa L.D.M., Coêlho Barros L.M., Alves Dos Santos S., Maria Dos Santos R., Das Neves Guimarães M., De Oliveira e Silva J.M.</t>
  </si>
  <si>
    <t>57826720200;57825869300;57826382400;57825702400;57825702500;24830249800;</t>
  </si>
  <si>
    <t>FSESP Foundation - Public Health Service - in Algoas (1960-1990): the knowledge and the actions of midwives and curious women in the light of Collière [Fondation FSESP - Service de Santé Publique- en Algoas (1960-1990): le savoir et le faire des matrones (sages-femmes) et curieuses dans la perspective de Collière] [Fundação SESP em Alagoas (1960-1990): o saber e fazer das parteiras e curiosas à luz de Collière] [Fundación SESP en Alagoas (1960-1990): el saber y el hacer de las parteras y mujeres curiosas según Collière]</t>
  </si>
  <si>
    <t>10.19053/20275137.n25.2022.11669</t>
  </si>
  <si>
    <t>https://www.scopus.com/inward/record.uri?eid=2-s2.0-85135216188&amp;doi=10.19053%2f20275137.n25.2022.11669&amp;partnerID=40&amp;md5=e54e6daaa7cceb360418a47b32dc20dc</t>
  </si>
  <si>
    <t>Escola de Enfermagem, Universidade Federal de Alagoas, Brazil</t>
  </si>
  <si>
    <t>Crispim Costa, L.D.M., Escola de Enfermagem, Universidade Federal de Alagoas, Brazil; Coêlho Barros, L.M., Escola de Enfermagem, Universidade Federal de Alagoas, Brazil; Alves Dos Santos, S., Escola de Enfermagem, Universidade Federal de Alagoas, Brazil; Maria Dos Santos, R., Escola de Enfermagem, Universidade Federal de Alagoas, Brazil; Das Neves Guimarães, M., Escola de Enfermagem, Universidade Federal de Alagoas, Brazil; De Oliveira e Silva, J.M., Escola de Enfermagem, Universidade Federal de Alagoas, Brazil</t>
  </si>
  <si>
    <t>Carried out by the Fundación Servicio Especial en Salud Pública (FSESP) in Algoas between 1960 and 1990, this is a socio- historical study that describes the work of recruiting, training and supervising midwives and curious women. Both written and oral sources were used, produced in interviews from oral thematic history. The participants were two health visitors, six midwives, three curious women, a doctor, and a nurse. The results showed that the midwives and curious women were recruited and trained by the health visitors. When they could assist a birth, they received a bag with materials and were accompanied by the health visitors or nurses to clean the bags and renew the instructions. The actions of the midwives /curious women were analyzed from the referential theory of Marie Françoise Collière, which revealed that they provided care to patients based on knowledge and practices acquired through experience, seeking to secure the continuity of life. It was concluded that the FSESP was an important health service in Alagoas due to its activities in health education, revision, care and treatment of women in labor and newborns. Additionally, practices that have been improved throughout the years were found. © 2022 Universidad Pedagogica y Tecnologica de Colombia, Instituto de Investigaciones y Formacion Avanzada. All rights reserved.</t>
  </si>
  <si>
    <t>history of nursing; midwives; women's health</t>
  </si>
  <si>
    <t>Alberti, Verena, Histórias dentro da história (2014) Em Fontes históricas, organizado por Carla Bassanezi Pinsky, pp. 155-202. , São Paulo: Contexto; Araújo, Isabelle Maria Mendes de, Saúde e desenvolvimento no Brasil: o pensamento de Mário Magalhães da Silveira e de Josué de Castro (2014), https://repositorio.ufpe.br/handle/123456789/12959, Dissertação de Mestrado em Saúde Coletiva, Universidade Federal de Pernambuco, Acesso em 27 de janeiro de 2016; (2010) Parto e nascimento domiciliar assistidos por parteiras tradicionais [recurso eletrônico]: o Programa Trabalhando com Parteiras Tradicionais e experiências exemplares, , Brasil, Ministério da Saúde, Secretaria de Atenção à Saúde. Brasília: Editora do Ministério da Saúde; Brenes, Anayansi Correa, História da parturição no Brasil (1991) Cadernos de Saúde Pública, 7 (2), pp. 135-149. , https://www.scielo.br/pdf/csp/v7n2/v7n2a02.pdf, n Acesso em 16 de março de 2016; Campos, André Luiz Vieira, Cooperação internacional em saúde: o serviço especial de saúde pública e seu programa de enfermagem (2008) Ciência &amp; Saúde Coletiva, 13 (3), pp. 879-888. , https://doi.org/10.1590/S1413-81232008000300010, de. n; Carvalho, Rodrigo Badaró de, dos Santos, Taís, O Direito à saúde no Brasil: uma análise dos impactos do golpe militar no debate sobre universalização da saúde (2015) Revista do Programa de Pós-Graduação em Direito da UFBA, 25 (27), pp. 53-72. , n dx.doi.org; Collière, Marie-Françoise, (1999) Promover a vida: das práticas das mulheres de virtude aos cuidados de enfermagem, , Coimbra: LIDEL; Collière, Marie-Françoise Collière, (2003) Cuidar⋯ A primeira arte da vida, , Loures: Lusociência; Decreto-Lei n. 4.275/1942, de 20 de abril, pelo qual se autoriza o Ministério da Educação e Saúde a organizar um serviço de Saúde Pública em cooperação com Instituto Office Interamericam Affairs of the United States of America; Faria, Lina, Educadoras sanitárias e enfermeiras de saúde pública: identidades profissionais em construção (2006) Cadernos Pagu, (27), pp. 173-212. , https://www.scielo.br/pdf/cpa/n27/32142.pdf, n Acesso em 27 de janeiro de 2016; Farias, Arlete Rodrigues de, Práticas educativas e a formação do graduando de enfermagem com foco na atenção básica (2013), http://http://www.repositorio.ufal.br/handle/riufal/1319, Dissertação de Mestrado Profissional em Ensino na Saúde, Universidade Federal de Alagoas, Acesso em 27 de janeiro de 2016; Gomes, Maysa Luduvice, (2010) Enfermagem obstétrica: diretrizes assistenciais, , Rio de Janeiro: Centro de Estudos da Faculdade de Enfermagem da Universidade do Estado do Rio de Janeiro; Lakatos, Eva Maria, (2010) Fundamentos da metodologia científica, , e Marina de Andrade Marconi. São Paulo: Atlas; Lira, Sandra Lúcia dos Santos, (2014) Alagoas 2003-2013-Série Estudos Estados Brasileiros, , São Paulo: Fundação Perseu Abramo; Montenegro, Carlos Antonio Barbosa, Filho, Jorge de Rezende, Pereira, Marcos Nakamura, Mecanismo do Parto (2011) Obstetrícia, organizado por Carlos Antonio Barbosa Montenegro e Jorge de Rezende Filho, pp. 238-243. , Rio de Janeiro: Guanabara Koogan; Oliveira, Cassandra Soares de, de Alencar Barreira, Ieda, A 2aGuerra Mundial e o retorno das enfermeiras americanas ao Brasil (2000) Escola Anna Nery Revista de Enfermagem, 4 (2), pp. 209-2016. , http://www.revistaenfermagem.eean.edu.br/detalhe-artigo.asp?id=1182, n Acesso em 17 de agosto de 2016; Padilha, Maria Itayra Coelho de Souza, Borenstein, Miriam Süsskind, O método de pesquisa histórica na enfermagem (2005) Texto &amp; Contexto - Enfermagem, 14 (4), pp. 575-584. , https://doi.org/10.1590/S0104-07072005000400015, n; Prost, Antoine, (2014) Doze lições sobre história, , Belo Horizonte: Autêntica Editora; Quaresma, Silvia Jurema Leone, (2012) Os caminhos e descaminhos da vigilância das doenças transmissíveis no Brasil: um estudo de caso num município de Santa Catarina, , https://repositorio.ufsc.br/handle/123456789/100546, Tese de Doutorado em Sociologia Pública, Universidade Federal de Santa Catarina, Acesso em 29 de janeiro de 2016; Renovato, Rogério Dias, Bagnato, Maria Helena Salgado, As contribuições do Serviço Especial de Saúde Pública para a formação profissional da Enfermagem no Brasil (1942-1960) (2008) Revista Brasileira de Enfermagem, 61 (6), pp. 909-915. , https://doi.org/10.1590/S0034-71672008000600020, n; Rimolo, Maitê Larini, Critérios para realização da episiotomia: uma revisão integrativa (2011) Trabalho de Conclusão de Curso, , Universidade Federal do Rio Grande do Sul; Santos, Regina Maria dos, Tavares, Leonardo Valério da Silva, Cruz, Débora Enoque, Trezza, Maria Cristina Soares Figueiredo, Circunstâncias de criação do Curso de Enfermagem da Universidade Federal de Alagoas: um estudo preliminar (2010) HERE, 1 (1), pp. 69-94. , http://docs.bvsalud.org/biblioref/bdenf/2010/bde-25595/bde-25595-123.pdf, n Acesso em 27 de janeiro de 2016; Silva, Heliana Marinho, (1996) A política pública de saúde no Brasil: dilemas e desafios para a institucionalização do SUS, , http://bibliotecadigital.fgv.br/dspace/handle/10438/8657, da. Dissertação de Mestrado em Administração Pública, Fundação Getúlio Vargas, Acesso em 27 de janeiro de 2016; Silva, Tânia Maria de Almeida, Ferreira, Luiz Otávio, A higienização das parteiras curiosas: o Serviço Especial de Saúde Pública e a assistência materno-infantil (1940-1960) (2011) História, Ciências, Saúde-Manguinhos, 18 (1), p. 97. , https://doi.org/10.1590/S0104-59702011000500006, supl; Sousa, Amandia Braga Lima, (2011) A Fundação Serviços de Saúde Pública (FSESP) no Amazonas: um estudo sobre sua atuação junto aos indígenas, , https://tede.ufam.edu.br/handle/tede/4528, Dissertação de Mestrado em Saúde, Universidade Federal do Amazonas, Acesso em 28 de janeiro de 2016</t>
  </si>
  <si>
    <t>2-s2.0-85135216188</t>
  </si>
  <si>
    <t>Rhenals Doria A.M., Villamizar Palacios C.I.</t>
  </si>
  <si>
    <t>57825538000;57216822466;</t>
  </si>
  <si>
    <t>Foreign Businesspeople in Colombia and Local Political Power during the Regeneration (1886-1898). The case of the Antillean merchant Manuel Cortissoz [Negociantes extranjeros en Colombia y poder político local durante la regeneración (1886-1898). El caso del comerciante antillano Manuel Cortissoz]</t>
  </si>
  <si>
    <t>10.19053/20275137.n25.2022.11655</t>
  </si>
  <si>
    <t>https://www.scopus.com/inward/record.uri?eid=2-s2.0-85135215000&amp;doi=10.19053%2f20275137.n25.2022.11655&amp;partnerID=40&amp;md5=fa9f0dfa6619b7e833bba9ee474c709b</t>
  </si>
  <si>
    <t>Universidad Industrial de Santander, Colombia</t>
  </si>
  <si>
    <t>Rhenals Doria, A.M., Universidad Industrial de Santander, Colombia; Villamizar Palacios, C.I., Universidad Industrial de Santander, Colombia</t>
  </si>
  <si>
    <t>The article proposes to approach the complaint made by the foreign businessman Manuel Cortissoz over damages suffered in the war of 1884-85, seeking to identify his connections with the Santander Regenerator group, which made him into one of the great victors after the end of the war. Making use of the prosopographical method and the analytic postulates of microhistory, it will investigate those relationships with the actors of the Regeneration in Santander during this historic moment (1886 - 1898) and attempt to understand the implementation of this political project in the regions. The documentation will permit the proposal of the hypothesis that, in effect, the close relationship Cortissoz had with the regenerator group not only meant that he would emerge unscathed from the war, but it was also crucial at the time of his complaint, which was accepted, despite the many errors in its execution. © 2022 Universidad Pedagogica y Tecnologica de Colombia, Instituto de Investigaciones y Formacion Avanzada. All rights reserved.</t>
  </si>
  <si>
    <t>foreigners; local political power; Regeneration; social connections</t>
  </si>
  <si>
    <t>Archivo General de la Nación (AGN), Bogotá-Colombia. Archivos Oficiales, Ministerio de Relaciones Exteriores; Archivo General de la Nación (AGN), Bogotá-Colombia. Archivos Oficiales, Ministerio de Relaciones Exteriores. Reclamación de Ernesto Cerruti; Libros de Bautismos, Matrimonios y Defunciones, p. 1855. , Archivo de la parroquia de San Laureano, Bucaramanga-Colombia. 1905; Libros de Bautismos, Matrimonios y Defunciones, p. 1863. , Archivo de la parroquia de El Sagrario, Santa Marta-Colombia. 1883; Araujo, Simón, Pedraza, Eudoro, (1883) El orden, pp. 1-4. , eds. Bogotá, año I Febrero-marzo de; Olarte, Vicente, (1908) Condición Legal de los Extranjeros en Colombia. Recopilación de leyes y decretos sobre extranjeros hasta el año de 1908, , comp. Bogotá: Imprenta de la Luz; Soto, Foción, (1986) Memorias del movimiento de resistencia a la dictadura de Rafael Núñez, , Bogotá: Incunables, 2 tomos</t>
  </si>
  <si>
    <t>Rhenals Doria, A.M.; Universidad Industrial de SantanderColombia; email: mrhenals@uis.edu.co</t>
  </si>
  <si>
    <t>2-s2.0-85135215000</t>
  </si>
  <si>
    <t>Acevedo Tarazona A., Prada M.Q., Ardila J.V.</t>
  </si>
  <si>
    <t>55799895900;57825869400;57211785339;</t>
  </si>
  <si>
    <t>Journalism, politics and falsehood in the news during the 1930 electoral campaign in Colombia [Journalisme, politique et fausseté pendant la campagne présidentielle de 1930 en Colombie] [Periodismo, política y falsedad en las noticias durante campaña electoral presidencial de 1930 en Colombia]</t>
  </si>
  <si>
    <t>10.19053/20275137.n25.2022.13018</t>
  </si>
  <si>
    <t>https://www.scopus.com/inward/record.uri?eid=2-s2.0-85135213987&amp;doi=10.19053%2f20275137.n25.2022.13018&amp;partnerID=40&amp;md5=593214a2463725631bfa41b9106093c2</t>
  </si>
  <si>
    <t>Universidad Pontificia Bolivariana Bucaramanga, Colombia; Universidad Industrial de Santander, Colombia</t>
  </si>
  <si>
    <t>Acevedo Tarazona, A., Universidad Pontificia Bolivariana Bucaramanga, Colombia; Prada, M.Q., Universidad Industrial de Santander, Colombia; Ardila, J.V., Universidad Pontificia Bolivariana Bucaramanga, Colombia</t>
  </si>
  <si>
    <t>The purpose of this article is to show the use of fear and misinformation in electoral campaigns, by the press and the political groups associated with it; in particular, in the presidential election of 1930, which started a year early and resulted in the victory of candidate Enrique Olaya Herrera, who was supported by the Liberal Party. This campaign was special in many aspects: 1) one month before the election, the participation of a new candidate was confirmed; 2) the desperation and the failed attempts to unite the two factions existing within the conservative party; 3) the candidates' visits to the main cities; 4) the use of new means of transport, public squares full of people and the press publishing pieces about the campaign at telegraph speed. For the above, this article emphasizes the use of fake news by politicians and journalists, who, taking advantage of the distances and rumours, created fake content to harm the image of their rivals and thus, win the election. Content published in El Deber newspaper will be identified and classified into three categories: false connection, imposter content and invented content. © 2022 Universidad Pedagogica y Tecnologica de Colombia, Instituto de Investigaciones y Formacion Avanzada. All rights reserved.</t>
  </si>
  <si>
    <t>elections; fake news; fear; political parties; public opinion</t>
  </si>
  <si>
    <t>Acevedo Carmona, Darío, (2017) Ciudadanía, pueblo y plaza pública: campañas presidenciales en Colombia 1910-1949, , Medellín: Universidad Nacional de Colombia; Acevedo Tarazona, Álvaro, Ramírez, Jhon Jaime Correa, Empresa, civilización y política: representaciones sobre el oficio periodístico en El Diario de Pereira y Vanguardia Liberal de Bucaramanga durante la República Liberal (2013) Historelo, 5 (9), pp. 206-243. , https://doi.org/10.15446/historelo.v5n9.36607, n; Amorós García, Marc, (2018) Fake news: La verdad de las noticias falsas, , Barcelona: Plataforma Editorial; Ayala, César, (2007) El porvenir del pasado: Gilberto Alzate Avendaño, sensibilidad leoparda y democracia, , Bogotá: Fundación Gilberto Alzate Avendaño; Boucheron, Patrick, Robin, Corey, (2016) El miedo: Historia y usos políticos de una emoción, , Buenos Aires: Capital Intelectual; Darnton, Robert, (2014) El diablo en el agua bendita o el arte de la calumnia de Luis XIV a Napoleón, , México: FCE; Deas, Malcolm, Las claves del periodo (2015) En Colombia: Mirando hacia adentro, pp. 17-25. , dirigido por Eduardo Posada Carbó, Madrid: Fundación Mapfre, Penguin Random House; Fernández-García, Nuria, Fake news: una oportunidad para la alfabetización mediática (2017) Nueva Sociedad, (269), pp. 67-77. , https://www.nuso.org/articulo/fake-news-una-oportunidad-para-la-alfabetizacion-mediatica/, n Acceso el 19 de junio de 2021; Horgan, Terrence Burns, (1983) The Liberals come to power in Colombia, por debajo de la ruana: a study of the Enrique Olaya Herrera administration, 1930-1934, , Tesis de doctorado, Vanderbilt University; Masqués, Néstor F., (2019) Fake news de la antigua Roma: engaños, propaganda y mentiras de hace 2000 años, , Barcelona: Espasa; Melton, James Van Horn, (2009) La aparición del público durante la ilustración europea, , Valencia: Universitat de València; Jiménez Jiménez, Sonia, El Bateo y la administración Olaya Herrera (1930-1934): De salvador de Colombia a un gobierno hibrido y timorato (2012) Historelo, 4 (7), pp. 240-270. , https://doi.org/10.15446/historelo.v4n7.27731; Londoño, Julio César, El chisme y la columna (2015) El Espectador, , https://www.elespectador.com/opinion/columnistas/julio-cesar-londono/el-chisme-y-la-columna-column-607691/, Bogotá, 25 de diciembre de Acceso el 19 de junio de 2021; Romero Torres, Julián David, A la lucha he venido (2018) La campaña electoral de 1930 en Colombia, , https://doi.org/10.2307/j.ctvdmwxrp, Bogotá: Universidad del Rosario; Uribe Celis, Carlos, (2018) Prólogo «A la lucha he venido»: La campaña electoral de 1930 en Colombia, pp. xv-xxiii. , https://doi.org/10.2307/j.ctvdmwxrp.3, de Julián David Romero Torres, Bogotá: Universidad del Rosario; Vanegas Useche, Isidro, (2010) Todas son iguales: estudios sobre la democracia en Colombia, , Bogotá: Universidad Externado de Colombia; Villabona Ardila, Juliana, (2021) El partido conservador en Santander durante el gobierno de concentración nacional de Enrique Olaya Herrera, 1930-1934: Del cambio de gobierno al rompimiento de la concordia, , Tesis de maestría, Universidad Industrial de Santander; Wardle, Claire, 5 Lessons for Reporting in an Age of Disinformation (2018), https://medium.com/1st-draft/5-lessons-for-reporting-in-an-age-of-disinformation-9d98f0441722, First Draft Acceso el 19 de junio de 2021</t>
  </si>
  <si>
    <t>2-s2.0-85135213987</t>
  </si>
  <si>
    <t>Baquero R.P.</t>
  </si>
  <si>
    <t>57203166201;</t>
  </si>
  <si>
    <t>Rethinking the Historiography of the Spanish Civil War: Multifarious approaches to a contested past* [Repenser l’historiographie de la Guerre Civile Espagnole: des approximations multiples à un passé en dispute] [Repensar la historiografía de la Guerra Civil Española: múltiples aproximaciones a un pasado disputado]</t>
  </si>
  <si>
    <t>10.19053/20275137.n25.2022.11552</t>
  </si>
  <si>
    <t>https://www.scopus.com/inward/record.uri?eid=2-s2.0-85135211768&amp;doi=10.19053%2f20275137.n25.2022.11552&amp;partnerID=40&amp;md5=bbca76cd1ee24f7e94d6ab4785c07010</t>
  </si>
  <si>
    <t>Universidad de Murcia, Spain</t>
  </si>
  <si>
    <t>Baquero, R.P., Universidad de Murcia, Spain</t>
  </si>
  <si>
    <t>This paper aims to delve into the underlying trends of the contemporary historiography of the Spanish Civil War (1936-1939). Under the guidance of historical accounts developed outside Spain before the end of the Francoist dictatorship (1939-1977), and during the transition to democracy (1977-1983), some Spanish historians strove to write a bias-free and fact-based depiction of the war and its aftermath. By relying on close readings of historical documents, those historians assumed their methodology to be the most accurate when dealing with historical events that are so contested. However, recent shifts in the way this past has been remembered in Spain have produced a historiography endorsing new perspectives, which has also given rise to controversies among historians regarding the scope of and the assumptions underlying their work. To understand the currents of these debates, this paper echoes these groundbreaking approaches and attempts to illuminate how the influence of the social movement of «historical memory» has led Spanish historians to question their assumptions and endorse a more heterodox and interdisciplinary approach to engaging with the history of the Spanish Civil War. © 2022 Universidad Pedagogica y Tecnologica de Colombia, Instituto de Investigaciones y Formacion Avanzada. All rights reserved.</t>
  </si>
  <si>
    <t>Historiography; interdisciplinarity; memory; the Spanish Civil War; witness</t>
  </si>
  <si>
    <t>Álvarez Tardío, Manuel, del Rey, Fernando, (2012) El laberinto republicano:lademocraciaespañolaysusenemigos,1931-1936, , eds. Madrid: RBA; Brenan, Gerald, (2015) The Spanish Labyrinth. An Account of the Social and Political Background of the Spanish Civil War, , https://doi.org/10.1017/CBO9781139923453, Cambridge: Cambridge University Press; Casanova, Julián, (2004) Morir, matar, sobrevivir. La violencia en la dictadura de Franco, , ed. Madrid: Bolsillo; Cierva, Ricardo de la, (1986) Nueva y definitiva Historia de la Guerra civil española, , Madrid: Época; Clavero, Bartolomé, (2013) El árbol y la raíz: Memoria histórica familiar, , Barcelona: Editorial Crítica; Del Rey, Fernando, (2011) Palabras como puños. La intransigencia política en la Segunda República española, , ed. Madrid: Tecnos; Fraser, Ronald, (1986) Blood of Spain. An Oral History of the Spanish Civil War, , London: Random House; Graham, Helen, (2014) The War and its Shadow. Spain´s Civil War in Europe´s Long Twentieth Century, , Eastbourne: Sussex Academic Press; Grandes, Almudena, (2014) El lector de Julio Verne. Episodios de una guerra interminable, , Barcelona: Tusquets; Jackson, Gabriel, (1987) Spanish Republic and the Civil War, 1931-1939, , New Jersey: Princeton University Press; Juliá, Santos, (1999) Las víctimas de la Guerra Civil, , coord. Barcelona: Agostini; Juliá, Santos, De nuestras memorias y nuestras miserias (2007) Hispania Nova. Dossier: Generaciones y memoria de la represión franquista, (7), pp. 1-20. , nº; Juliá, Santos, Echar al olvido: Memoria y amnistía en la Transición (2003) Claves de Razón Práctica, (129), pp. 14-25. , nº; Just, Tony, (2006) Postwar: A History of Europe Since 1945, , London: Penguin LLC US; Moa, Pío, (1934) Comienza la guerra civil, , Madrid: Altera, 2004; Moa, Pío, (2003) Los mitos de la guerra civil española, , Madrid: La esfera de los libros; Payne, Stanley G., (2019) La revolución española (1936-1939). Un estudio sobre la singularidad de la guerra civil, , Madrid: Espasa Calpe; Payne, Stanley G., (2006) The Origins of Spanish Civil War, , New Haven: Yale University Press; Preston, Paul, (2013) TheSpanishHolocaust:InquisitionandExtermination in Twentieth-Century Spain, , New York: Harper Press; Reig Tapia, Alberto, (1984) Ideología e Historia sobre la represión franquista, , Madrid: Akal; Salas Larrazábal, Ramón, (1980) Los datos exactos de la guerra civil, , Madrid: Rioduero; Southworth, Herbert, (2008) El mito de la cruzada de Franco, , Madrid: Debolsillo; Southworth, Herbert, (1977) Guernica¡ Guernica¡ A Study of Journalism, Diplomacy, Propaganda, and History, , https://doi.org/10.1525/9780520336377, Berkeley: University of California Press; Temine, Emile, Broué, Pierre, (1961) La révolution et la guerre D`Espagne, , Paris: Les Éditions de Minuit; Thomas, Hugh, (1976) La guerra civil española, 2. , México: Grijaldo; Alted, Alicia, (2005) La voz de los vencidos, , Madrid: Aguilar; Fernández, Álvarez, Ignacio, José, (2007) Memoria y trauma en los testimonios de la represión franquista, , Barcelona: Anthropos; Aróstegui, Julio, Retos de la memoria, trabajos de la historia (2004) Pasado y Memoria, (3), pp. 5-50. , nº; Cercas, Javier, El chantaje del testigo (2010) El País Semanal, , https://elpais.com/diario/2010/12/26/eps/1293348408_850215.html, Madrid, 26 de diciembre de; Cercas, Javier, (2014) El impostor, , Madrid: Random House; Espinosa Maestre, Francisco, (2005) El fenómeno revisionista o los fantasmas de la derecha española, , Badajoz: Los libros del Oeste; Espinosa Maestre, Francisco, De saturaciones y olvidos. En torno a un pasado que no puede pasar (2010) Generaciones y memoria de la represión franquista, pp. 323-354. , En edited by Julio Aróstegui y Sergio Gálvez, Valencia: PUV; Espinosa Maestre, Francisco, (2010) Violencia roja y azul. España 1936-1939, , Barcelona: Crítica; Faber, Sebastiaan, León, Pablo Sánchez, Izquierdo, Jesús, El poder de contar y el paraíso perdido. Polémicas públicas y construcción colectiva de la memoria en España (2001) Política y sociedad, 48 (3), pp. 463-480. , https://doi.org/10.5209/rev_POSO.2011.v48.n3.36423, nº; Faber, Sebastiaan, (2018) Memory Battles of the Spanish Civil War. History, Fiction, Photography, , https://doi.org/10.2307/j.ctv16759c1, Nashville: Vanderbilt University Press; Friedlander, Saul, Trauma, Transference, and “Working Through” in Writing the history of the Shoah (1992) History and Memory, 4 (11), pp. 39-59. , nº; Fusi, Pablo, (2017) Espacios de libertad. La cultura española en el franquismo y la reivención de la democracia (1960-1990), , Madrid: Galaxia Gutenberg; Herzberger, David K., (1995) Narrating the past. Fiction and historiography in Postwar Spain, , https://doi.org/10.1515/9780822382416, Durham and London: Duke University Press; LaCapra, Dominick, (2018) Understanding Others. Peoples, Animals, Pasts, , https://doi.org/10.1515/9781501724909, Ithaca and London: Cornell University Press; Labanyi, Jo, Testimonies of Repression: Methodological and Political Issues (2010) Unearthing Franco´s Legacy. Mass Graves and the Recovery of Historical Memory in, pp. 192-206. , En edited by Carlos Jerez-Farrán y Samuel Amago, Indiana: University of Notre Dame Press; Loureiro, Ángel, Pathetic Arguments (2009) Journal of Spanish Cultural Studies, 8 (2), pp. 225-237. , https://doi.org/10.1080/14636200802283746; Gelabert, Marín, Ángel, Miguel, (2005) Los historiadores españoles en el franquismo, 1948-1975, , Zaragoza: Fernando el Católico; Moreno Gómez, Francisco, (2016) Los desaparecidos de Franco, , Málaga: Editorial Alpuerta; Novick, Peter, (2011) That Noble Dream. The objectivity question and the American Historical Profession, , Cambridge: Cambridge University Press; Pérez Baquero, Rafael, El historiador frente al “documento viviente (2016) Bollettino Filosofico, 31, pp. 302-322. , https://doi.org/10.6093/1593-7178/4055; Reig Tapia, Alberto, (2006) Anti-Moa, , Barcelona: S.A. Ediciones; Ricoeur, Paul, (2006) Memory, History, Forgetting, , Chicago: Chicago University Press; Rodrigo, Javier, (2008) Hasta la raíz. Violencia durante la Guerra Civil y la dictadura franquista, , Madrid: Alianza Editorial; Ruiz Torres, Pedro, De perplejidades y confusiones acerca de nuestras memorias (2010) Generaciones y memoria de la represión franquista, pp. 323-354. , En edited by Julio Aróstegui y Sergio Gálvez, Valencia: PUV; Ruiz Torres, Pedro, La controversia de los historiadores sobre la memoria histórica en España (2015) El pasado en construcción. Revisionismos históricos en la historiografía contemporánea, pp. 67-106. , En edited by Carlos Forcadell, Ignacio Peiró y Mercedes Yusta, Zaragoza: Instituto Fernando el Católico; Sánchez León, Pablo, Izquierdo, Jesús, (2017) La guerra que nos han contado y la que no. Memoria e historia de 1936 para el siglo XXI, , Madrid: Postmetrópolis; Sánchez León, Pablo, La objetividad como ortodoxia: los historiadores y el conocimiento de la guerra civil española (2006) Guerra Civil: Mito y leyenda, pp. 95-136. , en edited by Julio Aróstegui y François Godicheau, Madrid: Marcial Pons; Schwaiger, Günter, ¿Historia sin testigos? (2006) El País, , https://elpais.com/diario/2006/10/19/opinion/1161208810_850215.html, Madrid, 19 de octubre de; Traverso, Enzo, (2013) La historia como campo de batalla: Interpretar las violencias del siglo XX, , Madrid: FCE; Traverso, Enzo, (2019) The New Faces of Fascism. Populism and the Far Right, , New York: Verso Books; Tusell, Javier, (1986) Los hijos de la sangre. La España de 1936 desde 1986, , Madrid: Calpe; Vinyes, Ricard, La memoria del Estado (2009) El Estado y la memoria, pp. 23-66. , En edited by Ricard Vinyes, Madrid: RBA; Viñas, Ángel, Franco o la subversión de la memoria (2007) España en la memoria de tres generaciones, , En edited by Julio Aróstegui. Madrid: Universidad Complutense</t>
  </si>
  <si>
    <t>Baquero, R.P.; Universidad de MurciaSpain; email: rafaelperbaq@gmail.com</t>
  </si>
  <si>
    <t>2-s2.0-85135211768</t>
  </si>
  <si>
    <t>Astudillo D.J.</t>
  </si>
  <si>
    <t>57821785400;</t>
  </si>
  <si>
    <t>TRANSMISSION, WRITING AND FICTION: FROM MEMORY WORK TO THE CONSTRUCTION OF NEW COLLECTIVE IDENTITIES [TRANSMISIÓN, ESCRITURA Y FICCIÓN: DEL TRABAJO DE LA MEMORIA A LA CONSTRUCCIÓN DE NUEVAS IDENTIDADES COLECTIVAS]</t>
  </si>
  <si>
    <t>Atenea</t>
  </si>
  <si>
    <t>10.29393/At525-11TEDJ10011</t>
  </si>
  <si>
    <t>https://www.scopus.com/inward/record.uri?eid=2-s2.0-85135099229&amp;doi=10.29393%2fAt525-11TEDJ10011&amp;partnerID=40&amp;md5=191b4e7ebbec3e61f8fba232299dfd8d</t>
  </si>
  <si>
    <t>Doctor en Psicopatología y Psicoanálisis. Académico del Instituto de Psicología de la Universidad Austral de Chile, Puerto Montt, Chile</t>
  </si>
  <si>
    <t>Astudillo, D.J., Doctor en Psicopatología y Psicoanálisis. Académico del Instituto de Psicología de la Universidad Austral de Chile, Puerto Montt, Chile</t>
  </si>
  <si>
    <t>The aim of this study is to contribute to the reflection on the ways in which the social memory of traumatic events related to political violence is processed between generations. This problem is currently being examined from different disciplinary perspectives. The present study concentrates on the contributions derived from psychoanalytic research on the transmission of psychic life, and on the contributions of studies on social memory. Moreover, it explores researches on literary creations that question the recent past. It is hypothesized that the work of memory promoted by these artistic productions integrates a use of fiction with a political and transforming character, which goes beyond testimony and questions the identity and ethical underpinnings of generations. The main conclusions of the research highlight the importance of the idea of anteriority over the idea of interiority as the basis of identity work and the idea of generational space, as an area of transmission and construction of shared meanings, which mobilizes various resources and modes of elaboration. © 2022. Atenea. All Rights Reserved.</t>
  </si>
  <si>
    <t>Fiction; Identity; Literature; Psychoanalysis; Social memory</t>
  </si>
  <si>
    <t>Abélès, M., (2006) Politique de la survie, , Paris: Flammarion; Abraham, N., Torok, M., (1978) L’écorce et le noyau, , et, Paris: Flammarion; Abrams, P., The historical sociology of individuals: identity and the problem of generations (1982) Historical sociology, pp. 227-267. , New York: Cornell University Press; Alcocer, J. A. P., Vivimos la Revolución: los voceros del alvaradismo y el discurso de la memoria revolucionaria en Yucatán (2017) Península, 12 (1), pp. 55-75; Almonacid Buitrago, J. A., Burgos Dávila, C. J., Memoria y enseñanza de la historia del narcotráfico y las guerras esmeralderas. El valor sociocultural del corrido prohibido (2018) Historia y Memoria, 17, pp. 91-123; Appadurai, A., (2006) Fear of small numbers. An essay on the geography of anger, , Duke: University Press; Augé, M., (2013) L’Anthropologie et le monde global, , Paris: La fabrique du sens; Assmann, J., (2011) Cultural Memory and Early Civilization: Writing, Remembrance, and Political Imagination, , Cambridge: Cambridge University press; Blanco, A. G., Política de la ficción/ficción de la política en Jacques Rancière (2019) Signa: Revista de la Asociación Española de Semiótica, 28, pp. 733-745. , https://doi.org/10.5944/signa.vol28.2019.25079; Benhaïm, M., (2016) Les passions vides: chutes et dérives adolescentes contemporaines, , Toulouse: Eres; Casali, S. M., Una escritura muy bella. La politicidad de la metáfora (2020) Anagramas: Rumbos y sentidos de la comunicación, 18 (36), pp. 95-113; Castillo, K., Política de la Imaginación: Ficción, Disenso y el Tiempo de la Emancipación en Jacques Rancière (2021) En-claves del pensamiento, 15 (29), pp. 86-104; Chávez Díaz, L. G., Saltarse el programa: revolución y viaje en las memorias de tres autoras latinoamericanas (2021) Valenciana, 14 (27), pp. 7-34; Cubillos Alvarado, V. A., Llano, F. A., Tramas de café, urdimbres de ciudad. Los cafés como espacios del recuerdo en el ocaso de la Atenas suramericana (2016) Civilizar, 2 (2), pp. 25-29. , https://revistas.usergioarboleda.edu.co/index.php/Civilizarcomunicacion/article/view/493, Disponible en; Devereux, G., (2009) La renonciation à l’identité, , Paris: Payot; Devriese, M., Approche sociologique de la génération. Vingtieme siecle (1989) Revue d’histoire, 22, pp. 11-16; Douville, O., Construction de la durée et métaphorisation à l’adolescence (2004) Figures de la psychanalyse, 9 (1), pp. 35-48. , https://doi.org/10.3917/fp.009.0035; Douville, O., Fondations subjectives du temps à l’adolescence (2004) Adolescence, 2 4 (4), pp. 767-780. , https://doi.org/10.3917/ado.050.0767, t; Douville, O., La part mythique dans le destin de l’adolescence (2007) Le Journal des psychologues, 248 (5), pp. 44-48; Douville, O., Mélancolie dans le lien social”, corps et devenir adolescent (2009) La clinique lacanienne, 15 (1), pp. 167-182. , https://doi.org/10.3917/cla.015.0167; Correale, M., Welzer, Harald, Moller, Sabine y Tschuggnall, Karoline. Mi abuelo no era nazi. El nacionalsocialismo y el Holocausto en la memoria familiar. Buenos Aires, Prometeo, 2012 (2014) Revista Rey Desnudo: Revista de libros, 3 (5), pp. 194-202. , https://dialnet.unirioja.es/servlet/arti-culo?codigo=4908312, Disponible en; Epstein, H., (2012) Le traumatisme en heritage, , Paris: Folio Essais; Erll, A., (2012) Memoria colectiva y culturas del recuerdo: estudio introductorio, , Bogotá: Ediciones Uniandes-Universidad de los Andes; Erll, A., Transcultural memory (2014) Témoigner. Entre histoire et mémoire, 119, p. 178. , https://journals.openedition.org/temoig-ner/1500, [online], Disponible en; Franken, M. A., Formas de volver a casa de Alejandro Zambra: Perspectiva infantil, juego y escritura (2020) Perífrasis. Revista de Literatura, Teoría y Crítica, 11 (21), pp. 62-79; González Santos, F., García Vera, N., El arte y la literatura en la construcción de la memoria histórica: una experiencia de conmemoración en el Instituto Pedagógico Nacional (2019) (pensamiento),(palabra)… Y obra, 21, pp. 60-77; Green, A., (2000) La diachronie en psychanalyse, , Paris: Éditions de Minuit; Gutton, P., (1996) Adolescens, , Paris: Presses Universitaires de France; Gutton, P., La situation anthropologique fondamentale de l’adolescence (2014) Adolescence, 32 (1), pp. 11-21; Gutton, P., De la créativité adolescente (2017) Figures de la psychanalyse, 33 (1), pp. 13-18; Halbwachs, M., (1997) La mémoire collective, , Paris: Albin Michel; Huyssen, A., Pretéritos presentes: medios, política, amnesia (2002) En busca del futuro perdido. Cultura y memoria en tiempos de globalización, pp. 13-40. , México: Fondo de Cultura Económica; Instituto Goethe; Huyssen, A., Resistencia a la memoria: los usos y abusos del olvido público [conferencia] (2004), http://intercom.org.br/congresso/congresso2004/conferencia_andreas_huyssen.pdf, (30 de agosto al 3 de septiembre de). XXVII Congresso Brasileiro de Ciencias da Comunicaçao. Intercom Sociedade Brasileira de Estudos Interdisciplinares da Comunicaçao, Porto Alegre. Recuperado de; Kaes, R., (1996) Transmisión de la vida psíquica entre generaciones, , Buenos Aires: Amorrortu; Lavabre, M. C., Définition et utilité du concept de génération [ponencia] (1981) Congrès de l’Association Française de Science politique, table ronde 2: Génération et politique, pp. 1-11. , https://halshs.archives-ouvertes.fr/halshs-01267653/document, (23-24 de october de). Disponible en; Le Blanc, G., (2010) Dedans, dehors. La condition d’étranger, , Paris: Éditions du Seuil; Lesourd, S., La déconstruction-reconstruction des systèmes référentiels (2004) Naissance pubertaire, pp. 99-126. , En Ph. Gutton y S. Bourcet (comp). Paris: Denoël; Lévi-Strauss, C., (1983) L’identité, , Paris: Presses Universitaires de France; Logie, I., Una muchacha muy bella de Julián López, o el gesto reparador de la escritura (2016) Acta literaria, 52, pp. 59-79; López, J. A. F., La roca gastada de Sísifo. Literatura, historia e identidad en Imre Kertész (2020) Discusiones Filosóficas, 21 (36), pp. 141-158; Mannheim, K., El problema de las generaciones (1993) REIS, 62, pp. 193-244; Mannheim, K., (2005) El problema de la juventud en la sociedad moderna. Diagnóstico de nuestro tiempo, , México: Fondo de Cultura Económica; Mendlovic Pasol, B., ¿Hacia una “nueva época” en los estudios de memoria social? (2014) Revista mexicana de ciencias políticas y sociales, 59 (221), pp. 291-316; Nancy, J.L., (2010) Identité, fragments, franchises, , Paris: Galilée; Petzoldt, B. L., Voces de la memoria comunicativa en el cine: “Profesión cinero” (2007) y “Tren Paraguay” (2011) / Voices of Communicative Memory in Cinema: “Profesión cinero” (2007) and “Tren Paraguay” (2011) (2017) Iberoamericana, 17 (65), pp. 17-44; Potte-Bonneville, M., (2004) Michel Foucault, l’inquiétude de l’histoire, , Paris: Presses Universitaires de France; Rancière, J., El tiempo de los no-vencidos. (Tiempo, ficción, política) (2019) Revista de Estudios Sociales, 70, pp. 79-86. , Andrés Caicedo (trad); Roos, S., La memoria intergeneracional dialogante en el relato de filiación chileno (2016) Nuestra América, 10, pp. 99-118; Roos, S., Micro y macrohistoria en los relatos de filiación chilenos (2013) Aisthesis, 54, pp. 335-351; Roussillon, R., Historicité et mémoire subjective. La troisième trace (2003) Cliniques méditerranéennes, 67 (1), pp. 127-144; Saban, K., De la memoria cultural a la transculturación de la memoria: un recorrido teórico (2020) Revista Chilena de Literatura, 101, pp. 379-404; Salomone, A., Gallardo, M., Memoria transgeneracional, resistencia y resiliencia en producciones artístico-literarias de autoras chilenas contem-poráneas (2017) HeLix-Dossiers zur romanischen Literaturwissenschaft, 10, pp. 193-213; Seydel, U., La constitución de la memoria cultural (2014) Acta poética, 35 (2), pp. 187-214; Suárez, J. E., La literatura testimonial de las guerras en Colombia: entre la memoria, la cultura, las violencias y la literatura (2011) Universitas Humanistica, 72, pp. 275-296; Tisseron, S., (1985) Tintin chez le psychanalyste, , Paris: Aubier; Tisseron, S., (1996) Secrets de famille, mode d’emploi, , Paris: Hachette; Torres Agüero, A., Memoria, literatura y derecho: la representación del testigo en la literatura sobre violaciones de derechos humanos en Chile (2019) Alpha (Osorno), 49, pp. 65-87; Vásquez-Santamaría, J. E., Merino-Martínez, C., López-Salazar, E., ¿Por qué acudir a la literatura para recrear la configuración del perdón en el conflicto armado interno colombiano? (2018) Hallazgos, 15 (30), pp. 19-44; Viart, D., Le silence des pères au principe du ‘récit de filiation (2009) Études françaises, 45 (3), pp. 95-112; Villa-Gómez, J. D., Avendaño-Ramírez, M., Arte y memoria: expresiones de resistencia y transformaciones subjetivas frente a la violencia política (2017) Revista Colombiana de Ciencias Sociales, 8 (2), pp. 502-535; Wieviorka, M., (1998) Le racisme, une introduction, , Paris: Éditions La Découverte; Wieviorka, M., Les problèmes de la reconstruction identitaire (2005) Le Coqhéron, 1, pp. 122-131</t>
  </si>
  <si>
    <t>Astudillo, D.J.; Doctor en Psicopatología y Psicoanálisis. Académico del Instituto de Psicología de la Universidad Austral de ChileChile; email: daniel.jofre@uach.cl</t>
  </si>
  <si>
    <t>Universidad de Concepcion</t>
  </si>
  <si>
    <t>2-s2.0-85135099229</t>
  </si>
  <si>
    <t>Calle-Tobón A., Pérez-Pérez J., Forero-Pineda N., Chávez O.T., Rojas-Montoya W., Rúa-Uribe G., Palacio A.-G.</t>
  </si>
  <si>
    <t>57201793152;57205644939;57223424070;57201228511;57205649989;55615522700;57819220200;</t>
  </si>
  <si>
    <t>Local-scale virome depiction in Medellín, Colombia, supports significant differences between Aedes aegypti and Aedes albopictus</t>
  </si>
  <si>
    <t>PLoS ONE</t>
  </si>
  <si>
    <t>7 July</t>
  </si>
  <si>
    <t>e0263143</t>
  </si>
  <si>
    <t>10.1371/journal.pone.0263143</t>
  </si>
  <si>
    <t>https://www.scopus.com/inward/record.uri?eid=2-s2.0-85134891871&amp;doi=10.1371%2fjournal.pone.0263143&amp;partnerID=40&amp;md5=88b4c2e5c2f7af62fbbd843438b6bc5e</t>
  </si>
  <si>
    <t>Grupo Entomología Médica–GEM, Universidad de Antioquia, Medellín, Colombia; Laboratorio de Investigación en Genética Evolutiva–LIGE, Universidad Pedagógica y Tecnológica de Colombia, Boyacá, Tunja, Colombia; Grupo de Biología y Control de Enfermedades Infecciosas–BCEI, Universidad de Antioquia, Medellín, Colombia; Grupo de Genética Molecular–GenMol, Universidad de Antioquia, Medellín, Colombia</t>
  </si>
  <si>
    <t>Calle-Tobón, A., Grupo Entomología Médica–GEM, Universidad de Antioquia, Medellín, Colombia; Pérez-Pérez, J., Grupo Entomología Médica–GEM, Universidad de Antioquia, Medellín, Colombia; Forero-Pineda, N., Laboratorio de Investigación en Genética Evolutiva–LIGE, Universidad Pedagógica y Tecnológica de Colombia, Boyacá, Tunja, Colombia; Chávez, O.T., Grupo de Biología y Control de Enfermedades Infecciosas–BCEI, Universidad de Antioquia, Medellín, Colombia; Rojas-Montoya, W., Grupo de Genética Molecular–GenMol, Universidad de Antioquia, Medellín, Colombia; Rúa-Uribe, G., Grupo Entomología Médica–GEM, Universidad de Antioquia, Medellín, Colombia; Palacio, A.-G., Grupo de Biología y Control de Enfermedades Infecciosas–BCEI, Universidad de Antioquia, Medellín, Colombia</t>
  </si>
  <si>
    <t>Aedes spp. comprise the primary group of mosquitoes that transmit arboviruses such as dengue, Zika, and chikungunya viruses to humans, and thus these insects pose a significant burden on public health worldwide. Advancements in next-generation sequencing and metagenomics have expanded our knowledge on the richness of RNA viruses harbored by arthropods such as Ae. aegypti and Ae. albopictus. Increasing evidence suggests that vector competence can be modified by the microbiome (comprising both bacteriome and virome) of mosquitoes present in endemic zones. Using an RNA-seq-based metataxonomic approach, this study determined the virome structure, Wolbachia presence and mitochondrial diversity of field-caught Ae. aegypti and Ae. albopictus mosquitoes in Medellín, Colombia, a municipality with a high incidence of mosquito-transmitted arboviruses. The two species are sympatric, but their core viromes differed considerably in richness, diversity, and abundance; although the community of viral species identified was large and complex, the viromes were dominated by few virus species. BLAST searches of assembled contigs suggested that at least 17 virus species (16 of which are insect-specific viruses [ISVs]) infect the Ae. aegypti population. Dengue virus 3 was detected in one sample and it was the only pathogenic virus detected. In Ae. albopictus, up to 11 ISVs and one plant virus were detected. Therefore, the virome composition appears to be species-specific. The bacterial endosymbiont Wolbachia was identified in all Ae. albopictus samples and in some Ae. aegypti samples collected after 2017. The presence of Wolbachia sp. in Ae. aegypti was not related to significant changes in the richness, diversity, or abundance of this mosquito’s virome, although it was related to an increase in the abundance of Aedes aegypti To virus 2 (Metaviridae). The mitochondrial diversity of these mosquitoes suggested that the Ae. aegypti population underwent a change that started in the second half of 2017, which coincides with the release of Wolbachia-infected mosquitoes in Medellín, indicating that the population of wMel-infected mosquitoes released has introduced new alleles into the wild Ae. aegypti population of Medellín. However, additional studies are required on the dispersal speed and intergenerational stability of wMel in Medellín and nearby areas as well as on the introgression of genetic variants in the native mosquito population. Copyright: © 2022 Calle-Tobón et al. This is an open access article distributed under the terms of the Creative Commons Attribution License, which permits unrestricted use, distribution, and reproduction in any medium, provided the original author and source are credited.</t>
  </si>
  <si>
    <t>Aedes aegypti; Aedes albopictus; allele; Arbovirus; article; Colombia; Dengue virus 3; endosymbiont; genetic variability; human; incidence; introgression; mitochondrion; mosquito; nonhuman; plant virus; RNA sequencing; velocity; virome; Wolbachia; Aedes; animal; Colombia; genetics; insect virus; mosquito vector; RNA virus; virus; Wolbachia; Zika fever; Zika virus; Aedes; Animals; Colombia; Humans; Insect Viruses; Mosquito Vectors; RNA Viruses; Virome; Viruses; Wolbachia; Zika Virus; Zika Virus Infection</t>
  </si>
  <si>
    <t>(2014) A Global Brief on Vector-Borne Diseases, , World Health Organization. WHO; Paupy, C., Delatte, H., Bagny, L., Corbel, V., Fontenille, D., Aedes Albopictus, an Arbovirus Vector: From the Darkness to the Light (2009) Microbes and Infection, 11, pp. 1177-1185. , https://doi.org/10.1016/j.micinf.2009.05.005, PMID: 19450706; Ding, F., Fu, J., Jiang, D., Hao, M., Lin, G., Mapping the Spatial Distribution of Aedes Aegypti and Aedes Albopictus (2018) Acta Tropica, 178, pp. 155-162. , https://doi.org/10.1016/j.actatropica.2017.11.020, PMID: 29191515; Villar, L.A., Rojas, D.P., Besada-Lombana, S., Sarti, E., Epidemiological Trends of Dengue Disease in Colombia (2000–2011): A Systematic Review (2015) PLOS Neglected Tropical Diseases, 9, p. e0003499. , https://doi.org/10.1371/journal.pntd.0003499, PMID: 25790245; Rico-Mendoza, A., Alexandra, P.-R., Chang, A., Encinales, L., Lynch, R., Co-Circulation of Dengue, Chikungunya, and Zika Viruses in Colombia from 2008 to 2018 (2019) Revista Panamericana de Salud Pública, 43, p. 1. , https://doi.org/10.26633/RPSP.2019.49, PMID: 31171921; Rodriguez-Morales, A.J., Galindo-Marquez, M.L., Carlos, García-Loaiza, J., Sabogal-Roman, A., Mapping Zika Virus Disease Incidence in Valle Del Cauca Infection, 45. , https://doi.org/10.1007/s15010-016-0948-1, Juan PMID: 27743307; Portilla Cabrera, C.V., Selvaraj, J.J., Geographic Shifts in the Bioclimatic Suitability for Aedes Aegypti under Climate Change Scenarios in Colombia (2020) Heliyon, 6, p. e03101. , https://doi.org/10.1016/j.heliyon.2019.e03101, PMID: 31909268; Singer, M., (2016) The Spread of Zika and the Potential for Global Arbovirus Syndemics, 12, pp. 1-18. , http://dx.doi.org/10.1080/17441692.2016.1225112; Echeverry-Cárdenas, E., López-Castañeda, C., Carvajal-Castro, J.D., Aguirre-Obando, O.A., Potential Geographic Distribution of the Tiger Mosquito Aedes Albopictus (Skuse, 1894) (Diptera: Culicidae) in Current and Future Conditions for Colombia (2021) PLOS Neglected Tropical Diseases, 15, p. e0008212. , https://doi.org/10.1371/journal.pntd.0008212, PMID: 33974620; Gómez-Palacio, A., Suaza-Vasco, J., Castaño, S., Triana, O., Uribe, S., Aedes Albopictus (Skuse, 1894) Infected with the American-Asian Genotype of Dengue Type 2 Virus in Medellín Suggests Its Possible Role as Vector of Dengue Fever in Colombia (2017) Biomédica, 37, p. 135. , https://doi.org/10.7705/biomedica.v37i0.3474, PMID: 29161485; Calle-Tobón, A., Pérez-Pérez, J., Rojo, R., Rojas-Montoya, W., Triana-Chavez, O., Rúa-Uribe, G., Surveillance of Zika Virus in Field-Caught Aedes Aegypti and Aedes Albopictus Suggests Important Role of Male Mosquitoes in Viral Populations Maintenance in Medellín, Colombia (2020) Infection, Genetics and Evolution, 85, p. 104434. , https://doi.org/10.1016/j.meegid.2020.104434, PMID: 32580028; (2010) Boletin Epidemiológico Semana 52 de 2010; (2016) Informe de Periodo Epidemiológico Medellín 2016, 52, p. 91; Walker, T., Johnson, P.H., Moreira, L.A., Iturbe-Ormaetxe, I., Frentiu, F.D., McMeniman, C.J., The WMel Wolbachia Strain Blocks Dengue and Invades Caged Aedes Aegypti Populations (2011) Nature, 476, pp. 450-453. , https://doi.org/10.1038/nature10355, 7361 2011, 476, PMID: 21866159; Caragata, E.P., Dutra, H.L.C., Moreira, L.A., Inhibition of Zika Virus by Wolbachia in Aedes Aegypti (2016) Microbial Cell, 3, p. 293. , https://doi.org/10.15698/mic2016.07.513, PMID: 28357366; van den Hurk, A.F., Hall-Mendelin, S., Pyke, A.T., Frentiu, F.D., McElroy, K., Day, A., Impact of Wolbachia on Infection with Chikungunya and Yellow Fever Viruses in the Mosquito Vector Aedes Aegypti (2012) PLOS Neglected Tropical Diseases, 6, p. e1892. , https://doi.org/10.1371/journal.pntd.0001892, PMID: 23133693; Audsley, M.D., Seleznev, A., Joubert, D.A., Woolfit, M., O’Neill, S.L., McGraw, E.A., Wolbachia Infection Alters the Relative Abundance of Resident Bacteria in Adult Aedes Aegypti Mosquitoes, but Not Larvae (2018) Molecular Ecology, 27, pp. 297-309. , https://doi.org/10.1111/mec.14436, PMID: 29165845; Feschotte, C., Gilbert, C., Endogenous Viruses: Insights into Viral Evolution and Impact on Host Biology (2012) Nature Reviews Genetics, 13, pp. 283-296. , https://doi.org/10.1038/nrg3199, 4 2012, 13, PMID: 22421730; Guégan, M., Zouache, K., Démichel, C., Minard, G., Tran Van, V., Potier, P., The Mosquito Holobiont: Fresh Insight into Mosquito-Microbiota Interactions (2018) Microbiome, 6, pp. 1-17. , https://doi.org/10.1186/s40168-018-0435-2, 1 2018, 6, PMID: 29554951; Du, J., Li, F., Han, Y., Fu, S., Liu, B., Shao, N., Characterization of Viromes within Mosquito Species in China (2019) Science China Life Sciences, 63, pp. 1089-1092. , https://doi.org/10.1007/s11427-019-1583-9, PMID: 31834603; Nanfack-Minkeu, F., Mitri, C., Bischoff, E., Belda, E., Casademont, I., Vernick, K.D., Interaction of RNA Viruses of the Natural Virome with the African Malaria Vector, Anopheles Coluzzii (2019) Scientific Reports, 9, pp. 1-10. , https://doi.org/10.1038/s41598-019-42825-3, PMID: 31004099; Shi, C., Zhao, L., Atoni, E., Zeng, W., Hu, X., Matthijnssens, J., Stability of the Virome in Lab- and Field-Collected Aedes Albopictus Mosquitoes across Different Developmental Stages and Possible Core Viruses in the Publicly Available Virome Data of Aedes Mosquitoes (2020) mSystems, 5, pp. 1-16. , https://doi.org/10.1128/mSystems.00640-20, PMID: 32994288; Xiao, P., Han, J., Zhang, Y., Li, C., Guo, X., Wen, S., Metagenomic Analysis of Flaviviridae in Mosquito Viromes Isolated From Yunnan Province in China Reveals Genes From Dengue and Zika Viruses (2018) Front Cell Infect Microbiol, 8, p. 359. , https://doi.org/10.3389/fcimb.2018.00359, PMID: 30406038; Zakrzewski, M., Rašić, G., Darbro, J., Krause, L., Poo, Y.S., Filipović, I., Mapping the Virome in Wild-Caught Aedes Aegypti from Cairns and Bangkok (2018) Scientific Reports, 8, pp. 1-12. , https://doi.org/10.1038/s41598-018-22945-y, PMID: 29549363; Sadeghi, M., Altan, E., Deng, X., Barker, C.M., Fang, Y., Coffey, L.L., Virome of 12 Thousand Culex Mosquitoes from throughout California (2018) Virology, 523, pp. 74-88. , https://doi.org/10.1016/j.virol.2018.07.029, PMID: 30098450; Shi, C., Zhao, L., Atoni, E., Zeng, W., Hu, X., Matthijnssens, J., The Conservation of a Core Virome in Aedes Mosquitoes across Different Developmental Stages and Continents (2020) bioRxiv, , https://doi.org/10.1101/2020.04.23.058701, 2020.04.23.058701; de Almeida, J.P., Aguiar, E.R., Armache, J.N., Olmo, R.P., Marques, J.T., The Virome of Vector Mosquitoes (2021) Current Opinion in Virology, 49, pp. 7-12. , https://doi.org/10.1016/j.coviro.2021.04.002, PMID: 33991759; Wallau, G.L., RNA Virus EVEs in Insect Genomes (2022) Current Opinion in Insect Science, 49, pp. 42-47. , https://doi.org/10.1016/j.cois.2021.11.005, PMID: 34839033; Palatini, U., Miesen, P., Carballar-Lejarazu, R., Ometto, L., Rizzo, E., Tu, Z., Comparative Genomics Shows That Viral Integrations Are Abundant and Express PiRNAs in the Arboviral Vectors Aedes Aegypti and Aedes Albopictus (2017) BMC Genomics, 18, pp. 1-15. , https://doi.org/10.1186/s12864-017-3903-3, PMID: 28676109; Crava, C.M., Varghese, F.S., Pischedda, E., Halbach, R., Palatini, U., Marconcini, M., Population Genomics in the Arboviral Vector Aedes Aegypti Reveals the Genomic Architecture and Evolution of Endogenous Viral Elements (2021) Molecular Ecology, 30, pp. 1594-1611. , https://doi.org/10.1111/mec.15798, PMID: 33432714; Blair, C.D., Olson, K.E., Bonizzoni, M., The Widespread Occurrence and Potential Biological Roles of Endogenous Viral Elements in Insect Genomes (2020) Current Issues in Molecular Biology, 34, pp. 13-29. , https://doi.org/10.21775/cimb.034.013, PMID: 31167954; Nouri, S., Matsumura, E.E., Kuo, Y.W., Falk, B.W., Insect-Specific Viruses: From Discovery to Potential Translational Applications (2018) Current Opinion in Virology, 33, pp. 33-41. , https://doi.org/10.1016/j.coviro.2018.07.006, PMID: 30048906; Patterson, E.I., Villinger, J., Muthoni, J.N., Dobel-Ober, L., Hughes, G.L., Exploiting Insect-Specific Viruses as a Novel Strategy to Control Vector-Borne Disease (2020) Current Opinion in Insect Science, 39, pp. 50-56. , https://doi.org/10.1016/j.cois.2020.02.005, PMID: 32278312; Öhlund, P., Lundén, H., Blomström, A.-L., Insect-Specific Virus Evolution and Potential Effects on Vector Competence (2019) Virus Genes, 55 (2 2019), pp. 127-137. , https://doi.org/10.1007/s11262-018-01629-9, 55, PMID: 30632016; Romo, H., Kenney, J.L., Blitvich, B.J., Brault, A.C., Restriction of Zika Virus Infection and Transmission in Aedes Aegypti Mediated by an Insect-Specific Flavivirus (2018) Emerging Microbes and Infections, 7. , https://doi.org/10.1038/s41426-018-0180-4, PMID: 30429457; Olmo, R.P., Todjro, Y.M.H., Aguiar, E.R.G.R., de Almeida, J.P.P., Armache, J.N., de Faria, I.J.S., Insect-Specific Viruses Regulate Vector Competence in Aedes Aegypti Mosquitoes via Expression of Histone H4 (2021) bioRxiv, , https://doi.org/10.1101/2021.06.05.447047, 2021.06.05.447047; Pérez-Pérez, J., Sanabria, W.H., Restrepo, C., Rojo, R., Henao, E., Triana, O., Virological Surveillance of Aedes (Stegomyia) Aegypti and Aedes (Stegomyia) Albopictus as Support for Decision Making for Dengue Control in Medellín (2017) Biomédica, 37, p. 155. , https://doi.org/10.7705/biomedica.v37i0.3467, PMID: 29161487; Pérez-Pérez, J., Rojo, R., Henao, E., García-Huerta, P., Triana-Chavez, O., Rúa-Uribe, G., Natural Infection of Aedes Aegypti, Ae. Albopictus and Culex Spp. with Zika Virus in Medellin, Colombia (2019) CES Medicina, 33, pp. 175-181. , https://doi.org/10.21615/cesmedicina.33.3.2; Velez, I.D., Santacruz, E., Kutcher, S.C., Duque, S.L., Uribe, A., Barajas, J., The Impact of City-Wide Deployment of Wolbachia-Carrying Mosquitoes on Arboviral Disease Incidence in Medellín and Bello, Colombia: Study Protocol for an Interrupted Time-Series Analysis and a Test-Negative Design Study (2019) F1000Res, 8, p. 1327. , https://doi.org/10.12688/f1000research.19858.2, PMID: 34900237; Utarini, A., Indriani, C., Ahmad, R.A., Tantowijoyo, W., Arguni, E., Ansari, M.R., Efficacy of Wolbachia-Infected Mosquito Deployments for the Control of Dengue (2021) New England Journal of Medicine, 384, pp. 2177-2186. , https://doi.org/10.1056/NEJMoa2030243, PMID: 34107180; Rueda, L.M., Pictorial Keys for the Identification of Mosquitoes (Diptera: Culicidae) Associated with Dengue Virus Transmission (2004) Zootaxa, 589, p. 1. , https://doi.org/10.11646/zootaxa.589.1.1; Chen, S., Zhou, Y., Chen, Y., Gu, J., Fastp: An Ultra-Fast All-in-One FASTQ Preprocessor (2018) Bioinformatics, 34, pp. i884-i890. , https://doi.org/10.1093/bioinformatics/bty560, PMID: 30423086; Matthews, B.J., Dudchenko, O., Kingan, S.B., Koren, S., Antoshechkin, I., Crawford, J.E., Improved Reference Genome of Aedes Aegypti Informs Arbovirus Vector Control (2018) Nature, 563 (7732 2018), pp. 501-507. , https://doi.org/10.1038/s41586-018-0692-z, 563, PMID: 30429615; Chen, X.-G., Jiang, X., Gu, J., Xu, M., Wu, Y., Deng, Y., Genome Sequence of the Asian Tiger Mosquito, Aedes Albopictus, Reveals Insights into Its Biology, Genetics, and Evolution (2015) Proceedings of the National Academy of Sciences, 112, pp. E5907-E5915. , https://doi.org/10.1073/PNAS.1516410112, PMID: 26483478; Li, H., Durbin, R., Fast and Accurate Short Read Alignment with Burrows-Wheeler Transform (2009) Bioinformatics, 25, pp. 1754-1760. , https://doi.org/10.1093/bioinformatics/btp324, PMID: 19451168; Kopylova, E., Noé, L., Touzet, H., SortMeRNA: Fast and Accurate Filtering of Ribosomal RNAs in Metatranscriptomic Data (2012) Bioinformatics, 28, pp. 3211-3217. , https://doi.org/10.1093/bioinformatics/bts611, PMID: 23071270; Zhao, L., Atoni, E., Shi, C., Yuan, Z., Xia, H., Mapping the Virome in Lab-Reared and Wild-Caught Aedes Albopictus Mosquitoes (2019) Access Microbiology, 1, p. 4. , https://doi.org/10.1099/acmi.imav2019.po0009, PMID: 32974496; Bankevich, A., Nurk, S., Antipov, D., Gurevich, A.A., Dvorkin, M., Kulikov, A.S., SPAdes: A New Genome Assembly Algorithm and Its Applications to Single-Cell Sequencing (2012) Journal of Computational Biology, 19, pp. 455-477. , https://doi.org/10.1089/cmb.2012.0021, PMID: 22506599; Buchfink, B., Xie, C., Huson, D.H., Fast and Sensitive Protein Alignment Using DIAMOND (2014) Nature Methods, 12, pp. 59-60. , https://doi.org/10.1038/nmeth.3176, PMID: 25402007; Kubacki, J., Flacio, E., Qi, W., Guidi, V., Tonolla, M., Fraefel, C., Viral Metagenomic Analysis of Aedes Albopictus Mosquitos from Southern Switzerland (2020) Viruses, 12, p. 929. , https://doi.org/10.3390/v12090929, PMID: 32846980; Ondov, B.D., Bergman, N.H., Phillippy, A.M., Interactive Metagenomic Visualization in a Web Browser (2011) BMC Bioinformatics, 12. , https://doi.org/10.1186/1471-2105-12-385, PMID: 21961884; Lagkouvardos, I., Fischer, S., Kumar, N., Clavel, T., Rhea: A Transparent and Modular R Pipeline for Microbial Profiling Based on 16S RRNA Gene Amplicons (2017) PeerJ, 5, p. e2836. , https://doi.org/10.7717/peerj.2836, PMID: 28097056; (2020) A Language and Environment for Statistical Computing; Anderson, M.J., Crist, T.O., Chase, J.M., Vellend, M., Inouye, B.D., Freestone, A.L., Navigating the Multiple Meanings of β Diversity: A Roadmap for the Practicing Ecologist (2011) Ecology Letters, 14, pp. 19-28. , https://doi.org/10.1111/j.1461-0248.2010.01552.x, PMID: 21070562; Li, H., (2013) Aligning Sequence Reads, Clone Sequences and Assembly Contigs with BWA-MEM; Li, H., Handsaker, B., Wysoker, A., Fennell, T., Ruan, J.L, Homer, N., The Sequence Alignment/Map Format and SAMtools (2009) Bioinformatics, 25, pp. 2078-2079. , https://doi.org/10.1093/bioinformatics/btp352, PMID: 19505943; A Statistical Framework for SNP Calling, Mutation Discovery, Association Mapping and Population Genetical Parameter Estimation from Sequencing Data (2011) Bioinformatics, 27, pp. 2987-2993. , https://doi.org/10.1093/bioinformatics/btr509, H L. PMID: 21903627; Garrison, E., Marth, G., (2012) Haplotype-Based Variant Detection from Short-Read Sequencing, , arXiv preprint arXiv:1207.3907; DePristo, M.A., Banks, E., Poplin, R., Garimella, K. V, Maguire, J.R., Hartl, C., A Framework for Variation Discovery and Genotyping Using Next-Generation DNA Sequencing Data (2011) Nature Genetics 2011, 43 (5), pp. 491-498. , https://doi.org/10.1038/ng.806, 43, PMID: 21478889; Rozas, J., Ferrer-Mata, A., Sánchez-DelBarrio, J.C., Guirao-Rico, S., Librado, P., Ramos-Onsins, S.E., DnaSP 6: DNA Sequence Polymorphism Analysis of Large Data Sets (2017) Molecular Biology and Evolution, 34, pp. 3299-3302. , https://doi.org/10.1093/molbev/msx248, PMID: 29029172; Kumar, S., Stecher, G., Li, M., Knyaz, C., Tamura, K., MEGA X: Molecular Evolutionary Genetics Analysis across Computing Platforms (2018) Molecular Biology and Evolution, 35, p. 1547. , https://doi.org/10.1093/molbev/msy096, PMID: 29722887; Jiménez-Silva, C.L., Carreño, M.F., Ortiz-Baez, A.S., Rey, L.A., Villabona-Arenas, C.J., Ocazionez, R.E., Evolutionary History and Spatio-Temporal Dynamics of Dengue Virus Serotypes in an Endemic Region of Colombia (2018) PLOS ONE, 13, p. e0203090. , https://doi.org/10.1371/journal.pone.0203090, PMID: 30157270; Hall, T., (2005) BioEdit v.7.0.5. Biological Sequences Alignment Editor for Windows, , Ibis Therapeutics, a Division of Isis Pharmaceuticals; Katoh, K., Standley, D.M., MAFFT Multiple Sequence Alignment Software Version 7: Improvements in Performance and Usability (2013) Molecular Biology and Evolution, 30, pp. 772-780. , https://doi.org/10.1093/molbev/mst010, PMID: 23329690; Nguyen, L.-T., Schmidt, H.A., von Haeseler, A., Minh, B.Q., IQ-TREE: A Fast and Effective Stochastic Algorithm for Estimating Maximum-Likelihood Phylogenies (2015) Molecular Biology and Evolution, 32, pp. 268-274. , https://doi.org/10.1093/molbev/msu300, PMID: 25371430; Kalyaanamoorthy, S., Minh, B.Q., Wong, T.K.F., Von Haeseler, A., Jermiin, L.S., ModelFinder: Fast Model Selection for Accurate Phylogenetic Estimates (2017) Nature Methods, 14, pp. 587-589. , https://doi.org/10.1038/nmeth.4285, PMID: 28481363; Shi, C., Beller, L., Deboutte, W., Yinda, K.C., Delang, L., Vega-Rúa, A., Stable Distinct Core Eukaryotic Viromes in Different Mosquito Species from Guadeloupe, Using Single Mosquito Viral Metagenomics (2019) Microbiome, 7, pp. 1-20. , https://doi.org/10.1186/s40168-019-0734-2, PMID: 31462331; Zhang, X., Huang, S., Jin, T., Lin, P., Huang, Y., Wu, C., Discovery and High Prevalence of Phasi Charoen-like Virus in Field-Captured Aedes Aegypti in South China (2018) Virology, 523, pp. 35-40. , https://doi.org/10.1016/j.virol.2018.07.021, PMID: 30077072; Chandler, J.A., Thongsripong, P., Green, A., Kittayapong, P., Wilcox, B.A., Schroth, G.P., Metagenomic Shotgun Sequencing of a Bunyavirus in Wild-Caught Aedes Aegypti from Thailand Informs the Evolutionary and Genomic History of the Phleboviruses (2014) Virology, , https://doi.org/10.1016/j.virol.2014.06.036, 464–465, 312–319, PMID: 25108381; Ramos-Nino, M.E., Fitzpatrick, D.M., Tighe, S., Eckstrom, K.M., Hattaway, L.M., Hsueh, A.N., High Prevalence of Phasi Charoen-like Virus from Wild-Caught Aedes Aegypti in Grenada, W.I. as Revealed by Metagenomic Analysis (2020) PLOS ONE, 15, p. e0227998. , https://doi.org/10.1371/journal.pone.0227998, PMID: 32004323; Aubry, F., Dabo, S., Manet, C., Filipović, I., Rose, N.H., Miot, E.F., Enhanced Zika Virus Susceptibility of Globally Invasive Aedes Aegypti Populations Science (1979), 2020 (370), pp. 991-996. , https://doi.org/10.1126/science.abd3663, PMID: 33214283; de Oliveira Ribeiro, G., Morais, V.S., Monteiro, F.J.C., Ribeiro, E.S.D.A., da Rego, M.O.S., Souto, R.N.P., Aedes Aegypti from Amazon Basin Harbor High Diversity of Novel Viral Species (2020) Viruses, 12. , https://doi.org/10.3390/v12080866, PMID: 32784421; Stollar, V., Thomas, V.L., An Agent in the Aedes Aegypti Cell Line (Peleg) Which Causes Fusion of Aedes Albopictus Cells (1975) Virology, 64, pp. 367-377. , https://doi.org/10.1016/0042-6822(75)90113-0, PMID: 806166; Espinoza-Gómez, F., López-Lemus, A.U., Rodriguez-Sanchez, I.P., Martinez-Fierro, M.L., Newton-Sánchez, O.A., Chávez-Flores, E., Detection of Sequences from a Potentially Novel Strain of Cell Fusing Agent Virus in Mexican Stegomyia (Aedes) Aegypti Mosquitoes; Cook, S., Bennett, S.N., Holmes, E.C., De Chesse, R., Moureau, G., de Lamballerie, X., Isolation of a New Strain of the Flavivirus Cell Fusing Agent Virus in a Natural Mosquito Population from Puerto Rico (2006) Journal of General Virology, 87, pp. 735-748. , https://doi.org/10.1099/vir.0.81475-0, PMID: 16528021; Yamanaka, A., Thongrungkiat, S., Ramasoota, P., Konishi, E., Genetic and Evolutionary Analysis of Cell-Fusing Agent Virus Based on Thai Strains Isolated in 2008 and 2012 (2013) Infection, Genetics and Evolution, 19, pp. 188-194. , https://doi.org/10.1016/j.meegid.2013.07.012, PMID: 23871775; Zhang, G., Asad, S., Khromykh, A.A., Asgari, S., Cell Fusing Agent Virus and Dengue Virus Mutually Interact in Aedes Aegypti Cell Lines (2017) Scientific Reports, 7, pp. 1-8. , https://doi.org/10.1038/s41598-017-07279-5, 1 2017, 7, PMID: 28761113; Zhao, Q., Zuo, S., Sun, Qiang, Complete Genome Sequence of Menghai Flavivirus, a Novel Insect-Specific Flavivirus from China Archives of Virology, 162. , https://doi.org/10.1007/s00705-017-3232-5, Zhang X., ; PMID: 28175982; Parry, R., Naccache, F., Ndiaye, E.H., Fall, G., Castelli, I., Lühken, R., Identification and RNAi Profile of a Novel Iflavirus Infecting Senegalese Aedes Vexans Arabiensis Mosquitoes (2020) Viruses, 12, p. 4402020. , https://doi.org/10.3390/v12040440, Page 12, 440, PMID: 32295109; Kobayashi, D., Isawa, H., Fujita, R., Murota, K., Itokawa, K., Higa, Y., Isolation and Characterization of a New Iflavirus from Armigeres Spp. Mosquitoes in the Philippines (2017) Journal of General Virology, 98, pp. 2876-2881. , https://doi.org/10.1099/jgv.0.000929, PMID: 29048274; Parry, R., Asgari, S., Aedes Anphevirus: An Insect-Specific Virus Distributed Worldwide in Aedes Aegypti Mosquitoes That Has Complex Interplays with Wolbachia and Dengue Virus Infection in Cells (2018) Journal of Virology, 92, pp. 1-19. , https://doi.org/10.1128/JVI.00224-18, PMID: 29950416; Hoshino, K., Isawa, H., Tsuda, Y., Sawabe, K., Kobayashi, M., Isolation and Characterization of a New Insect Flavivirus from Aedes Albopictus and Aedes Flavopictus Mosquitoes in Japan (2009) Virology, 391, pp. 119-129. , https://doi.org/10.1016/j.virol.2009.06.025, PMID: 19580982; Fang, Y., Zhang, Y., Zhou, Z.-B., Shi, W.-Q., Xia, S., Li, Y.-Y., Co-Circulation of Aedes Flavivirus, Culex Flavivirus, and Quang Binh Virus in Shanghai, China (2018) Infectious Diseases of Poverty, 7, pp. 1-10. , https://doi.org/10.1186/S40249-018-0457-9, 1 2018, 7, PMID: 30021614; Schultz, M.J., Frydman, H.M., Connor, J.H., Dual Insect Specific Virus Infection Limits Arbovirus Replication in Aedes Mosquito Cells (2018) Virology, 518, pp. 406-413. , https://doi.org/10.1016/j.virol.2018.03.022, PMID: 29625404; Gratz, N.G., Critical Review of the Vector Status of Aedes Albopictus (2004) Medical and Veterinary Entomology, 18, pp. 215-227. , https://doi.org/10.1111/j.0269-283X.2004.00513.x, PMID: 15347388; Richards, S.L., Ponnusamy, L., Unnasch, T.R., Hassan, H.K., Apperson, C.S., Host-Feeding Patterns of Aedes Albopictus (Diptera: Culicidae) in Relation to Availability of Human and Domestic Animals in Suburban Landscapes of Central North Carolina (2006) Journal of Medical Entomology, 43, pp. 543-551. , https://doi.org/10.1603/0022-2585(2006)43[543:hpoaad]2.0.co;2, PMID: 16739414; Wang, L., Lv, X., Zhai, Y., Fu, S., Wang, D., Rayner, S., Genomic Characterization of a Novel Virus of the Family Tymoviridae Isolated from Mosquitoes (2012) PLOS ONE, 7, p. e39845. , https://doi.org/10.1371/journal.pone.0039845, PMID: 22848363; Ahmad, N.A., Vythilingam, I., Lim, Y.A.L., Zabari, N.Z.A.M., Lee, H.L., Detection of Wolbachia in Aedes Albopictus and Their Effects on Chikungunya Virus (2017) American Journal of Tropical Medicine and Hygiene, 96, pp. 148-156. , https://doi.org/10.4269/ajtmh.16-0516, PMID: 27920393; Seabournid, P., Spafford, H., Yoneishi, N., Medeirosid, M., The Aedes Albopictus (Diptera: Culicidae) Microbiome Varies Spatially and with Ascogregarine Infection (2020) PLoS Neglected Tropical Diseases, 14, pp. 1-21. , https://doi.org/10.1371/journal.pntd.0008615, PMID: 32813707; Ross, P.A., Callahan, A.G., Yang, Q., Jasper, M., Arif, M.A.K., Afizah, A.N., An Elusive Endosymbiont: Does Wolbachia Occur Naturally in Aedes Aegypti? (2020) Ecology and Evolution, 10, pp. 1581-1591. , https://doi.org/10.1002/ece3.6012, PMID: 32076535; Shi, M., White, V.L., Schlub, T., Eden, J.S., Hoffmann, A.A., Holmes, E.C., No Detectable Effect of Wolbachia WMel on the Prevalence and Abundance of the RNA Virome of Drosophila Melanogaster (2018) Proceedings of the Royal Society B: Biological Sciences, 285. , https://doi.org/10.1098/rspb.2018.1165, PMID: 30051873; Amuzu, H.E., Tsyganov, K., Koh, C., Herbert, R.I., Powell, D.R., McGraw, E.A., Wolbachia Enhances Insect-Specific Flavivirus Infection in Aedes Aegypti Mosquitoes (2018) Ecology and Evolution, 8, pp. 5441-5454. , https://doi.org/10.1002/ece3.4066, PMID: 29938064; Aliota, M.T., Peinado, S.A., Velez, I.D., Osorio, J.E., The WMel Strain of Wolbachia Reduces Transmission of Zika Virus by Aedes Aegypti (2016) Scientific Reports, 6, pp. 1-7. , https://doi.org/10.1038/srep28792, 1 2016, 6, PMID: 27364935; Schmidt, T.L., Filipović, I., Hoffmann, A.A., Rašić, G., Fine-Scale Landscape Genomics Helps Explain the Slow Spatial Spread of Wolbachia through the Aedes Aegypti Population in Cairns, Australia (2018) Heredity, 120 (5), pp. 386-395. , https://doi.org/10.1038/s41437-017-0039-9, 2018, 120, PMID: 29358725; Jasper, M., Schmidt, T.L., Ahmad, N.W., Sinkins, S.P., Hoffmann, A.A., A Genomic Approach to Inferring Kinship Reveals Limited Intergenerational Dispersal in the Yellow Fever Mosquito (2019) Molecular Ecology Resources, 19, pp. 1254-1264. , https://doi.org/10.1111/1755-0998.13043, PMID: 31125998; Guillermo, Rúa-Uribe, Suárez Acosta, C., Viviana, Londoño, James, Sanchez, Rojo, R., Novoa, B., Primera Evidencia de Aedes Albopictus (Skuse) (Diptera: Culicidae) En La Ciudad de Medellín, Antioquia —Colombia (2011) Revista Salud Pública de Medellín, 5, pp. 89-98</t>
  </si>
  <si>
    <t>Calle-Tobón, A.; Grupo Entomología Médica–GEM, Colombia; email: arley.calle@udea.edu.co</t>
  </si>
  <si>
    <t>Public Library of Science</t>
  </si>
  <si>
    <t>POLNC</t>
  </si>
  <si>
    <t>2-s2.0-85134891871</t>
  </si>
  <si>
    <t>Jakovac C.C., Meave J.A., Bongers F., Letcher S.G., Dupuy J.M., Piotto D., Rozendaal D.M.A., Peña-Claros M., Craven D., Santos B.A., Siminski A., Fantini A.C., Rodrigues A.C., Hernández-Jaramillo A., Idárraga A., Junqueira A.B., Zambrano A.M.A., De Jong B.H.J., Pinho B.X., Finegan B., Castellano-Castro C., Zambiazi D.C., Dent D.H., García D.H., Kennard D., Delgado D., Broadbent E.N., Ortiz-Malavassi E., Pérez-García E.A., Lebrija-Trejos E., Berenguer E., Marín-Spiotta E., Alvarez-Davila E., De Sá Sampaio E.V., Melo F., Elias F., França F., Oberleitner F., Mora F., Williamson G.B., Dalla Colletta G., Cabral G.A.L., Derroire G., Fernandes G.W., Van Der Wal H., Teixeira H.M., Vester H.F.M., García H., Vieira I.C.G., Jiménez-Montoya J., De Almeida-Cortez J.S., Hall J.S., Chave J., Zimmerman J.K., Nieto J.E., Ferreira J., Rodríguez-Velázquez J., Ruíz J., Barlow J., Aguilar-Cano J., Hernández-Stefanoni J.L., Engel J., Becknell J.M., Zanini K., Lohbeck M., Tabarelli M., Romero-Romero M.A., Uriarte M., Veloso M.D.M., Espírito-Santo M.M., Van Der Sande M.T., Van Breugel M., Martínez-Ramos M., Schwartz N.B., Norden N., Pérez-Cárdenas N., González-Valdivia N., Petronelli P., Balvanera P., Massoca P., Brancalion P.H.S., Villa P.M., Hietz P., Ostertag R., López-Camacho R., César R.G., Mesquita R., Chazdon R.L., Muñoz R., DeWalt S.J., Müller S.C., Durán S.M., Martins S.V., Ochoa-Gaona S., Rodríguez-Buritica S., Aide T.M., Bentos T.V., Moreno V.D.S., Granda V., Thomas W., Silver W.L., Nunes Y.R.F., Poorter L.</t>
  </si>
  <si>
    <t>56497945100;6602394131;7003843226;12143977200;7102300261;6506788332;13410845400;6506552133;15756979300;7006476950;23089294200;57202595263;57202240129;57210605499;57202975904;35726659400;57194475294;55993722400;55293133700;7006935009;57791339800;57223800392;56265049400;57223686810;7003270434;7004964665;8919611000;56214990400;56000752400;26221848900;54683478200;23389637500;57224123406;57792663500;7005124694;56062492000;55175154700;57203982765;56454908900;55664060800;57401737700;57114614800;6503900667;7101790742;14036436400;57200437606;6602410793;57207755287;7003391442;57203857464;57790340600;7407376414;7006423157;7401859637;57211868204;18436550200;6507748012;11940004800;7402197897;56695116000;8521370100;35261413600;34771070900;56033227000;54179463300;7004125728;35574845900;7003676202;57792011000;57792011100;55538185300;15045862000;56013675200;56594470600;24451229200;57211317332;40661258900;35262486200;6602239231;56320628400;21740850700;57062017500;6603724288;6603922181;55340685500;55811245600;7005556630;6603743015;56701884300;6602690651;55457156700;55785981100;35731630200;55989726300;8563408100;7004375740;22233466400;57192875507;57238999000;57220927424;7005639482;12797424000;56005805300;</t>
  </si>
  <si>
    <t>Science Advances</t>
  </si>
  <si>
    <t>https://www.scopus.com/inward/record.uri?eid=2-s2.0-85133777608&amp;doi=10.1126%2fsciadv.abn1767&amp;partnerID=40&amp;md5=335c74ac2564a55619072f1c2db88c55</t>
  </si>
  <si>
    <t>Departamento de Fitotecnia, Centro de Ciências Agrárias, Universidade Federal de Santa Catarina, Rod. Admar Gonzaga, 1346, Florianópolis, 88034-000, Brazil; Forest Ecology and Forest Management Group, Wageningen University &amp; Research, P.O. Box 47, Wageningen, 6700 AA, Netherlands; Departamento de Ecología y Recursos Naturales, Facultad de Ciencias, Universidad Nacional Autónoma de México, Coyoacán, Mexico City, CP 04510, Mexico; College of the Atlantic, 105 Eden St., Bar Harbor, ME  04609, United States; Centro de Investigación Científica de Yucatán A.C., Unidad de Recursos Naturales, Calle 43 # 130 x 32 y 34, Chuburná de Hidalgo, Yucatán, Mérida, C.P. 97205, Mexico; Centro de Formação em Ciências Agroflorestais, Universidade Federal Do sul da Bahia, BA, Itabuna, 45613-204, Brazil; Centre for Crop Systems Analysis, Wageningen University &amp; Research, Wageningen, Netherlands; Plant Production Systems Group, Wageningen University &amp; Research, Wageningen, Netherlands; Centro de Modelacion y Monitoreo de Ecosistemas, Universidad Mayor, Jose Toribio Medina 29, Santiago, Chile; Federal University of Paraíba, Paraíba, Brazil; Postgraduate Program in Agricultural and Natural Ecosystems-PPGEAN, Universidade Federal de Santa Catarina, SC, Curitibanos, Brazil; Associação Para A Conservação da Biodiversidade, PROBIODIVERSA-BRASIL, MG, Viçosa, Brazil; Botany Graduate Program, Departamento de Biologia Vegetal, Universidade Federal de Viçosa, Viçosa, 36570-900, Brazil; Neotropical Primate Conservation Colombia, Bogotá, Colombia; Fundación Jardín Botánico de Medellín, Herbario JAUM, Medellín, Colombia; Institut de Ciència i Tecnologia Ambientals, Universitat Autònoma de Barcelona, Cerdanyola del Vallès, Barcelona, 08193, Spain; Center for Latin American Studies, University of Florida, Gainesville, FL  32611, United States; Department of Sustainability Science, El Colegio de la Frontera Sur, Av. Rancho Polígono 2-A, Ciudad Industrial, Lerma, Campeche, 24500, Mexico; Departamento de Botânica, Universidade Federal de Pernambuco, Pernambuco, CEP 50670-901, Brazil; AMAP, Univ Montpellier, INRAe, CIRAD, CNRS, IRD, Montpellier, France; CATIE-Centro Agronómico Tropical de Investigación y Enseñanza, Turrialba, Costa Rica; Instituto de Investigación de Recursos Biológicos Alexander von Humboldt, 16-20 Avenida Circunvalar, Bogotá, Colombia; Biological and Environmental Sciences, University of Stirling, Stirling, FK9 4LA, United Kingdom; Max Planck Institute for Animal Behavior, Konstanz, Germany; Smithsonian Tropical Research Institute, Roosevelt Ave., Balboa, Ancon, 401, Panama; Department of Physical and Environmental Sciences, Colorado Mesa University, 1100 North Avenue, Grand Junction, CO  81501, United States; Spatial Ecology and Conservation Lab, School of Forest Resources and Conservation, University of Florida, Gainesville, FL  32611, United States; Instituto Tecnológico de Costa Rica, Escuela de Ingeniería Forestal, Cartago, Costa Rica; Department of Biology and the Environment, Faculty of Natural Sciences, University of Haifa-Oranim, Tivon, 36006, Israel; Environmental Change Institute, School of Geography and the Environment, University of Oxford, Oxford, OX1 3QY, United Kingdom; Lancaster Environment Centre, Lancaster University, Lancaster, LA1 4YQ, United Kingdom; Department of Geography, University of Wisconsin-Madison, 550 North Park St, Madison, WI  53706, United States; Escuela ECAPMA, Universidad Nacional Abierta y A Distancia, Bogotá, Colombia; Departamento de Energia Nuclear-CTG, Universidade Federal de Pernambuco, Av. Prof., Luis Freire 1000, Pernambuco, 50740-540, Brazil; Universidade Federal Do Pará, Instituto de Ciências Biológicas, Programa de Pós-Graduação em Ecologia, Pará, Brazil; School of Biological Sciences, University of Bristol, 24 Tyndall Ave, Bristol, BS8 1TQ, United Kingdom; Department of Ecology, University of Innsbruck, Sternwartestraße 15, Innsbruck, 6020, Austria; Instituto de Investigaciones en Ecosistemas y Sustentabilidad, Universidad Nacional Autónoma de México, Michoacán, Morelia, CP 58089, Mexico; Biological Dynamics of Forest Fragments Project, Environmental Dynamics Research Coordination, Instituto Nacional de Pesquisas da Amazonia, Amazonas, Manaus, CEP 69067-375, Brazil; Department of Biological Sciences, Louisiana State University, Baton Rouge, LA  70803-1705, United States; Institute of Biology, University of Campinas-UNICAMP, Cidade Universitária Zeferino, Vaz-Barão Geraldo, Campinas-SP13083-970, Brazil; CIRAD, UMR EcoFoG, Campus Agronomique, Kourou, French Guiana, French Guiana; Ecologia Evolutiva e Biodiversidade/DBG, ICB, Universidade Federal de Minas Gerais, Belo Horizonte, Brazil; Departamento de Agricultura, Sociedad y Ambiente, El Colegio de la Frontera sur - Unidad Villahermosa, Centro, Tabasco, 86280, Mexico; Copernicus Institute of Sustainable Development, Utrecht University, Utrecht, Netherlands; Institute for Biodiversity and Ecosystem Dynamics (IBED), University of Amsterdam, P.O. Box 94248, Amsterdam, 1090 GE, Netherlands; Museu Paraense Emilio Goeldi, C.P. 399, Pará, Belém, CEP 66040-170, Brazil; Instituto de Biología, Universidad de Antioquia, Antioquia, Colombia; SI ForestGEO, Smithsonian Tropical Research Institute, Roosevelt Ave. Balboa, Ancon, 401, Panama; Laboratoire Evolution et Diversité Biologique, UMR5174, CNRS/Université Paul Sabatier Bâtiment 4R1, 118 Route de Narbonne, Toulouse Cedex 9, F-31062, France; Department of Environmental Sciences, University of Puerto Rico, Río Piedras Campus, San Juan, 00936, Puerto Rico; Embrapa Amazônia Oriental, Pará, Belém, 66095-903, Brazil; Programa de Estudios de Posgrado en Geografia, Convenio Universidad Pedagogica y Tecnológica de Colombia, Instituto Geografico Agustin Codazzi, Bogotá, Colombia; AMAP, IRD, CIRAD, CNRS, Université de Montpellier, INRA, Boulevard de la Lironde, TA A-51/PS2, Montpellier Cedex 5, F-34398, France; Environmental Studies Program, Colby College, 4000 Mayflower Hill, ME, Waterville, 04901, United States; Departamento de Ecologia, Instituto de Biociências, Universidade Federal Do Rio Grande Do Sul, RS, Porto Alegre, 91540-000, Brazil; Centre for International Forestry Research and World Agroforestry (CIFOR-ICRAF), United Nations Avenue, Gigiri, Nairobi, Kenya; Department of Ecology, Evolution and Environmental Biology, Columbia University, New York, NY  10027, United States; Departamento de Biologia Geral, Universidade Estadual de Montes Claros, Minas Gerais, Montes Claros, CEP 39401-089, Brazil; Yale-NUS College, 16 College Avenue West, Singapore, 138610, Singapore; Department of Biological Sciences, National University of Singapore, 14 Science Drive 4, Singapore, 117543, Singapore; Department of Geography, University of British Columbia, Vancouver, BC  V6T 1Z2, Canada; University of Zürich, Department of Geography, Winterthurerstrasse 190, Zürich, 8057, Switzerland; Departamento de Ingenierías, Instituto Tecnológico de Chiná, Tecnológico Nacional de México, Calle 11 s/n entre 22 y 28, Chiná, Campeche, 24520, Mexico; Department of Forest Sciences, Luiz de Queiroz College of Agriculture, University of São Paulo, Av. Pádua Dias, 11, São Paulo, Piracicaba, 13418-900, Brazil; Fundación Para la Conservación de la Biodiversidad (PROBIODIVERSA), Mérida, Mérida, CP 5101, Venezuela; Institute of Botany, University of Natural Resources and Life Sciences, Vienna, Austria; Department of Biology, University of Hawaii at Hilo, Hilo, HI  96720, United States; Universidad Distrital Francisco José de Caldas, Facultad de Medio Ambiente y Recursos Naturales, Carrera 5 este # 15-82, Bogotá, Colombia; Department of Ecology and Evolutionary Biology, University of Connecticut, U-43, 75 North Eagleville Road, Storrs, CT  06269, United States; Tropical Forests and People Research Centre, University of the Sunshine Coast, Maroochydore DCQLD  4558, Australia; Department of Biological Sciences, Clemson University, 132 Long Hall, Clemson, SC  29634, United States; Department of Ecology and Evolutionary Biology, University of Minnesota, St. Paul, MN  55455, United States; Earth and Atmospheric Sciences Department, University of Alberta, Edmonton, AB  T6G 2EG, Canada; Laboratório de Restauração Florestal, Departamento de Engenharia Florestal, Universidade Federal de Viçosa, Minas Gerais, Viçosa, Brazil; Department of Biology, University of Puerto Rico, P.O. Box 23360, San Juan, 00931-3360, Puerto Rico; Institute of Systematic Botany, The New York Botanical Garden, 2900 Southern Blvd., Bronx, NY  10458-5126, United States; Ecosystem Science Division, Department of Environmental Science, Policy, and Management, University of California, Berkeley, Berkeley, CA  94707, United States</t>
  </si>
  <si>
    <t>Jakovac, C.C., Departamento de Fitotecnia, Centro de Ciências Agrárias, Universidade Federal de Santa Catarina, Rod. Admar Gonzaga, 1346, Florianópolis, 88034-000, Brazil, Forest Ecology and Forest Management Group, Wageningen University &amp; Research, P.O. Box 47, Wageningen, 6700 AA, Netherlands; Meave, J.A., Departamento de Ecología y Recursos Naturales, Facultad de Ciencias, Universidad Nacional Autónoma de México, Coyoacán, Mexico City, CP 04510, Mexico; Bongers, F., Forest Ecology and Forest Management Group, Wageningen University &amp; Research, P.O. Box 47, Wageningen, 6700 AA, Netherlands; Letcher, S.G., College of the Atlantic, 105 Eden St., Bar Harbor, ME  04609, United States; Dupuy, J.M., Centro de Investigación Científica de Yucatán A.C., Unidad de Recursos Naturales, Calle 43 # 130 x 32 y 34, Chuburná de Hidalgo, Yucatán, Mérida, C.P. 97205, Mexico; Piotto, D., Centro de Formação em Ciências Agroflorestais, Universidade Federal Do sul da Bahia, BA, Itabuna, 45613-204, Brazil; Rozendaal, D.M.A., Centre for Crop Systems Analysis, Wageningen University &amp; Research, Wageningen, Netherlands, Plant Production Systems Group, Wageningen University &amp; Research, Wageningen, Netherlands; Peña-Claros, M., Forest Ecology and Forest Management Group, Wageningen University &amp; Research, P.O. Box 47, Wageningen, 6700 AA, Netherlands; Craven, D., Centro de Modelacion y Monitoreo de Ecosistemas, Universidad Mayor, Jose Toribio Medina 29, Santiago, Chile; Santos, B.A., Federal University of Paraíba, Paraíba, Brazil; Siminski, A., Postgraduate Program in Agricultural and Natural Ecosystems-PPGEAN, Universidade Federal de Santa Catarina, SC, Curitibanos, Brazil; Fantini, A.C., Departamento de Fitotecnia, Centro de Ciências Agrárias, Universidade Federal de Santa Catarina, Rod. Admar Gonzaga, 1346, Florianópolis, 88034-000, Brazil; Rodrigues, A.C., Associação Para A Conservação da Biodiversidade, PROBIODIVERSA-BRASIL, MG, Viçosa, Brazil, Botany Graduate Program, Departamento de Biologia Vegetal, Universidade Federal de Viçosa, Viçosa, 36570-900, Brazil; Hernández-Jaramillo, A., Neotropical Primate Conservation Colombia, Bogotá, Colombia; Idárraga, A., Fundación Jardín Botánico de Medellín, Herbario JAUM, Medellín, Colombia; Junqueira, A.B., Institut de Ciència i Tecnologia Ambientals, Universitat Autònoma de Barcelona, Cerdanyola del Vallès, Barcelona, 08193, Spain; Zambrano, A.M.A., Center for Latin American Studies, University of Florida, Gainesville, FL  32611, United States; De Jong, B.H.J., Department of Sustainability Science, El Colegio de la Frontera Sur, Av. Rancho Polígono 2-A, Ciudad Industrial, Lerma, Campeche, 24500, Mexico; Pinho, B.X., Departamento de Botânica, Universidade Federal de Pernambuco, Pernambuco, CEP 50670-901, Brazil, AMAP, Univ Montpellier, INRAe, CIRAD, CNRS, IRD, Montpellier, France; Finegan, B., CATIE-Centro Agronómico Tropical de Investigación y Enseñanza, Turrialba, Costa Rica; Castellano-Castro, C., Instituto de Investigación de Recursos Biológicos Alexander von Humboldt, 16-20 Avenida Circunvalar, Bogotá, Colombia; Zambiazi, D.C., Departamento de Fitotecnia, Centro de Ciências Agrárias, Universidade Federal de Santa Catarina, Rod. Admar Gonzaga, 1346, Florianópolis, 88034-000, Brazil; Dent, D.H., Biological and Environmental Sciences, University of Stirling, Stirling, FK9 4LA, United Kingdom, Max Planck Institute for Animal Behavior, Konstanz, Germany, Smithsonian Tropical Research Institute, Roosevelt Ave., Balboa, Ancon, 401, Panama; García, D.H., Instituto de Investigación de Recursos Biológicos Alexander von Humboldt, 16-20 Avenida Circunvalar, Bogotá, Colombia; Kennard, D., Department of Physical and Environmental Sciences, Colorado Mesa University, 1100 North Avenue, Grand Junction, CO  81501, United States; Delgado, D., CATIE-Centro Agronómico Tropical de Investigación y Enseñanza, Turrialba, Costa Rica; Broadbent, E.N., Spatial Ecology and Conservation Lab, School of Forest Resources and Conservation, University of Florida, Gainesville, FL  32611, United States; Ortiz-Malavassi, E., Instituto Tecnológico de Costa Rica, Escuela de Ingeniería Forestal, Cartago, Costa Rica; Pérez-García, E.A., Departamento de Ecología y Recursos Naturales, Facultad de Ciencias, Universidad Nacional Autónoma de México, Coyoacán, Mexico City, CP 04510, Mexico; Lebrija-Trejos, E., Department of Biology and the Environment, Faculty of Natural Sciences, University of Haifa-Oranim, Tivon, 36006, Israel; Berenguer, E., Environmental Change Institute, School of Geography and the Environment, University of Oxford, Oxford, OX1 3QY, United Kingdom, Lancaster Environment Centre, Lancaster University, Lancaster, LA1 4YQ, United Kingdom; Marín-Spiotta, E., Department of Geography, University of Wisconsin-Madison, 550 North Park St, Madison, WI  53706, United States; Alvarez-Davila, E., Escuela ECAPMA, Universidad Nacional Abierta y A Distancia, Bogotá, Colombia; De Sá Sampaio, E.V., Departamento de Energia Nuclear-CTG, Universidade Federal de Pernambuco, Av. Prof., Luis Freire 1000, Pernambuco, 50740-540, Brazil; Melo, F., Departamento de Botânica, Universidade Federal de Pernambuco, Pernambuco, CEP 50670-901, Brazil; Elias, F., Universidade Federal Do Pará, Instituto de Ciências Biológicas, Programa de Pós-Graduação em Ecologia, Pará, Brazil; França, F., School of Biological Sciences, University of Bristol, 24 Tyndall Ave, Bristol, BS8 1TQ, United Kingdom; Oberleitner, F., Department of Ecology, University of Innsbruck, Sternwartestraße 15, Innsbruck, 6020, Austria; Mora, F., Instituto de Investigaciones en Ecosistemas y Sustentabilidad, Universidad Nacional Autónoma de México, Michoacán, Morelia, CP 58089, Mexico; Williamson, G.B., Biological Dynamics of Forest Fragments Project, Environmental Dynamics Research Coordination, Instituto Nacional de Pesquisas da Amazonia, Amazonas, Manaus, CEP 69067-375, Brazil, Department of Biological Sciences, Louisiana State University, Baton Rouge, LA  70803-1705, United States; Dalla Colletta, G., Institute of Biology, University of Campinas-UNICAMP, Cidade Universitária Zeferino, Vaz-Barão Geraldo, Campinas-SP13083-970, Brazil; Cabral, G.A.L., Departamento de Botânica, Universidade Federal de Pernambuco, Pernambuco, CEP 50670-901, Brazil; Derroire, G., CIRAD, UMR EcoFoG, Campus Agronomique, Kourou, French Guiana, French Guiana; Fernandes, G.W., Ecologia Evolutiva e Biodiversidade/DBG, ICB, Universidade Federal de Minas Gerais, Belo Horizonte, Brazil; Van Der Wal, H., Departamento de Agricultura, Sociedad y Ambiente, El Colegio de la Frontera sur - Unidad Villahermosa, Centro, Tabasco, 86280, Mexico; Teixeira, H.M., Copernicus Institute of Sustainable Development, Utrecht University, Utrecht, Netherlands; Vester, H.F.M., Institute for Biodiversity and Ecosystem Dynamics (IBED), University of Amsterdam, P.O. Box 94248, Amsterdam, 1090 GE, Netherlands; García, H., Instituto de Investigación de Recursos Biológicos Alexander von Humboldt, 16-20 Avenida Circunvalar, Bogotá, Colombia; Vieira, I.C.G., Museu Paraense Emilio Goeldi, C.P. 399, Pará, Belém, CEP 66040-170, Brazil; Jiménez-Montoya, J., Instituto de Biología, Universidad de Antioquia, Antioquia, Colombia; De Almeida-Cortez, J.S., Departamento de Botânica, Universidade Federal de Pernambuco, Pernambuco, CEP 50670-901, Brazil; Hall, J.S., SI ForestGEO, Smithsonian Tropical Research Institute, Roosevelt Ave. Balboa, Ancon, 401, Panama; Chave, J., Laboratoire Evolution et Diversité Biologique, UMR5174, CNRS/Université Paul Sabatier Bâtiment 4R1, 118 Route de Narbonne, Toulouse Cedex 9, F-31062, France; Zimmerman, J.K., Department of Environmental Sciences, University of Puerto Rico, Río Piedras Campus, San Juan, 00936, Puerto Rico; Nieto, J.E., Instituto de Investigación de Recursos Biológicos Alexander von Humboldt, 16-20 Avenida Circunvalar, Bogotá, Colombia; Ferreira, J., Embrapa Amazônia Oriental, Pará, Belém, 66095-903, Brazil; Rodríguez-Velázquez, J., Instituto de Investigaciones en Ecosistemas y Sustentabilidad, Universidad Nacional Autónoma de México, Michoacán, Morelia, CP 58089, Mexico; Ruíz, J., Programa de Estudios de Posgrado en Geografia, Convenio Universidad Pedagogica y Tecnológica de Colombia, Instituto Geografico Agustin Codazzi, Bogotá, Colombia; Barlow, J., Lancaster Environment Centre, Lancaster University, Lancaster, LA1 4YQ, United Kingdom; Aguilar-Cano, J., Instituto de Investigación de Recursos Biológicos Alexander von Humboldt, 16-20 Avenida Circunvalar, Bogotá, Colombia; Hernández-Stefanoni, J.L., Centro de Investigación Científica de Yucatán A.C., Unidad de Recursos Naturales, Calle 43 # 130 x 32 y 34, Chuburná de Hidalgo, Yucatán, Mérida, C.P. 97205, Mexico; Engel, J., AMAP, IRD, CIRAD, CNRS, Université de Montpellier, INRA, Boulevard de la Lironde, TA A-51/PS2, Montpellier Cedex 5, F-34398, France; Becknell, J.M., Environmental Studies Program, Colby College, 4000 Mayflower Hill, ME, Waterville, 04901, United States; Zanini, K., Departamento de Ecologia, Instituto de Biociências, Universidade Federal Do Rio Grande Do Sul, RS, Porto Alegre, 91540-000, Brazil; Lohbeck, M., Forest Ecology and Forest Management Group, Wageningen University &amp; Research, P.O. Box 47, Wageningen, 6700 AA, Netherlands, Centre for International Forestry Research and World Agroforestry (CIFOR-ICRAF), United Nations Avenue, Gigiri, Nairobi, Kenya; Tabarelli, M., Departamento de Botânica, Universidade Federal de Pernambuco, Pernambuco, CEP 50670-901, Brazil; Romero-Romero, M.A., Departamento de Ecología y Recursos Naturales, Facultad de Ciencias, Universidad Nacional Autónoma de México, Coyoacán, Mexico City, CP 04510, Mexico; Uriarte, M., Department of Ecology, Evolution and Environmental Biology, Columbia University, New York, NY  10027, United States; Veloso, M.D.M., Departamento de Biologia Geral, Universidade Estadual de Montes Claros, Minas Gerais, Montes Claros, CEP 39401-089, Brazil; Espírito-Santo, M.M., Departamento de Biologia Geral, Universidade Estadual de Montes Claros, Minas Gerais, Montes Claros, CEP 39401-089, Brazil; Van Der Sande, M.T., Forest Ecology and Forest Management Group, Wageningen University &amp; Research, P.O. Box 47, Wageningen, 6700 AA, Netherlands; Van Breugel, M., Smithsonian Tropical Research Institute, Roosevelt Ave., Balboa, Ancon, 401, Panama, Yale-NUS College, 16 College Avenue West, Singapore, 138610, Singapore, Department of Biological Sciences, National University of Singapore, 14 Science Drive 4, Singapore, 117543, Singapore; Martínez-Ramos, M., Instituto de Investigaciones en Ecosistemas y Sustentabilidad, Universidad Nacional Autónoma de México, Michoacán, Morelia, CP 58089, Mexico; Schwartz, N.B., Department of Geography, University of British Columbia, Vancouver, BC  V6T 1Z2, Canada; Norden, N., Instituto de Investigación de Recursos Biológicos Alexander von Humboldt, 16-20 Avenida Circunvalar, Bogotá, Colombia; Pérez-Cárdenas, N., Instituto de Investigaciones en Ecosistemas y Sustentabilidad, Universidad Nacional Autónoma de México, Michoacán, Morelia, CP 58089, Mexico, University of Zürich, Department of Geography, Winterthurerstrasse 190, Zürich, 8057, Switzerland; González-Valdivia, N., Departamento de Ingenierías, Instituto Tecnológico de Chiná, Tecnológico Nacional de México, Calle 11 s/n entre 22 y 28, Chiná, Campeche, 24520, Mexico; Petronelli, P., CIRAD, UMR EcoFoG, Campus Agronomique, Kourou, French Guiana, French Guiana; Balvanera, P., Instituto de Investigaciones en Ecosistemas y Sustentabilidad, Universidad Nacional Autónoma de México, Michoacán, Morelia, CP 58089, Mexico; Massoca, P., Biological Dynamics of Forest Fragments Project, Environmental Dynamics Research Coordination, Instituto Nacional de Pesquisas da Amazonia, Amazonas, Manaus, CEP 69067-375, Brazil; Brancalion, P.H.S., Department of Forest Sciences, Luiz de Queiroz College of Agriculture, University of São Paulo, Av. Pádua Dias, 11, São Paulo, Piracicaba, 13418-900, Brazil; Villa, P.M., Departamento de Ecología y Recursos Naturales, Facultad de Ciencias, Universidad Nacional Autónoma de México, Coyoacán, Mexico City, CP 04510, Mexico, Fundación Para la Conservación de la Biodiversidad (PROBIODIVERSA), Mérida, Mérida, CP 5101, Venezuela; Hietz, P., Institute of Botany, University of Natural Resources and Life Sciences, Vienna, Austria; Ostertag, R., Department of Biology, University of Hawaii at Hilo, Hilo, HI  96720, United States; López-Camacho, R., Universidad Distrital Francisco José de Caldas, Facultad de Medio Ambiente y Recursos Naturales, Carrera 5 este # 15-82, Bogotá, Colombia; César, R.G., Department of Forest Sciences, Luiz de Queiroz College of Agriculture, University of São Paulo, Av. Pádua Dias, 11, São Paulo, Piracicaba, 13418-900, Brazil; Mesquita, R., Biological Dynamics of Forest Fragments Project, Environmental Dynamics Research Coordination, Instituto Nacional de Pesquisas da Amazonia, Amazonas, Manaus, CEP 69067-375, Brazil; Chazdon, R.L., Department of Ecology and Evolutionary Biology, University of Connecticut, U-43, 75 North Eagleville Road, Storrs, CT  06269, United States, Tropical Forests and People Research Centre, University of the Sunshine Coast, Maroochydore DCQLD  4558, Australia; Muñoz, R., Forest Ecology and Forest Management Group, Wageningen University &amp; Research, P.O. Box 47, Wageningen, 6700 AA, Netherlands, Departamento de Ecología y Recursos Naturales, Facultad de Ciencias, Universidad Nacional Autónoma de México, Coyoacán, Mexico City, CP 04510, Mexico; DeWalt, S.J., Department of Biological Sciences, Clemson University, 132 Long Hall, Clemson, SC  29634, United States; Müller, S.C., Departamento de Ecologia, Instituto de Biociências, Universidade Federal Do Rio Grande Do Sul, RS, Porto Alegre, 91540-000, Brazil; Durán, S.M., Department of Ecology and Evolutionary Biology, University of Minnesota, St. Paul, MN  55455, United States, Earth and Atmospheric Sciences Department, University of Alberta, Edmonton, AB  T6G 2EG, Canada; Martins, S.V., Laboratório de Restauração Florestal, Departamento de Engenharia Florestal, Universidade Federal de Viçosa, Minas Gerais, Viçosa, Brazil; Ochoa-Gaona, S., Department of Sustainability Science, El Colegio de la Frontera Sur, Av. Rancho Polígono 2-A, Ciudad Industrial, Lerma, Campeche, 24500, Mexico; Rodríguez-Buritica, S., Instituto de Investigación de Recursos Biológicos Alexander von Humboldt, 16-20 Avenida Circunvalar, Bogotá, Colombia; Aide, T.M., Department of Biology, University of Puerto Rico, P.O. Box 23360, San Juan, 00931-3360, Puerto Rico; Bentos, T.V., Biological Dynamics of Forest Fragments Project, Environmental Dynamics Research Coordination, Instituto Nacional de Pesquisas da Amazonia, Amazonas, Manaus, CEP 69067-375, Brazil; Moreno, V.D.S., Department of Forest Sciences, Luiz de Queiroz College of Agriculture, University of São Paulo, Av. Pádua Dias, 11, São Paulo, Piracicaba, 13418-900, Brazil; Granda, V., CATIE-Centro Agronómico Tropical de Investigación y Enseñanza, Turrialba, Costa Rica; Thomas, W., Institute of Systematic Botany, The New York Botanical Garden, 2900 Southern Blvd., Bronx, NY  10458-5126, United States; Silver, W.L., Ecosystem Science Division, Department of Environmental Science, Policy, and Management, University of California, Berkeley, Berkeley, CA  94707, United States; Nunes, Y.R.F., Departamento de Biologia Geral, Universidade Estadual de Montes Claros, Minas Gerais, Montes Claros, CEP 39401-089, Brazil; Poorter, L., Forest Ecology and Forest Management Group, Wageningen University &amp; Research, P.O. Box 47, Wageningen, 6700 AA, Netherlands</t>
  </si>
  <si>
    <t>Forests that regrow naturally on abandoned fields are important for restoring biodiversity and ecosystem services, but can they also preserve the distinct regional tree floras? Using the floristic composition of 1215 early successional forests (≤20 years) in 75 human-modified landscapes across the Neotropic realm, we identified 14 distinct floristic groups, with a between-group dissimilarity of 0.97. Floristic groups were associated with location, bioregions, soil pH, temperature seasonality, and water availability. Hence, there is large continental-scale variation in the species composition of early successional forests, which is mainly associated with biogeographic and environmental factors but not with human disturbance indicators. This floristic distinctiveness is partially driven by regionally restricted species belonging to widespread genera. Early secondary forests contribute therefore to restoring and conserving the distinctiveness of bioregions across the Neotropical realm, and forest restoration initiatives should use local species to assure that these distinct floras are maintained. Copyright © 2022 The Authors, some rights reserved.</t>
  </si>
  <si>
    <t>Conservation; Ecosystems; Forestry; Continental scale; Early-successional; Ecosystem services; Environmental factors; Floristic compositions; Neotropics; Seasonality; Soil pH; Species composition; Water availability; Biodiversity; article; biogeographic region; environmental factor; flora; forest; human; human impact (environment); Neotropics; seasonal variation; soil acidity; species composition; water availability</t>
  </si>
  <si>
    <t>F003-2022-319065; 01/2006; 17418; IG16-LR004; IN-211417, IN216007, IN217620, IN218416; National Science Foundation, NSF: DEB-0424767, DEB-0639114, DEB-0639393, DEB-1147429, DEB-1147434, DEB-9208031; National Aeronautics and Space Administration, NASA; Andrew W. Mellon Foundation, AWMF; Inter-American Development Bank, IDB: /BD-15408-CO, ANR-10-LABX-0041, ANR-10-LABX-25-01; Departamento Administrativo de Ciencia, Tecnología e Innovación (COLCIENCIAS): 1243-13; University of Connecticut; Global Environment Facility, GEF; United Nations Development Programme, UNDP; European Research Council, ERC: PANTROP 834775 519; Centre National d’Etudes Spatiales, CNES; Fondo Nacional de Desarrollo Científico y Tecnológico, FONDECYT: 015.014.006, 1201347; Consejo Nacional de Ciencia y Tecnología, CONACYT: 2009-129740, 2015-255544, CB-2009-01-128136, SEMARNAT-2002-C01-0267; Nederlandse Organisatie voor Wetenschappelijk Onderzoek, NWO: 863.15.017, ALWOP.457, OP241; Conselho Nacional de Desenvolvimento Científico e Tecnológico, CNPq: 141730/2006-4, 201423/2007-3, 302113/2021-5, 308471/2017-12, 420254/2018-8, 441573/2020-7-PELD-RAS, 441659/2016-0, 441949/2018-5-Sem-Flama, 442354/2019-3, 442371/2019-5; Fundação de Amparo à Pesquisa do Estado de Minas Gerais, FAPEMIG: VEN/SGP/2010-2015; Fundação Amazônia Paraense de Amparo à Pesquisa, FAPESPA: 2021/658588, YUC-2008-C06-108863; Instituto Nacional de Pesquisas da Amazônia, INPA; Fondation BNP Paribas; Instituto Nacional de Investigaciones Agropecuarias, INIAP; Agencia Nacional de Investigación y Desarrollo, ANID</t>
  </si>
  <si>
    <t>This work was supported by the following: Agencia Nacional de Investigación y Desarrollo, FONDECYT Regular No. 1201347 (to D.C.); Apasia Grant 015.014.006 (to M.P.-C.); BNP Paribas Foundation's Climate and Biodiversity Initiative (Project Bioclimate) (to F.F.); Colciencias grant 1243-13 (to J.R.); Consejo Nacional de Ciencia y Tecnología, grants SEMARNAT-2002-C01-0267 and CB-2009-01-128136 (to J.A.M.), SEP-CONACYT 2009-129740 and 2015-255544 (to F.Mo., N.P.-C., and P.B.), and CONACYT-PRONACE F003-2022-319065 (to P.B.); Conselho Nacional de Desenvolvimento Científico e Tecnológico, Brazil; Edital SINBIOSE grants 442371/2019-5-Regenera (to C.C.J. and R.Me.) and 442354/2019-3-Synergize (to J.F., F.F., F.E., and J.B.) and grants 302113/2021-5 (to T.V.B.), 141730/2006-4 (to A.S.), 201423/2007-3 (to A.S.), 308471/2017-12 (to M.M.E.-S.), 441949/2018-5-Sem-Flama (to J.F., F.F., F.E., and J.B.), 420254/2018-8-Resflora (to J.F., F.F., F.E., and J.B.), 441659/2016-0 (to J.F., F.F., F.E., and J.B.), and 441573/2020-7-PELD-RAS (to J.F., F.F., F.E., and J.B.); European Research Council-ERC, Advanced Grant PANTROP 834775 519 (to L.P. and C.C.J.); FAPESPA: BJT-FAPESPA Program grant 2021/658588 (to F.E.); Fondo Mixto CONACYT-Gobierno del estado de Yucatán, FOMIX YUC-2008-C06-108863 (to J.L.H.-S. and J.M.D.); Foundation Het Kronendak (to H.F.M.V. and C.C.J.); Foundation Tropenbos (to H.F.M.V. and C.C.J.); Fundação de Amparo à Ciência de Santa Catarina-FAPESC, grant Edital no 01/2006 (to A.S.); Fundação de Amparo à Pesquisa de Minas Gerais (FAPEMIG) (to M.M.E.-S.); Global Environment Facility-GEF, grant VEN/SGP/2010-2015 (to P.M.V.); Grantham Foundation for the Environment (to J.S.H.); HSBC Climate partnership (to J.S.H.); Instituto Nacional de Investigaciones Agrícolas, INIA-Amazonas (to P.M.V.); Inter-American Development Bank (Cooperation #ATN/BD-15408-CO) (to N.N.); Investissement d'Avenir grants (CEBA, ref. ANR-10-LABX-25-01; TULIP, ref. ANR-10-LABX-0041) and ESA CCI-Biomass and CNES (to J.C.); NASA Terrestrial Ecology Program, University of Connecticut Research Foundation, and Andrew W. Mellon Foundation (to R.L.C.); NSF (USA): Graduate Fellowship (to S.G.L.), grant DEB-9208031 (to S.J.D. and D.D.), and grants DEB-0639114, DEB-1147434, DEB-0424767, DEB-0639393, and DEB-1147429 (to R.L.C.); Netherlands Organisation for Scientific Research-NWO, grant NWO-ALW.OP241 (to C.C.J., L.P., and M.T.v.d.S.), grant ALWOP.457 (to F.B. and R.Mu), grant ALW grant 863.15.017 (to M.L.), and grant Veni.192.027 (to M.T.v.d.S.); NWO-FAPESP grant 17418 (NEWFOR Project; to P.H.S.B. and F.B.); Organization for Tropical Studies Graduate Fellowship (to S.G.L.); Programa de Capacitação Institucional of the Instituto Nacional de Pesquisas da Amazônia-INPA, Brazil (to T.V.B.); Rainforest Luxemburg and COBIGA (to P.H.); Singapore's Ministry of Education and Yale-NUS College, grant IG16-LR004 and YNC startup grant (to M.v.B.); United Nations Development Program, Venezuela (to P.M.V.); United Nations Programme for Development and the Global Environmental Facility (Proyecto Uso Sostenible y conservación de la biodiversidad en ecosistemas secos) (to N.N.); Universidad Nacional Autónoma de México-Programa de Apoyo de Proyectos de Investigación e Innovación Tecnológica, grants IN216007, IN218416, IN217620 (to J.A.M.), and IN-211417 (to F.Mo and N.P.-C.); and UNAM-PAPIIT grant IN-211417 (to N.P.-C., P.B., and F.Mo).</t>
  </si>
  <si>
    <t>Chazdon, R. L., Broadbent, E. N., Rozendaal, D. M. A., Bongers, F., Zambrano, A. M. A., Aide, T. M., Balvanera, P., Poorter, L., Carbon sequestration potential of second-growth forest regeneration in the Latin American tropics (2016) Sci. Adv, 2, pp. 988-993; Rozendaal, D. M. A., Bongers, F., Aide, T. M., Alvarez-Dávila, E., Ascarrunz, N., Balvanera, P., Becknell, J. M., Poorter, L., Biodiversity recovery of Neotropical secondary forests (2019) Sci. Adv, 5, p. eaau3114; Morrone, J. J., Biogeographical regionalisation of the Neotropical region (2014) Zootaxa, 3782, pp. 1-110; Gentry, A. H., Neotropical floristic diversity: Phytogeographical connections between Central and South America, Pleistocene climatic fluctuations, or an accident of the Andean orogeny? (1982) Ann. Mo. Bot. Gard, 69, pp. 557-593; Antonelli, A., Zizka, A., Carvalho, F. A., Scharn, R., Bacon, C. D., Silvestro, D., Condamine, F. L., Amazonia is the primary source of Neotropical biodiversity (2018) Proc. Natl. Acad. Sci. U.S.A, 115, pp. 6034-6039; Ficetola, G. F., Mazel, F., Thuiller, W., Global determinants of zoogeographical boundaries (2017) Nat. Ecol. Evol, 1, p. 89; Fine, P. V. A., Lohmann, L. G., Importance of dispersal in the assembly of the Neotropical biota (2018) Proc. Natl. Acad. Sci. U.S.A, 115, pp. 5829-5831; Hughes, C. E., Pennington, R. T., Antonelli, A., Neotropical plant evolution: Assembling the big picture (2013) Bot. J. Linn. Soc, 171, pp. 1-18; Pérez-Escobar, O. A., Zizka, A., Bermúdez, M. A., Meseguer, A. S., Condamine, F. L., Hoorn, C., Hooghiemstra, H., Chomicki, G., The Andes through time: Evolution and distribution of Andean floras (2022) Trends Plant Sci, 27, pp. 364-378; Esquivel-Muelbert, A., Baker, T. R., Dexter, K. G., Lewis, S. L., ter Steege, H., Lopez-Gonzalez, G., Mendoza, A. M., Phillips, O. L., Seasonal drought limits tree species across the Neotropics (2017) Ecography, 40, pp. 618-629; Segovia, R. A., Pennington, R. T., Baker, T. R., de Souza, F. C., Neves, D. M., Davis, C. C., Armesto, J. J., Dexter, K. G., Freezing and water availability structure the evolutionary diversity of trees across the Americas (2020) Sci. Adv, 6, p. eaaz5373; Antonelli, A., Biogeography: Drivers of bioregionalization (2017) Nat. Ecol. Evol, 1, p. 0114; Dexter, K. G., Pennington, R. T., Oliveira-Filho, A. T., Bueno, M. L., de Miranda, P. L. S., Neves, D. M., Inserting tropical dry forests into the discussion on biome transitions in the tropics (2018) Front. Ecol. Evol, 6, pp. 1-7; Pinho, B. X., Tabarelli, M., ter Braak, C. J. F., Wright, S. J., Arroyo-Rodríguez, V., Benchimol, M., Engelbrecht, B. M. J., Melo, F. P. L., Functional biogeography of Neotropical moist forests: Trait-climate relationships and assembly patterns of tree communities (2021) Glob. Ecol. Biogeogr, 30, pp. 1430-1446; Neves, D. M., Dexter, K. G., Baker, T. R., Coelho de Souza, F., Oliveira-Filho, A. T., Queiroz, L. P., Lima, H. C., Pennington, R. T., Evolutionary diversity in tropical tree communities peaks at intermediate precipitation (2020) Sci. Rep, 10, p. 1188; Cupertino-Eisenlohr, M. A., Oliveira-Filho, A. T., Simon, M. F., Patterns of variation in tree composition and richness in Neotropical non-flooded evergreen forests (2021) Appl. Veg. Sci, 24, p. e12522; DRYFLOR, K., Delgado-Salinas, A., Dexter, K. G., Linares-Palomino, R., Oliveira-Filho, A., Prado, D., M., M., Pennington, R. T., Plant diversity patterns in neotropical dry forests and their conservation implications (2016) Science, 353, pp. 1383-1387. , Banda-R, Á; Oliveira-Filho, A. T., Dexter, K. G., Pennington, R. T., Simon, M. F., Bueno, M. L., Neves, D. M., On the floristic identity of Amazonian vegetation types (2021) Biotropica, 53, pp. 767-777; Ellis, E. C., Gauthier, N., Klein Goldewijk, K., Bird, R. B., Boivin, N., Díaz, S., Fuller, D. Q., Watson, J. E. M., People have shaped most of terrestrial nature for at least 12, 000 years (2021) Proc. Natl. Acad. Sci. U.S.A, 118, p. e2023483118; Levis, C., Costa, F. R. C., Bongers, F., Peña-Claros, M., Clement, C. R., Junqueira, A. B., Neves, E. G., ter Steege, H., Persistent effects of pre-Columbian plant domestication on Amazonian forest composition (2017) Science, 355, pp. 925-931. , C; Koch, A., Brierley, C., Maslin, M. M., Lewis, S. L., Earth system impacts of the European arrival and great dying in the Americas after 1492 (2019) Quat. Sci. Rev, 207, pp. 13-36; Pongratz, J., Reick, C., Raddatz, T., Claussen, M., A reconstruction of global agricultural areas and land cover for the last millennium (2008) Global Biogeochem. Cycles, 22, p. GB3018; Ellis, E. C., Klein Goldewijk, K., Siebert, S., Lightman, D., Ramankutty, N., Anthropogenic transformation of the biomes, 1700 to 2000 (2010) Glob. Ecol. Biogeogr, 19, pp. 589-606; Klein Goldewijk, K., Beusen, A., van Drecht, G., de Vos, M., The HYDE 3.1 spatially explicit database of human-induced global land-use change over the past 12, 000 years (2011) Glob. Ecol. Biogeogr, 20, pp. 73-86; Barlow, J., Peres, C. A., Fire-mediated dieback and compositional cascade in an Amazonian forest (2008) Philos. Trans. R. Soc. B Biol. Sci, 363, pp. 1787-1794; Wu, Z. Y., Liu, J., Provan, J., Wang, H., Chen, C. J., Cadotte, M. W., Luo, Y. H., Milne, R. I., Testing Darwin's transoceanic dispersal hypothesis for the inland nettle family (Urticaceae) (2018) Ecol. Lett, 21, pp. 1515-1529; Camargo, P. H. S. A., Pizo, M. A., Brancalion, P. H. S., Carlo, T. A., Fruit traits of pioneer trees structure seed dispersal across distances on tropical deforested landscapes: Implications for restoration (2020) J. Appl. Ecol, 57, pp. 2329-2339; Venable, D. L., Brown, J. S., The selective interactions of dispersal, dormancy, and seed size as adaptations for reducing risk in variable environments (1988) Am. Nat, 131, pp. 360-384; Letcher, S. G., Lasky, J. R., Chazdon, R. L., Norden, N., Wright, S. J., Meave, J. A., Pérez-García, E. A., Williamson, G. B., Environmental gradients and the evolution of successional habitat specialization: A test case with 14 Neotropical forest sites (2015) J. Ecol, 103, pp. 1276-1290; Franco-Rosselli, P., Berg, C. C., Distributional patterns of Cecropia (Cecropiaceae): A panbiogeographic analysis (1997) Caldasia, 19, pp. 285-296; Griscom, H. P., Ashton, M. S., Restoration of dry tropical forests in Central America: A review of pattern and process (2011) For. Ecol. Manage, 261, pp. 1564-1579; CLARKE, K. R., Non-parametric multivariate analyses of changes in community structure (1993) Austral Ecol, 18, pp. 117-143; Breiman, L., Random forests (2001) Mach. Learn, 45, pp. 5-32; Arévalo-marín, E., Casas, A., Landrum, L., Shock, M. P., Alvarado-sizzo, H., Ruiz-sanchez, E., Clement, C. R., The taming of Psidium guajava: Natural and cultural history of a Neotropical fruit (2021) Front. Plant Sci, 12, p. 714763; Hooper, E. R., Legendre, P., Condit, R., Factors affecting community composition of forest regeneration in deforested, abandoned land in Panama (2004) Ecology, 85, pp. 3313-3326; Cupertino-Eisenlohr, M. A., Eisenlohr, P. V., Barros-Rosa, L., de Oliveira-Filho, A. T., Simon, M. F., Environmental variables and dispersal barriers explain broad-scale variation in tree species composition across Neotropical non-flooded evergreen forests (2021) J. Veg. Sci, 32, p. e13026; Jakovac, C. C., Bongers, F., Kuyper, T. W., Mesquita, R. C. G., Peña-Claros, M., Land use as a filter for species composition in Amazonian secondary forests (2016) J. Veg. Sci, 27, pp. 1104-1116; Filgueiras, B. K. C., Peres, C. A., Melo, F. P. L., Leal, I. R., Tabarelli, M., Winner-loser species replacements in human-modified landscapes (2021) Trends Ecol. Evol, 36, pp. 545-555; Tabarelli, M., Peres, C. A., Melo, F. P. L., The "few winners and many losers" paradigm revisited: Emerging prospects for tropical forest biodiversity (2012) Biol. Conserv, 155, pp. 136-140; de Castro Solar, R. R., Barlow, J., Ferreira, J., Berenguer, E., Lees, A. C., Thomson, J. R., Louzada, J., Gardner, T. A., How pervasive is biotic homogenization in human-modified tropical forest landscapes? (2015) Ecol. Lett, 18, pp. 1108-1118; Hurtado-M, A. B., Echeverry-Galvis, M. Á., Salgado-Negret, B., Muñoz, J. C., Posada, J. M., Nordern, N., Little trace of floristic homogenization in peri-urban Andean secondary forests despite high anthropogenic transformation (2021) J. Ecol, pp. 1468-1478; Norden, N., Angarita, H. A., Bongers, F., Martínez-ramos, M., Granzow-de, I., Bongers, F., Martínez-Ramos, M., Chazdon, R. L., Successional dynamics in Neotropical forests are as uncertain as they are predictable (2015) Proc. Natl. Acad. Sci. U.S.A, 112, pp. 8013-8018; Norden, N., Chazdon, R. L., Chao, A., Jiang, Y. H., Vílchez-Alvarado, B., Resilience of tropical rain forests: Tree community reassembly in secondary forests (2009) Ecol. Lett, 12, pp. 385-394; Baldeck, C. A., Tupayachi, R., Sinca, F., Jaramillo, N., Asner, G. P., Environmental drivers of tree community turnover in western Amazonian forests (2016) Ecography, 39, pp. 1089-1099; Guevara Andino, J. E., Pitman, N. C. A., ter Steege, H., Peralvo, M., Cerón, C., Fine, P. V. A., The contribution of environmental and dispersal filters on phylogenetic and taxonomic beta diversity patterns in Amazonian tree communities (2021) Oecologia, 196, pp. 1119-1137; Silva, A. C., Souza, A. F., Aridity drives plant biogeographical sub regions in the Caatinga, the largest tropical dry forest and woodland block in South America (2018) PLOS ONE, 13, p. e0196130; Oliveira-Filho, A. T., Cardoso, D., Schrire, B. D., Lewis, G. P., Pennington, R. T., Brummer, T. J., Rotella, J., Lavin, M., Stability structures tropical woody plant diversity more than seasonality: Insights into the ecology of high legume-succulent-plant biodiversity (2013) South African J. Bot, 89, pp. 42-57; Zuquim, G., Costa, F. R. C., Tuomisto, H., Moulatlet, G. M., Figueiredo, F. O. G., The importance of soils in predicting the future of plant habitat suitability in a tropical forest (2020) Plant and Soil, 450, pp. 151-170; Gentry, A. H., (1995) Seasonally Dry Tropical Forests, pp. 146-194. , S. H. Bullock, H. A. Mooney, E. Medina, Eds. (Cambridge Univ. Press); Slik, J. W. F., Franklin, J., Arroyo-Rodríguez, V., Field, R., Aguilar, S., Aguirre, N., Ahumada, J., Zang, R., Phylogenetic classification of the world's tropical forests (2018) Proc. Natl. Acad. Sci. U.S.A, 115, p. E3067. , A. K, C; Hardy, O. J., Couteron, P., Munoz, F., Ramesh, B. R., Pélissier, R., Phylogenetic turnover in tropical tree communities: Impact of environmental filtering, biogeography and mesoclimatic niche conservatism (2012) Glob. Ecol. Biogeogr, 21, pp. 1007-1016; Ledo, R. M. D., Colli, G. R., The historical connections between the Amazon and the Atlantic Forest revisited (2017) J. Biogeogr, 44, pp. 2551-2563; Santos, A. M. M., Cavalcanti, D. R., Da Silva, J. M. C., Tabarelli, M., Biogeographical relationships among tropical forests in north-eastern Brazil (2007) J. Biogeogr, 34, pp. 437-446; Holt, B. G., Lessard, J. P., Borregaard, M. K., Fritz, S. A., Araújo, M. B., Dimitrov, D., Fabre, P. H., Rahbek, C., An update of Wallace's zoogeographic regions of the world (2013) Science, 339, pp. 74-78; Sankaran, K. V., Khuroo, A. A., Raghavan, R., Molur, S., Kumar, B., Wong, L. J., Pagad, S., (2021) Global Register of Introduced and Invasive Species - India, , version 1.5; (2021) Global Invasive Species Database, , www.iucngisd.org/gisd/species.php?sc=211, ISSG; (2021) Climate Change 2021: The Physical Science Basis. Contribution of Working Group I to the Sixth Assessment Report of the Intergovernmental Panel on Climate Change, , IPCC, (Cambridge Univ. Press, Sixth Asse); Ibarra-Manriquez, G., Villasenor, J. L., Duran, R., Meave, J., Biogeographical analysis of the tree flora of the Yucatan Peninsula (2002) J. Biogeogr, 29, pp. 17-29; Schwartz, N., Aide, T. M., Graesser, J., Grau, H. R., Uriarte, M., Reversals of reforestation across Latin America limit climate mitigation potential of tropical forests (2020) Front. For. Glob. Change, 3, p. 85; Chao, A., Wang, Y. T., Jost, L., Entropy and the species accumulation curve: A novel entropy estimator via discovery rates of new species (2013) Methods Ecol. Evol, 4, pp. 1091-1100; Chase, M. W., Christenhusz, M. J. M., Fay, M. F., Byng, J. W., Judd, W. S., Soltis, D. E., Mabberley, D. J., Stevens, P. F., An update of the Angiosperm Phylogeny Group classification for the orders and families of flowering plants: APG IV (2016) Bot. J. Linn. Soc, 181, pp. 1-20; Cardoso, D., Särkinen, T., Alexander, S., Amorim, A. M., Bittrich, V., Celis, M., Daly, D. C., Forzza, R. C., Amazon plant diversity revealed by a taxonomically verified species list (2017) Proc. Natl. Acad. Sci. U.S.A, 114, pp. 10695-10700; Boyle, B. L., Matasci, N., Mozzherin, D., Rees, T., Barbosa, G. C., Kumar Sajja, R., Enquist, B. J., The taxonomic name resolution service: An online tool for automated standardization of plant names (2021) Bot. Inf. Ecol. Netw; https://tropicos.org, Tropicos.org; (2020) Jardim Botânico do Rio de Janeiro, Flora do Brasil 2020, p. v393274. , floradobrasil.jbrj.gov.br; Baselga, A., Leprieur, F., Comparing methods to separate components of beta diversity (2015) Methods Ecol. Evol, 6, pp. 1069-1079; Dapporto, L., Ramazzotti, M., Fattorini, S., Talavera, G., Vila, R., Dennis, R. L. H., Recluster: An unbiased clustering procedure for beta-diversity turnover (2013) Ecography, 36, pp. 1070-1075; Csardi, G., Nepusz, T., The igraph software package for complex network research (2006) InterJ. Complex Syst, 1695, pp. 1-9; Christensen, P., NetworkToolbox: Methods and measures for brain, cognitive, and psychometric network analysis (2019) R. R J, 10, p. 422; Jones, P., (2021) Tools for identifying important nodes in networks, p. 26. , https://cran.r-project.org/package=networktools; Löwenberg-Neto, P., Neotropical region: A shapefile of Morrone's (2014) biogeographical regionalisation (2014) Zootaxa, 3802, p. 300; (1997) Global map of aridity, , https://data.apps.fao.org/map/catalog/srv/api/records/221072ae-2090-48a1-be6f-5a88f061431a; Chave, J., Long term climatic water deficit, , https://chave.ups-tlse.fr/pantropical_allometry.htm, or https://chave.ups-tlse.fr/pantropical_allometry/CWD.tif.zip; Karger, D. N., Conrad, O., Böhner, J., Kawohl, T., Kreft, H., Soria-Auza, R. W., Zimmermann, N. E., Kessler, M., Climatologies at high resolution for the earth's land surface areas (2017) Sci. Data, 4, p. 170122; Hengl, T., De Jesus, J. M., Heuvelink, G. B. M., Ruiperez, M., Kilibarda, M., Blagoti, A., Shangguan, W., Kempen, B., SoilGrids250m: Global gridded soil information based on machine learning (2017) PLOS ONE, 12, p. e0169748; Danielson, J. J., Gesch, D. B., (2011) Global Multi-Resolution Terrain Elevation Data 2010 (GMTED2010), , (U.S. Department of the Interior, U.S. Geological Survey); Venter, O., Sanderson, E. W., Magrach, A., Allan, J. R., Beher, J., Jones, K. R., Possingham, H. P., Watson, J. E. M., Global terrestrial human footprint maps for 1993 and 2009 (2016) Sci. Data, 3, p. 160067; Kennedy, C. M., Oakleaf, J. R., Theobald, D. M., Baruch-Mordo, S., Kiesecker, J., Managing the middle: A shift in conservation priorities based on the global human modification gradient (2019) Glob. Chang. Biol, 25, pp. 811-826; Crouzeilles, R., Curran, M., Which landscape size best predicts the influence of forest cover on restoration success? A global meta-analysis on the scale of effect (2016) J. Appl. Ecol, 53, pp. 440-448; Buchhorn, M., Lesiv, M., Tsendbazar, N.-E., Herold, M., Bertels, L., Smets, B., Copernicus Global Land Cover Layers-Collection 2 (2020) Remote Sens, 12, p. 1044; Genuer, R., Poggi, J.-M., Tuleau-Malot, C., Variable selection using random forests (2010) Pattern Recognit. Lett, 31, pp. 2225-2236; Genuer, R., Poggi, J.-M., Tuleau-Malot, C., (2019) VSURF R package; (2021) R: A language and environment for statistical computing, , www.r-project.org/; Bloomfield, N. J., Knerr, N., Encinas-Viso, F., A comparison of network and clustering methods to detect biogeographical regions (2018) Ecography (Cop.), 41, pp. 1-10; (2001) GLOBAL ECOLOGICAL ZONING FOR THE GLOBAL FOREST RESOURCES ASSESSMENT 2000, , https://www.fao.org/3/ad652e/ad652e00.htm#TopOfPage, FAO, (Rome), (available at)</t>
  </si>
  <si>
    <t>Jakovac, C.C.; Departamento de Fitotecnia, Rod. Admar Gonzaga, 1346, Brazil; email: catacj@gmail.com</t>
  </si>
  <si>
    <t>American Association for the Advancement of Science</t>
  </si>
  <si>
    <t>2-s2.0-85133777608</t>
  </si>
  <si>
    <t>Alarcón-Aldana A.C., Callejas-Cuervo M., Bastos-Filho T., Lanari Bó A.P.</t>
  </si>
  <si>
    <t>56303950400;57189839504;6602380721;57221817262;</t>
  </si>
  <si>
    <t>https://www.scopus.com/inward/record.uri?eid=2-s2.0-85133694990&amp;doi=10.3390%2fs22134898&amp;partnerID=40&amp;md5=7b716697d777df9baddeaac774aac0f6</t>
  </si>
  <si>
    <t>Universidad Pedagógica y Tecnológica de Colombia, Tunja, 150002, Colombia; Faculty of Engineering, Universidad Pedagógica y Tecnológica de Colombia, Tunja, 150002, Colombia; Federal University of Espírito Santo, Vitória, 29075-910, Brazil; School of Information Technology and Electrical Engineering, The University of Queensland, Brisbane, 4072, Australia</t>
  </si>
  <si>
    <t>Alarcón-Aldana, A.C., Universidad Pedagógica y Tecnológica de Colombia, Tunja, 150002, Colombia; Callejas-Cuervo, M., Faculty of Engineering, Universidad Pedagógica y Tecnológica de Colombia, Tunja, 150002, Colombia; Bastos-Filho, T., Federal University of Espírito Santo, Vitória, 29075-910, Brazil; Lanari Bó, A.P., School of Information Technology and Electrical Engineering, The University of Queensland, Brisbane, 4072, Australia</t>
  </si>
  <si>
    <t>This paper presents a model that enables the transformation of digital signals generated by an inertial and magnetic motion capture system into kinematic information. First, the operation and data generated by the used inertial and magnetic system are described. Subsequently, the five stages of the proposed model are described, concluding with its implementation in a virtual environment to display the kinematic information. Finally, the applied tests are presented to evaluate the performance of the model through the execution of four exercises on the upper limb: flexion and extension of the elbow, and pronation and supination of the forearm. The results show a mean squared error of 3.82° in elbow flexion-extension movements and 3.46° in forearm pronation-supination movements. The results were obtained by comparing the inertial and magnetic system versus an optical motion capture system, allowing for the identification of the usability and functionality of the proposed model. © 2022 by the authors. Licensee MDPI, Basel, Switzerland.</t>
  </si>
  <si>
    <t>articular amplitude; inertialmagnetic sensors; kinematics; motion capture; optical analysis; optical motion capture; signal processing; upper limb</t>
  </si>
  <si>
    <t>Magnetism; Mean square error; Motion analysis; Virtual reality; Articular amplitude; Digital signals; Inertialmagnetic sensor; Kinematic information; Motion capture; Motion capture system; Optical analysis; Optical motion capture; Signal-processing; Upper limbs; Kinematics; biomechanics; elbow; joint characteristics and functions; magnetism; pronation; supination; Biomechanical Phenomena; Elbow Joint; Magnetic Phenomena; Pronation; Range of Motion, Articular; Supination</t>
  </si>
  <si>
    <t>Universidad Pedagógica y Tecnológica de Colombia, UPTC: SGI 2947</t>
  </si>
  <si>
    <t>Funding: This study was funded by Universidad Pedagógica y Tecnológica de Colombia (project number SGI 2947) and the APC was funded by the same institution.</t>
  </si>
  <si>
    <t>Rahul, M., Review on Motion Capture Technology (2018) Glob. J. Comput. Sci. Technol. F Graph. Vis, 18, pp. 1-5; van der Kruk, E., Reijne, M.M., Accuracy of human motion capture systems for sport applications; state-of-the-art review (2018) Eur. J. Sport Sci, 18, pp. 806-819. , [CrossRef]; Sharma, S., Verma, S., Kumar, M., Sharma, L., Use of Motion Capture in 3D Animation: Motion Capture Systems, Challenges, and Recent Trends (2019) Proceedings of the 2019 International Conference on Machine Learning, Big Data, Cloud and Parallel Computing (Comitcon), pp. 289-29. , Faridabad, India, 14–16 February [CrossRef]; Akman, Ç., Sönmez, T., Body Motion Capture and Applications (2021) Decision Support Systems and Industrial IoT in Smart Cities, pp. 181-223. , Butun, I., Ed.; IGI Global: Hershey, PA, USA, ISBN 9781799874706; Haratian, R., On—Body Sensing Systems: Human Motion Capture for Health Monitoring (2021) Proceedings of the Seventeenth International Conference on Condition Monitoring and Asset Management (CM2021): The Future of Condition Monitoring, pp. 1-11. , London, UK, 14–18 June; Reda, H.E.A., Benaoumeur, I., Kamel, B., Zoubir, A.F., MoCap systems and hand movement reconstruction using cubic spline (2018) Proceedings of the 2018 5th International Conference on Control, Decision and Information Technologies (CoDIT), pp. 798-802. , Thessaloniki, Greece, 10–13 April [CrossRef]; Yahya, M., Shah, J.A., Kadir, K.A., Yusof, Z.M., Khan, S., Warsi, A., Motion capture sensing techniques used in human upper limb motion: A review (2019) Sens. Rev, 39, pp. 504-511. , [CrossRef]; Kopniak, P., Motion capture using multiple kinect controllers (2015) Prz. Elektrotechniczny, 91, pp. 26-2. , [CrossRef]; Merriaux, P., Dupuis, Y., Boutteau, R., Vasseur, P., Savatier, X., A study of vicon system positioning performance (2017) Sensors, 17, p. 1591. , [CrossRef]; Wang, S.L., Civillico, G., Niswander, W., Kontson, K.L., Comparison of Motion Analysis Systems in Tracking Upper Body Movement of Myoelectric Bypass Prosthesis Users (2022) Sensors, 22, p. 2953. , [CrossRef]; Sers, R., Forrester, S., Moss, E., Ward, S., Ma, J., Zecca, M., Validity of the Perception Neuron inertial motion capture system for upper body motion analysis (2020) Meas. J. Int. Meas. Confed, 149, p. 107024. , [CrossRef]; Wirth, M.A., Fischer, G., Verdú, J., Reissner, L., Balocco, S., Calcagni, M., Comparison of a new inertial sensor based system with an optoelectronic motion capture system for motion analysis of healthy human wrist joints (2019) Sensors, 19, p. 5297. , [CrossRef]; Wilmes, E., De Ruiter, C.J., Bastiaansen, B.J.C., Van Zon, J.F.J.A., Vegter, R.J.K., Brink, M.S., Goedhart, E.A., Savelsbergh, G.J.P., Inertial sensor-based motion tracking in football with movement intensity quantification (2020) Sensors, 20, p. 2527. , [CrossRef]; Dorschky, E., Nitschke, M., Seifer, A.K., van den Bogert, A.J., Eskofier, B.M., Estimation of gait kinematics and kinetics from inertial sensor data using optimal control of musculoskeletal models (2019) J. Biomech, 95, p. 109278. , [CrossRef]; Robert-Lachaine, X., Mecheri, H., Muller, A., Larue, C., Plamondon, A., Validation of a low-cost inertial motion capture system for whole-body motion analysis (2020) J. Biomech, 99, p. 109520. , [CrossRef] [PubMed]; Aughey, R.J., Ball, K., Robertson, S.J., Duthie, G.M., Serpiello, F.R., Evans, N., Spencer, B., Haycraft, J., Comparison of a computer vision system against three-dimensional motion capture for tracking football movements in a stadium environment (2022) Sport. Eng, 25, p. 2. , [CrossRef]; El-Gohary, M., McNames, J., Human Joint Angle Estimation with Inertial Sensors and Validation with A Robot Arm (2015) IEEE Trans. Biomed. Eng, 62, pp. 1759-1767. , [CrossRef]; Filippeschi, A., Schmitz, N., Miezal, M., Bleser, G., Ruffaldi, E., Stricker, D., Survey of motion tracking methods based on inertial sensors: A focus on upper limb human motion (2017) Sensors, 17, p. 1257. , [CrossRef]; Ricci, L., Formica, D., Sparaci, L., Romana Lasorsa, F., Taffoni, F., Tamilia, E., Guglielmelli, E., A new calibration methodology for thorax and upper limbs motion capture in children using magneto and inertial sensors (2014) Sensors, 14, pp. 1057-1072. , [CrossRef]; Zhang, J.H., Li, P., Jin, C.C., Zhang, W.A., Liu, S., A novel adaptive kalman filtering approach to human motion tracking with magnetic-inertial sensors (2020) IEEE Trans. Ind. Electron, 67, pp. 8659-8669. , [CrossRef]; McGrath, T., Stirling, L., Body-Worn IMU-Based Human Hip and Knee Kinematics Estimation during Treadmill Walking (2022) Sensors, 22, p. 2544. , [CrossRef]; McGrath, T., Stirling, L., Body-worn imu human skeletal pose estimation using a factor graph-based optimization framework (2020) Sensors, 20, p. 6887. , [CrossRef]; Liu, S., Zhang, J., Zhang, Y., Zhu, R., A wearable motion capture device able to detect dynamic motion of human limbs (2020) Nat. Commun, 11, p. 5615. , [CrossRef]; Wairagkar, M., Villeneuve, E., King, R., Janko, B., Burnett, M., Ashburn, A., Agarwal, V., Harwin, W., A novel approach for modelling and classifying sit-to-stand kinematics using inertial sensors, , arXiv 2021, arXiv:2107.06859; Villeneuve, E., Harwin, W., Holderbaum, W., Janko, B., Sherratt, R.S., Reconstruction of angular kinematics from wrist-worn inertial sensor data for smart home healthcare (2017) IEEE Access, 5, pp. 2351-2363. , [CrossRef]; Vitali, R.V., Perkins, N.C., Determining anatomical frames via inertial motion capture: A survey of methods (2020) J. Biomech, 106, p. 109832. , [CrossRef] [PubMed]; Callejas-Cuervo, M., Gutierrez, R.M., Hernandez, A.I., Joint amplitude MEMS based measurement platform for low cost and high accessibility telerehabilitation: Elbow case study (2017) J. Bodyw. Mov. Ther, 21, pp. 574-581. , [CrossRef] [PubMed]; Callejas Cuervo, M., Vélez-Guerrero, M.A., Pérez Holguín, W.J., Arquitectura de un sistema de medición de bioparámetros integrando señales inerciales-magnéticas y electromiográficas (2018) Rev. Politécnica, 14, pp. 93-102. , [CrossRef]; Callejas-Cuervo, M., Vélez-Guerrero, M.A., Alarcón-Aldana, A.C., Characterization of Wireless Data Transmission over Wi-Fi in a Biomechanical Information Processing System (2020) Rev. Fac. Ing, 29. , [CrossRef]; Callejas-Cuervo, M., González-Cely, A.X., Bastos-Filho, T., Design and implementation of a position, speed and orientation fuzzy controller using a motion capture system to operate a wheelchair prototype (2021) Sensors, 21, p. 4344. , [CrossRef]; Callejas-Cuervo, M., Vélez-Guerrero, M.A., Alarcón-Aldana, A.C., Proposal for Gait Analysis Using Fusion of Inertial-Magnetic and Optical Sensors (2020) Rev. EIA, 17, pp. 361-371. , [CrossRef]; Jaime-Gil, J.L., Callejas-Cuervo, M., Monroy-Guerrero, L.A., Basic gymnastics program to support the improvement of body stability in adolescents (2021) J. Hum. Sport Exerc, 16, pp. S1063-S1074. , [CrossRef]; Callejas-Cuervo, M., Jaime-Gil, J.L., Monroy-Guerrero, L.A., Balance analysis in adolescents based on a motion capture platform (2020) J. Hum. Sport Exerc, 15, pp. S723-S7. , [CrossRef]; Callejas-Cuervo, M., Pineda-Rojas, J.A., Daza-Wittinghan, W.A., Analysis of ball interception velocity in futsal goalkeepers (2020) J. Hum. Sport Exerc, 15, pp. S735-S747. , [CrossRef]; Callejas-Cuervo, M., Alvarez, J.C., Alvarez, D., Capture and analysis of biomechanical signals with inertial and magnetic sensors as support in physical rehabilitation processes (2016) Proceedings of the 2016 IEEE 13th International Conference on Wearable and Implantable Body Sensor Networks (BSN), pp. 119-123. , San Francisco, CA, USA, 14–17 June [CrossRef]; Ruiz-Olaya, A.F., Callejas-Cuervo, M., Lara-Herrera, C.N., Wearable low-cost inertial sensor-based electrogoniometer for measuring joint range of motion [Electrogoniómetro portable de bajo costo basado en sensores inerciales para la medición del rango articular de movimiento (2017) DYNA, 84, pp. 180-185. , [CrossRef]; The I2C-Bus Specification, , https://www.csd.uoc.gr/~{}hy428/reading/i2c_spec.pdf, (accessed on 20 April 2022); Peña, E., Legaspi, M.G., UART: A Hardware Communication Protocol Understanding Universal Asynchronous Receiver/ Transmitter (2020) Visit Analog, 54, pp. 1-5; Wang, Y., Song, K., A new approach to realize UART (2011) Proceedings of the 2011 International Conference on Electronic &amp; Mechanical Engineering and Information Technology, 5, pp. 2749-2752. , Harbin, China, 12–14 August [CrossRef]; Baid, A., Mathur, S., Seskar, I., Paul, S., Das, A., Raychaudhuri, D., Spectrum MRI: Towards diagnosis of multi-radio interference in the unlicensed band (2011) Proceedings of the 2011 IEEE Wireless Communications and Networking Conference, pp. 534-539. , Cancun, Mexico, 28–31 March [CrossRef]; Sendra, S., Fernandez, P., Turro, C., Lloret, J., IEEE 802.11a/b/g/n indoor coverage and performance comparison (2010) Proceedings of the 2010 6th International Conference on Wireless and Mobile Communications, pp. 185-190. , Valencia, Spain, 20–25 September [CrossRef]; Kaushik, S., An overview of Technical aspect for WiFi Networks Technology (2013) Int. J. Electron. Comput. Sci. Eng, 1, pp. 28-34; Forouzan, B.A., (2010) TCP/IP Protocol Suite, , 4th ed.; McGraw-Hill: New York, NY, USA, ISBN 978-0-07-337604-2; Leung, K.C., Li, V.O.K., Yang, D., An overview of packet reordering in transmission control protocol (TCP): Problems, solutions, and challenges (2007) IEEE Trans. Parallel Distrib. Syst, 18, pp. 522-535. , [CrossRef]; Loshin, P., User Datagram Protocol (2003) TCP/IP Clear. Explain, pp. 341-349. , [CrossRef]; Dour, P., Kinkar, C., Throughput Improvement in Asynchronous FIFO Queue in Wired and Wireless Communication (2016) Int. J. Eng. Res, 5, pp. 182-188. , [CrossRef]; Garza, E.P., Sobre el caso de Euler del movimiento de un cuerpo rígido (2008) Rev. Mex. Fis. E, 54, pp. 92-103; Poddar, A.K., Sharma, D., Periodic orbits in the restricted problem of three bodies in a three-dimensional coordinate system when the smaller primary is a triaxial rigid body (2021) Appl. Math. Nonlinear Sci, 6, pp. 429-438. , [CrossRef]; Evans, P.R., Rotations and rotation matrices research papers Rotations and rotation matrices (2001) Acta Crystallogr. Sect. D Biol. Crystallogr, 57, pp. 1355-1359. , [CrossRef]; Caccavale, F., Natale, C., Siciliano, B., Villani, L., Six-DOF impedance control based on angle/axis representations (1999) IEEE Trans. Robot. Autom, 15, pp. 289-300. , [CrossRef]; Sarabandi, S., Thomas, F., A survey on the computation of quaternions from rotation matrices (2019) J. Mech. Robot, 11. , [CrossRef]; Kim, A., Golnaraghi, M.F., A quaternion-based orientation estimation algorithm using an inertial measurement unit (2004) Proceedings of the PLANS 2004. Position Location and Navigation Symposium (IEEE Cat. No.04CH37556), pp. 268-272. , Monterey, CA, USA, 26–29 April [CrossRef]; Rowenhorst, D., Rollett, A.D., Rohrer, G.S., Groeber, M., Jackson, M., Konijnenberg, P.J., De Graef, M., Consistent representations of and conversions between 3D rotations (2015) Model. Simul. Mater. Sci. Eng, 23, p. 083501. , [CrossRef]; Álvarez, D., Alvarez, J.C., González, R.C., López, A.M., Upper limb joint angle measurement in occupational health (2016) Comput. Methods Biomech. Biomed. Engin, 19, pp. 159-170. , [CrossRef] [PubMed]; https://unity.com, (accessed on 12 August 2020); Haas, J., A History of the Unity Game Engine An Interactive Qualifying Project, , https://web.wpi.edu/Pubs/Eproject/Available/E-project-030614-143124/unrestricted/Haas_IQP_Final.pdf, (accessed on 15 April 2022); Gómez-Echeverry, L., Jaramillo-Henao, A., Ruiz-Molina, M., Velásquez-Restrepo, S., Páramo-Velásquez, C., Silva-Bolívar, G., Sistemas de captura y análisis de movimiento cinemático humano: Una revisión sistemática (2018) Prospectiva, 16, pp. 24-34. , [CrossRef]</t>
  </si>
  <si>
    <t>Alarcón-Aldana, A.C.; Universidad Pedagógica y Tecnológica de ColombiaColombia; email: andrea.alarconaldana@uptc.edu.co</t>
  </si>
  <si>
    <t>2-s2.0-85133694990</t>
  </si>
  <si>
    <t>Morillo‐coronado A.C., Manjarres‐hernández E.H., Saenz‐quintero Ó.J., Morillo‐coronado Y.</t>
  </si>
  <si>
    <t>57209509524;57217164726;57787238000;57209511943;</t>
  </si>
  <si>
    <t>https://www.scopus.com/inward/record.uri?eid=2-s2.0-85133644158&amp;doi=10.3390%2fagronomy12071582&amp;partnerID=40&amp;md5=e7169cd2b854426bd8a3546e181b9e20</t>
  </si>
  <si>
    <t>Grupo CIDE Competitividad Innovación y Desarrollo Empresarial, Universidad Pedagógica y Tecnológica de Colombia, Tunja, 150003, Colombia; Corporación Colombiana de Investigación Agropecuaria‐AGROSAVIA, Palmira, 763531, Colombia</t>
  </si>
  <si>
    <t>Morillo‐coronado, A.C., Grupo CIDE Competitividad Innovación y Desarrollo Empresarial, Universidad Pedagógica y Tecnológica de Colombia, Tunja, 150003, Colombia; Manjarres‐hernández, E.H., Grupo CIDE Competitividad Innovación y Desarrollo Empresarial, Universidad Pedagógica y Tecnológica de Colombia, Tunja, 150003, Colombia; Saenz‐quintero, Ó.J., Grupo CIDE Competitividad Innovación y Desarrollo Empresarial, Universidad Pedagógica y Tecnológica de Colombia, Tunja, 150003, Colombia; Morillo‐coronado, Y., Corporación Colombiana de Investigación Agropecuaria‐AGROSAVIA, Palmira, 763531, Colombia</t>
  </si>
  <si>
    <t>Selenicereus megalanthus is a native fruit tree with broad phenotypic variations that has not been characterized. The objective of this research was to morphoagronomically evaluate yellow pitahaya genotypes in open fields and under cover in the municipality of Miraflores, Boyacá. A diagnostic census of the productive system was carried out. The morphoagronomic characterization used a completely random design with qualitative and quantitative descriptors for fruits and cladodes taken in situ and analyzed with frequency, descriptive, multivariate, conglomerate, and sperm correlation analyses. The pitahaya production system was based on empirical practices carried out by farmers. The weight of the largest fruit in open fields was 219.04 g on average; the average was 186.48 g with the covered system. The open‐field systems had the largest genotypes in all the dimensions (length and width). The covered systems had the highest number of fruits per cladode (3.70) and the longest cladodes in the entire study (121.24 cm). Both production systems showed similar values for titratable acidity (0.20), and the soluble solids values were slightly higher in the open‐field system than in the covered system (15.20 and 14.66 °Brix, respectively), desirable characteristics for the market. Genotypes 7 (under cover) and 3 (open field) presented outstanding morphological and agronomic characteristics. This study identified genotypes that can be included in selection programs for yellow pitahaya in Miraflores, Colombia. © 2022 by the authors. Licensee MDPI, Basel, Switzerland.</t>
  </si>
  <si>
    <t>cladode characteristics; fruit characteristics; morphoagronomic descriptors; phenotypic variation; Selenicereus megalanthus</t>
  </si>
  <si>
    <t>Funding: This research was funded by the “Patrimonio Autónomo Fondo Nacional de Financia‐ miento para la Ciencia, la Tecnología y la Innovación Francisco José de Caldas‐ MinCiencias, Go‐ bernación de Boyacá (Cód: 110986575466).</t>
  </si>
  <si>
    <t>Jalgaonkar, K., Kumar, M., Bibwe, B., Kannaujia, P., Postharvest profile, processing and waste utilization of dragon fruit (Hylocereus Spp.): A Review (2022) Food Rev. Int, 38, pp. 733-759. , https://doi.org/10.1080/87559129.2020.1742152; Betancur, J., Muriel, S., González, E., Morphological characterization of the red dragon fruit Selenicereus undatus (Haw.) D.R. Hunt—under growing conditions in the municipality of San Jerónimo (Antioquia, Colombia) (2020) Rev. Fac. Nac. Agron, 73, pp. 9019-9027. , https://doi.org/10.15446/rfnam.v73n1.77735; Morillo, A., Manjarres, E., Forero, M., Phenotypic diversity of morphological characteristics of pitahaya (Selenicereus megalanthus haw.) germplasm in Colombia (2021) Plants, 10, p. 2255. , https://doi.org/10.3390/plants10112255; Thokchom, A., Hazarika, B.N., Angami, T., Dragon fruit: An advanced potential crop for Northeast India (2019) Agric. Food, 1, pp. 253-256; Verona‐Ruiz, A., Urcia‐Cerna, J., Paucar‐Menacho, L., Pitahaya (Hylocereus spp.): Culture, physicochemical characteristics, nutritional composition, and bioactive compounds (2020) Sci. Agropecu, 11, pp. 439-453. , http://orcid.org/0000‐0002‐2247‐8713; Abirami, K., Swain, S., Baskaran, V., Venkatesan, K., Sakthivel, K., Bommayasamy, N., Distinguishing three Dragon fruit (Hylocereus spp.) species grown in Andaman and Nicobar Islands of India using morphological, biochemical and molecular traits (2021) Sci. Rep, 11, p. 2894. , https://doi.org/10.1038/s41598‐021‐81682‐x; Pásko, P., Galanty, A., Zagrodzki, P., Gyu‐Ku, Y., Luksirikul, P., Weisz, M., Gorinstein, S., Bioactivity and cytoxicity of different species of pitaya fruits—A comparative study with advanced chemometric analysis (2021) Food Biosci, 40, pp. 1-8; (2021), https://www.agronet.gov.co/estadistica/Paginas/home.aspx/cod=1, https://doi.org/10.1016/j.fbio.2021.100888. 8. RED DE INFORMACIÓN Y COMUNICACIÓN DEL SECTOR AGROPECUARIO COLOMBIANO—AGRONET, (accessed on 22 April 2022); Morillo, A., Tovar, Y., Morillo, Y., Caracterización morfológica de Selenicereus megalanthus (K. Schum. ex Vaupel) Moran en la provincia de Lengupá (2016) Cienc. En Desarro, 7, pp. 23-33; González, M.A., Peraza, A.R., Brochero, H., Insectos asociados a cultivos de pitaya amarilla (Selenicereus megalanthus) en Inzá, Cauca, Colombia (2019) Rev. Colomb. De Entomol, 45, pp. 1-8. , http://dx.doi.org/10.25100/socolen.v45i2.7961; Sudarjat, Leovika, A., Suminar, E., Isnaniawardhani, V., Hasan, M., Albi, A., Mubarok, S., Morphological characterization and adaptation of four dragon fruit genotypes in Pangandaran regency of Indonesia (2019) Asian J. Plant Sci, 18, pp. 21-25; De Oliveira, M.M.T., Shuhua, L., Kumbha, D.S., Zurgil, U., Raveh, E., Tel‐Zur, N., Performance of Hylocereus (Cactaceae) species and interspecific hybrids under high‐temperature stress (2020) Plant Physiol. Biochem, 153, pp. 30-39. , https://doi.org/10.1016/j.plaphy.2020.04.044; Goenaga, R., Marrero, A., Pérez, D., Yield and fruit quality traits of Dragon Fruit cultivars grown in Puerto Rico (2020) Hortic. Sci, 30, pp. 803-808. , https://doi.org/10.1016/j.plaphy.2020.04.044; Rabelo, J., Monteiro, M., Alves, D., Lima, J., Reis, L., Santos, N., Reproductive phenology of yellow pitaya in a high‐altitude tropical region in Brazil (2020) Acta Sci. Agron, 42, p. e43335. , https://doi.org/10.4025/actasciagron.v42i1.43335; Callejas‐Chavero, A., Vargas‐Mendoza, C.F., Gomez‐Hinostrosa, C., Arriola‐Padilla, V.J., Cornejo‐Romero, A., Breeding system in a population of the globose cactus Mammillaria magnimamma at Valle del Mezquital, Mexico (2021) Bot. Sci, 99, pp. 229-241. , https://doi.org/10.17129/botsci.2654; (1998) Official Method of Analysis, , 15th ed.; Association of Official Analytical Chemists: Washington, DC, USA; Di Rienzo, J.A., Casanoves, F., Balzarini, M.G., Gonzalez, L., Tablada, M., Robledo, C.W., (2020) Manual del usuario, InfoStat Versión 2020, , Brujas, Eds; Universidad Nacional de Córdoba: Córdoba, Argentina; Kassambara, A., Mundt, F., Factoextra: Extract and Visualize the Results of Multivariate Data Analyses (2020) R Package Version, 1, pp. 337-354; Le, S., Josse, J., Husson, F., FactoMineR: An R Package for Multivariate Analysis (2008) J. Stat. Softw, 25, pp. 1-18. , https://doi.org/10.18637/jss.v025.i01; Al‐Mekhlafi, N., Mediani, A., Hadiani, N., Abas, F., Dymerski, T., Lubinska‐Szczygeł, M., Vearasilp, S., Gorinstein, S., Metabolomic and antioxidant properties of different varieties and origins of Dragon fruit (2020) Microchem. J, 160, p. 105687. , https://doi.org/10.1016/j.microc.2020.105687; Morillo, A.C., Mora, M.S., Morillo, Y., Analysis of genetic diversity of dragon fruit based on ISSR markers in Colombia (2022) Braz. J. Biol, 82, p. e256451. , https://doi.org/10.1590/1519‐6984.256451; Mejía, H., Muriel, S., Montoya, C., Reyes, C., In situ morphological characterization of Hylocereus spp. (Fam.: Cactaceae) genotypes from Antioquia and Córdoba (Colombia) (2013) Rev. Fac. Nac. Agron. Medellín, 66, pp. 6845-6854; De Dios, H.C.A., A new subespecies of Hylocereus undatus (Cactaceae) from southeastern Mexico (2005) Haseltonia, 11, pp. 11-17. , https://doi.org/10.2985/1070‐0048; Ortíz, T.A., Assari, L.S., Pitaya fruit quality (Hylocereus undatus [Haworth] Britton &amp; Rose) according to physiological maturity. A review (2021) Rev. Colomb. Cienc. Hort, 14, pp. 63-75. , https://doi.org/10.17584/rcch.2020v14i1.8422; Cruz, I., (2008) La Pitahaya Roja (Hylocereus Ocamponis) en el Estado de Michoacán, p. 66. , Tesis de Licenciatura, trabajo de pregrado. Universidad Autónoma Chapingo, Departamento de Fitotecnia, Chapingo, Texcoco, México; Tran, D.H., Yen, C.R., Morphological characteristic and pollination requirement in red pitaya (Hylocereus spp.) (2014) Int. Sch. Sci. Res. Innov, 8, pp. 268-272; Mahmud, L.A., Angkat, N.U., Damanik, R.I., Characterization and evaluation of the variability of dragon fruit accesions in Dairi District, North Sumatra Province, Indonesia (2021) Nusant. Biosci, 13, pp. 138-145. , https://doi.org/10.13057/nusbiosci/n130118; Castro, A., Roveri, R., Chiamolera, F., Mota, D., Geraldo, A., Morphological traits as tool to verify genetic variability of interspecific dragon fruit hybrids (2017) Rev. Bras. Frutic, 39. , https://doi.org/10.1590/0100‐29452017168; Cañar, D., Caetano, C., Bonilla, M., Caracterización fisicoquímica y proximal del fruto de pitahaya amarilla (Selenicereus megalanthus (K. Schum. Ex Vaupel) Moran) cultivada en Colombia (2014) Rev. Agron, 22, p. 7787; Sotomayor, A., Pitizaca, S., Sánchez, M., Burbano, A., Díaz, A., Nicolás, J., Viera, W., Vargas., Y., Evaluación físicoquímica de la fruta de pitahaya (Selenicereus megalanthus Haw.) en diferentes estados de desarrollo (2019) Enf. UTE, 10, p. 8996. , https://doi.org/10.29019/enfoqueute.v10n1.386; Osuna, T., Ibarra, M., Rangel, M., Valdez, J., Villareal, M., Hernández, S., Calidad poscosecha de frutos de pitahaya (Hylocereus undatus Haw.) cosechados en tres estados de madurez (2011) Rev. Fitotec. Mex, 34, pp. 63-72; Rangel, I.M., Soares, D., Rodrigues, F.A., Pasqual, M., Salles, L.A., Growth and maturation of white‐fleshed dragon fruit (2020) Res. Soc. Dev, 10, p. e1191071162288; Hossain, F.M., Numan, S.M.N., Akhtar, S., Cultivation, nutritional value, and health benefits of Dragon Fruit (Hylocereus spp.): A Review (2021) Int. J. Hortic. Sci. Technol, 8, pp. 259-269. , https://doi.org/10.22059/ijhst.2021.311550.400</t>
  </si>
  <si>
    <t>Morillo‐Coronado, A.C.; Grupo CIDE Competitividad Innovación y Desarrollo Empresarial, Colombia; email: ana.morillo@uptc.edu.co</t>
  </si>
  <si>
    <t>2-s2.0-85133644158</t>
  </si>
  <si>
    <t>Lazcano L.M., González-Chordá V.M., Manrique-Abril F.G., Cervera-Gasch Á., Mena-Tudela D., Andreu-Pejó L., Valero-Chillerón M.J.</t>
  </si>
  <si>
    <t>57700799500;56897216500;14022929800;56955733000;55220078800;57216817094;57205728142;</t>
  </si>
  <si>
    <t>Nurse Education Today</t>
  </si>
  <si>
    <t>https://www.scopus.com/inward/record.uri?eid=2-s2.0-85130377264&amp;doi=10.1016%2fj.nedt.2022.105402&amp;partnerID=40&amp;md5=131c24d8377987be616334b39a309d29</t>
  </si>
  <si>
    <t>Nursing Department, Univesitat Jaume I, Avda Sos Baynat s/n, Castellón, 12071, Spain; Nursing Department, Universidad Nacional de Colombia, Carretera 45, Bogotá, Colombia; Public Health Group, Universidad Pedagógica y Tecnológica de Colombia, Tunja, Colombia</t>
  </si>
  <si>
    <t>Lazcano, L.M., Nursing Department, Univesitat Jaume I, Avda Sos Baynat s/n, Castellón, 12071, Spain; González-Chordá, V.M., Nursing Department, Univesitat Jaume I, Avda Sos Baynat s/n, Castellón, 12071, Spain; Manrique-Abril, F.G., Nursing Department, Universidad Nacional de Colombia, Carretera 45, Bogotá, Colombia, Public Health Group, Universidad Pedagógica y Tecnológica de Colombia, Tunja, Colombia; Cervera-Gasch, Á., Nursing Department, Univesitat Jaume I, Avda Sos Baynat s/n, Castellón, 12071, Spain; Mena-Tudela, D., Nursing Department, Univesitat Jaume I, Avda Sos Baynat s/n, Castellón, 12071, Spain; Andreu-Pejó, L., Nursing Department, Univesitat Jaume I, Avda Sos Baynat s/n, Castellón, 12071, Spain; Valero-Chillerón, M.J., Nursing Department, Univesitat Jaume I, Avda Sos Baynat s/n, Castellón, 12071, Spain</t>
  </si>
  <si>
    <t>Background: Academic goals guide the learning mode of nursing students, focus their objectives and influence the acquisition of skills. However, research on academic goals and related variables is scarce. Objective: To study the relationship between different sociodemographic and academic variables with the type of academic goal in nursing students at the Universitat Jaume I (Spain). Design: Cross-sectional study conducted between September 2020 and June 2021. Settings and participants: Undergraduate nursing students at Universitat Jaume I (n = 263). Methods: The Academic Goal Orientation questionnaire was administered. In addition, the variables age, gender, route to university, previous health studies, previous training in critical thinking, degree year and average grade on academic record were collected. A descriptive analysis of the sample and an analysis of the association between variables were performed. In addition, exploratory multinomial logistic regression was performed. Results: The nursing students preferred the Learning Goal (95.8%; n = 263), and this increased among the students as their average grade increased. The results of the multivariate analysis indicated that students with a lower average grade, those from advanced years and those without previous training in critical thinking preferred the Work Avoidance and Self-defeating Ego Goals. Conclusion: The preferred goal among the students was learning. The variables that influenced the type of goal were year, average grade and previous training in critical thinking. © 2022 The Authors</t>
  </si>
  <si>
    <t>Academic goal; Academic performance; Motivation; Nursing students; Orientation</t>
  </si>
  <si>
    <t>academic achievement; adult; article; avoidance behavior; critical thinking; cross-sectional study; female; gender; human; human experiment; learning; major clinical study; male; motivation; multinomial logistic regression; nursing education; nursing student; questionnaire; cross-sectional study; motivation; procedures; Cross-Sectional Studies; Education, Nursing; Education, Nursing, Baccalaureate; Goals; Humans; Students, Nursing</t>
  </si>
  <si>
    <t>Agresti, A., Categorical Data Analysis (2002), p. 710. , 2nd ed. John Wiley &amp; Sons; Barkur, R.R., Govindan, S., Kamath, A., Correlation between academic achievement goal orientation and the performance of Malaysian students in an Indian medical school (2013) Educ. Health, 26 (2), p. 98; Cervera-Gasch, A., Maciá-Soler, L., Mena-Tudela, D., González-Chordá, V.M., Predictors of nurses’ level of participation in student care: a multivariable analysis (2018) Nurse Educ. Today, 65, pp. 162-168; Deemer, E.D., Carter, A.P., Lobrano, M.T., Extending the 2 × 2 achievement goal framework: development of a measure of scientific achievement goals (2010) J. Career Assess., 18 (4), pp. 376-392; Dunn, K.E., Insight into error hiding: exploration of nursing students’ achievement goal orientations (2014) J. Nurs. Educ., 53 (2), pp. 93-96; Elliot, A.J., McGregor, H.A., A 2x2-achievement goal framework (2001) J. Personal. Soc. Psychol., 80, pp. 501-519; Filiz, N.Y., Erol, F., Basaran, H., Tanrikulu, F., Dikmen, Y., Investigation of achievement orientation of nursing and midwifery students (2018) Curr. Health Sci. J., 44 (2), p. 176; Khalifa, M.E., Investigating achievement goals for Egyptian nursing categories (2016) Int. J. Humanit. Soc. Sci., 6 (1), pp. 121-128; Kim, E.Y., Lim, E.J., Noh, J.H., Academic Stress, Major Satisfaction, and Academic Achievement According to Type of Achievement Goal Orientation in Nursing Students (2016), vol. 19 10A), pp. 4557-4562. , International Information Institute (Tokyo). Information; Lee, J.Q., McInerney, D.M., Liem, G.A.D., Ortiga, Y.P., The relationship between future goals and achievement goal orientations: an intrinsic-extrinsic motivation perspective (2010) Contemp. Educ. Psychol., 35 (4), pp. 264-279; Manrique-Abril, F.G., Herrera-Amaya, G.M., Morales, L., Ospina-Rojas, A.F., Cervera-Gasch, Á., González-Chordá, V.M., Academic goals orientation questionnaire for Colombian nursing students: validity and reliability study (2020) Nurse Educ. Today, 84; March, A.L., Robinson, C., Assessment of high-stakes testing, hopeful thinking, and goal orientation among baccalaureate nursing students (2015) Int. J. Nurs. Educ. Scholarsh., 12 (1), pp. 123-129; Martyn, J., Terwijn, R., Kek, M.Y., Huijser, H., Exploring the relationships between teaching, approaches to learning and critical thinking in a problem-based learning foundation nursing course (2014) Nurse Educ. Today, 34 (5), pp. 829-835; Miller, V.N., When push comes to shove (2016) Nurs. Forum, 51, pp. 164-172; Mooring, Q.E., Recruitment, advising, and retention programs-challenges and solutions to the international problem of poor nursing student retention: a narrative literature review (2016) Nurse Educ. Today, 40, pp. 204-208; Navea Martín, A., A study on the academic goals of university nursing students (2012) Psicol. Educ., 18, pp. 83-89. , http://journals.copmadrid.org/psed/archivos/ed2012v18n1a8.pdf, Last accessed June 2019. URL:; Nulty, D.D., The adequacy of response rates to online and paper surveys: what can be done? (2008) Assess. Eval. High. Educ., 33 (3), pp. 301-314; Palos, R., Exploring the impact of achievement goals orientation and study engagement on nursing students’ approaches to learning (2018) Educ. Stud., 1-16; Pekrun, R., Elliot, A.J., Maier, M.A., Achievement goals and discrete achievement emotions: a theoretical model and prospective test (2006) J. Educ. Psychol., 98 (3), pp. 583-597; Poondej, C., Kou, R., Sujivorakul, C., Achievement goal orientation and the critical thinking disposition of college students across academic programmes (2013) J. Furth. High. Educ., 37 (4), pp. 504-518; Senko, C., Hama, H., Belmonte, K., Achievement goals, study strategies, and achievement: a test of the learning agenda ‘framework’ (2013) Learn. Individ. Differ., 24, pp. 1-10; Shakurnia, A., Baniasad, M., Critical thinking disposition in the first- and last- year medical students and its association with achievement goal orientation (2018) Strides Dev. Med. Educ., 15 (1); Skaalvik, E.M., Self-enhancing and self-defeating ego orientation: relations with task and avoidance orientation, achievement, self-perceptions and anxiety (1997) J. Educ. Psychol., 89 (1), pp. 71-81; Sparfeldt, J.R., Brunnemann, N., Wirthwein, L., Buch, S.R., Schult, J., Rost, D.H., General versus specific achievement goals: a re-examination (2015) Learn. Individ. Differ., 43, pp. 170-177; Valero-Chillerón, M.J., González-Chordá, V.M., López-Peña, N., Cervera-Gasch, Á., Suárez-Alcázar, M.P., Mena-Tudela, D., Burnout syndrome in nursing students: an observational study (2019) Nurse Educ. Today, 76, pp. 38-43; World Health Organization, State of the world's nursing report-2020 (2020) Investing in Education, Jobs and Leadership. Geneva, , https://www.who.int/publications/i/item/9789240003279, Last accessed January 8th 2021. Available at; Zong, X., Zhang, L., Yao, M., Parental involvement and Chinese elementary students’ achievement goals: the moderating role of parenting style (2017) Educ. Stud., 44 (3), pp. 341-356</t>
  </si>
  <si>
    <t>González-Chordá, V.M.; Nursing Department, Avda Sos Baynat s/n, Spain; email: vchorda@uji.es</t>
  </si>
  <si>
    <t>Churchill Livingstone</t>
  </si>
  <si>
    <t>All Open Access, Hybrid Gold, Green</t>
  </si>
  <si>
    <t>2-s2.0-85130377264</t>
  </si>
  <si>
    <t>Mora A., Delgado H.G., Villamizar-Escalante N., Bermúdez M.A., Bernet M., Velandia F.</t>
  </si>
  <si>
    <t>16234073900;57699418700;57214086918;7005616490;6603386670;8353650300;</t>
  </si>
  <si>
    <t>Global and Planetary Change</t>
  </si>
  <si>
    <t>https://www.scopus.com/inward/record.uri?eid=2-s2.0-85130349860&amp;doi=10.1016%2fj.gloplacha.2022.103793&amp;partnerID=40&amp;md5=ccad6f47755eedd5978339db200cf37a</t>
  </si>
  <si>
    <t>Ecopetrol Óleo e Gás do Brazil, Praia de Botafogo, 300 - sl 1101 - Botafogo, Rio de Janeiro - RJ, 22250-905, Brazil; Department of Earth and Environmental Sciences, Syracuse University, 204 Heroy Geology Laboratory, Syracuse, NY  13244, United States; Department of Geography and Geology, University of Salzburg, Hellbrunnerstraße 34/III, Salzburg, 5020, Austria; Escuela de Ingeniería Geológica, Universidad Pedagógica y Tecnológica de Colombia (UPTC), Calle 4 A Sur No. 15-134, Sogamoso, 152210, Colombia; Institut des Sciences de la Terre, Université Grenoble Alpes, CNRS, 1381 Rue de la piscine, Grenoble, 38041, France; Escuela de Geología, Universidad Industrial de Santander, Cra 9 Calle 27, Bucaramanga, 680002, Colombia</t>
  </si>
  <si>
    <t>Mora, A., Ecopetrol Óleo e Gás do Brazil, Praia de Botafogo, 300 - sl 1101 - Botafogo, Rio de Janeiro - RJ, 22250-905, Brazil; Delgado, H.G., Department of Earth and Environmental Sciences, Syracuse University, 204 Heroy Geology Laboratory, Syracuse, NY  13244, United States; Villamizar-Escalante, N., Department of Geography and Geology, University of Salzburg, Hellbrunnerstraße 34/III, Salzburg, 5020, Austria; Bermúdez, M.A., Escuela de Ingeniería Geológica, Universidad Pedagógica y Tecnológica de Colombia (UPTC), Calle 4 A Sur No. 15-134, Sogamoso, 152210, Colombia; Bernet, M., Institut des Sciences de la Terre, Université Grenoble Alpes, CNRS, 1381 Rue de la piscine, Grenoble, 38041, France; Velandia, F., Escuela de Geología, Universidad Industrial de Santander, Cra 9 Calle 27, Bucaramanga, 680002, Colombia</t>
  </si>
  <si>
    <t>Climate; Exhumation rates; Northern Andes; Tectonics; Thermochronology</t>
  </si>
  <si>
    <t>García-Delgado, H., Villamizar-Escalante, N., Bermúdez, M.A., Bernet, M., Velandia, F., (this VSI). Climate or tectonics? What controls the spatial-temporal variations in erosion rates across the Eastern Cordillera of Colombia? (2021) Glob. Planet. Chang., 203; Hilton, R.G., West, A.J., Mountains, erosion and the carbon cycle (2020) Nat. Rev. Earth Environ., 1, pp. 284-299; Jiménez, L., Mora, A., Casallas, W., Silva, A., Tesón, E., Támara, J., Namson, J., Stockli, D., Segmentation and growth of foothill thrust–belts adjacent to inverted grabens: The case of the Colombian Llanos Foothills (2013) Thick–skin–dominated orogens: From initial inversion to full accretion, 377, pp. 189-220. , M. Nemčok A.R. Mora J.W. Cosgrove Geological Society of London, Special Publication; Montero-Olarte, J., The physical environment and landslides in the Colombian Andean tropics (2016) Landslides and Engineered Slopes. Experience, Theory and Practice, , Taylor &amp; Francis Group; Mora, A., Parra, M., Strecker, M.R., Sobel, E.R., Hooghiemstra, H., Torres, V., Jaramillo, J.V., Climatic forcing of asymmetric orogenic evolution in the Eastern Cordillera of Colombia (2008) Bull. Geol. Soc. Am., 120, pp. 930-949; Mora, A., Reyes-Harker, A., Rodriguez, G., Tesón, E., Ramirez-Arias, J.C., Parra, M., Caballero, V., Stockli, D.F., Inversion tectonics under increasing rates of shortening and sedimentation: Cenozoic example from the Eastern Cordillera of Colombia (2013) Geol. Soc. London Spec. Publ., 377, pp. 411-442; Mora, A., Ketcham, R.A., Higuera-Diaz, I.C., Bookhagen, B., Jimenez, L., Rubiano, J., Formation of passive-roof duplexes in the Colombian Subandes and Perú (2014) Lithosphere, 6 (5), pp. 1-17; Mora, A., Parra, M., Forero, G.R., Blanco, V., Moreno, N., Caballero, V., Stockli, D., Ghorbal, B., What Drives Orogenic Asymmetry in the Northern Andes?: A Case Study from the Apex of the Northern Andean Orocline. Mem. 108 Pet. Geol. Potential Colomb. Caribb. Margin (2015), pp. 547-586; Mora, A., Tesón, E., Martínez, J., Parra, M., Lasso, Á., Horton, B.K., Ketcham, R.A., Arias–Martínez, J.P., The eastern foothills of Colombia (2020) The Geology of Colombia, Volume 3 Paleogene – Neogene, 37, pp. 123-142. , J. Gómez D. Mateus Zabala Servicio Geológico Colombiano, Publicaciones Geológicas Especiales Bogotá; Mora, A., Villagómez, D., Parra, M., Caballero, V.M., Spikings, R., Horton, B.K., Mora Bohórquez, J.A., Arias Martínez, J.P., Late Cretaceous to Cenozoic uplift of the northern Andes: Paleogeographic implications (2020) The Geology of Colombia, Volume 3 Paleogene – Neogene, 37, pp. 89-121. , J. Gómez D. Mateus Zabala Servicio Geológico Colombiano, Publicaciones Geológicas Especiales Bogotá; Perez-Consuegra, N., Hoke, G.D., Mora, A., Fitzgerald, P., Sobel, E.R., Sandoval, J.R., Glodny, J., Zapata, S., The case for tectonic control on erosional exhumation on the tropical northern Andes based in thermochronology data (2021) Tectonics, 40; Ramirez-Arias, J.C., Mora, A., Rubiano, J., Duddy, I., Parra, M., Moreno, N., Stockli, D., Casallas, W., The asymmetric evolution of the Colombian Eastern Cordillera. Tectonic inheritance or climatic forcing? New evidence from thermochronology and sedimentology (2012) J. S. Am. Earth Sci., 39, pp. 112-137; Silva, A., Mora, A., Caballero, V., Rodriguez, G., Ruiz, C., Moreno, N., Parra, M., Quintero, I., Basin compartmentalization and drainage evolution during rift inversion: evidence from the Eastern Cordillera of Colombia (2013) Geol. Soc. London Spec. Publ., 377, pp. 369-409; Voosen, P., Tropical uplift may set Earth's thermostat (2019) Science, 363, p. 13</t>
  </si>
  <si>
    <t>Mora, A.; Ecopetrol Óleo e Gás do Brazil, Praia de Botafogo, 300 - sl 1101 - Botafogo, Brazil; email: andresmora30@googlemail.com</t>
  </si>
  <si>
    <t>GPCHE</t>
  </si>
  <si>
    <t>Global Planet. Change</t>
  </si>
  <si>
    <t>2-s2.0-85130349860</t>
  </si>
  <si>
    <t>Saavedra Gaona I.M., Munevar J., Parra Vargas C.A.</t>
  </si>
  <si>
    <t>57214093569;35092943800;17135548800;</t>
  </si>
  <si>
    <t>Corrigendum: “Evaluation of rare earth substitution in the structural and magnetic properties of the REBa1−xSrxCuFeO5 (x = 0.0, 0.25 and 0.5) system” (Materials Science &amp;amp; Engineering B (2022) 280, (115719), (S0921510722001155), (10.1016/j.mseb.2022.115719))</t>
  </si>
  <si>
    <t>Materials Science and Engineering B: Solid-State Materials for Advanced Technology</t>
  </si>
  <si>
    <t>https://www.scopus.com/inward/record.uri?eid=2-s2.0-85130332136&amp;doi=10.1016%2fj.mseb.2022.115762&amp;partnerID=40&amp;md5=ae8e179b868d5fd76ba2deed5292c5ce</t>
  </si>
  <si>
    <t>Grupo Física de Materiales, Universidad Pedagógica y Tecnológica de Colombia, Avenida Central Del Norte 39-115, Boyacá, Tunja, 150003, Colombia; Centro de Ciências Naturais e Humanas (CCNH), Universidade Federal Do ABC (UFABC), Santo André, SP09210-580, Brazil</t>
  </si>
  <si>
    <t>Saavedra Gaona, I.M., Grupo Física de Materiales, Universidad Pedagógica y Tecnológica de Colombia, Avenida Central Del Norte 39-115, Boyacá, Tunja, 150003, Colombia; Munevar, J., Centro de Ciências Naturais e Humanas (CCNH), Universidade Federal Do ABC (UFABC), Santo André, SP09210-580, Brazil; Parra Vargas, C.A., Grupo Física de Materiales, Universidad Pedagógica y Tecnológica de Colombia, Avenida Central Del Norte 39-115, Boyacá, Tunja, 150003, Colombia</t>
  </si>
  <si>
    <t>The authors regret, 1. In the affiliation of the author C.A. Parra Vargas. The correct affiliation is updated as above. The authors would like to apologise for any inconvenience caused. © 2022 Elsevier B.V.</t>
  </si>
  <si>
    <t>Saavedra Gaona, I.M.; Grupo Física de Materiales, Avenida Central Del Norte 39-115, Boyacá, Colombia; email: indry.saavedra@uptc.edu.co</t>
  </si>
  <si>
    <t>MSBTE</t>
  </si>
  <si>
    <t>Mater Sci Eng B Solid State Adv Technol</t>
  </si>
  <si>
    <t>Erratum</t>
  </si>
  <si>
    <t>2-s2.0-85130332136</t>
  </si>
  <si>
    <t>Garcia-Delgado H., Petley D.N., Bermúdez M.A., Sepúlveda S.A.</t>
  </si>
  <si>
    <t>57205317930;7003837256;7005616490;8694415200;</t>
  </si>
  <si>
    <t>https://www.scopus.com/inward/record.uri?eid=2-s2.0-85128274283&amp;doi=10.1007%2fs10346-022-01870-2&amp;partnerID=40&amp;md5=0447c744a3f12bbd617f83edf241aa14</t>
  </si>
  <si>
    <t>Department of Earth and Environmental Sciences, Syracuse University, Syracuse, NY, United States; Servicio Geológico Colombiano, Bogota, Colombia; Department of Geography, University of Sheffield, Sheffield, S10 2TN, United Kingdom; Escuela de Ingeniería Geológica, Universidad Pedagógica Y Tecnológica de Colombia, Boyacá, Sogamoso, Colombia; Department of Earth Sciences, Simon Fraser University, Burnaby, BC, Canada</t>
  </si>
  <si>
    <t>Garcia-Delgado, H., Department of Earth and Environmental Sciences, Syracuse University, Syracuse, NY, United States, Servicio Geológico Colombiano, Bogota, Colombia; Petley, D.N., Department of Geography, University of Sheffield, Sheffield, S10 2TN, United Kingdom; Bermúdez, M.A., Escuela de Ingeniería Geológica, Universidad Pedagógica Y Tecnológica de Colombia, Boyacá, Sogamoso, Colombia; Sepúlveda, S.A., Department of Earth Sciences, Simon Fraser University, Burnaby, BC, Canada</t>
  </si>
  <si>
    <t>Landslides typify one of the most hazardous natural phenomena fostering economic and even human losses worldwide. Several countries like Colombia, in South America, are hotspots for fatal landslides. In this contribution, we thoroughly reviewed four available databases, articles, grey literature and web resources, in order to build up a new catalogue of fatal landslides in Colombia. We gathered a catalogue of 2351 individual fatal landslides which caused about 37,959 deaths. Of these, we found 11 fatal events in historical times (pre-twentieth century). In modern times (1912–2020), we analysed landslides’ spatial and temporal distribution, finding that in central-western Colombia, particularly in the departments of Caldas, Risaralda, Quindío and Antioquia, these kinds of events are more frequent. Upward trends in these areas and a nationwide increase in the number of events in the last 20 years suggest that fatal landslides are far from being effectively mitigated. Our findings also show a strong correlation between the climate variability phenomenon known as El Niño Southern Oscillation (ENSO) and fatal landslides, particularly during those years when strong La Niña (cold phase of ENSO) events occur. Despite rainfall being the most common trigger for fatal landslides, we observed an increasing trend in anthropogenically related events in the last decade. Finally, we obtained multiple socio-economic indices and ran a statistical analysis at the departmental level in order to assess whether impoverished and vulnerable people are more affected by fatal landslides. We propose that in most cases, departments with low income, high levels of corruption and inequality are usually more affected. © 2022, Springer-Verlag GmbH Germany, part of Springer Nature.</t>
  </si>
  <si>
    <t>Colombia; Debris flow; ENSO; Landslide; Socio-economic indexes</t>
  </si>
  <si>
    <t>Atmospheric pressure; Climatology; Economic analysis; Colombia; Debris flows; Economic indexes; El Nino southern oscillation; Hotspots; Natural phenomenon; Socio-economic impacts; Socio-economic index; Socio-economics; South America; Landslides; debris flow; El Nino-Southern Oscillation; La Nina; landslide; rainfall; socioeconomic conditions; spatial distribution; temporal distribution; South America</t>
  </si>
  <si>
    <t>Financial support was provided by Universidad Pedagógica y Tecnológica de Colombia (UPTC), DIN SGI Project 3104.</t>
  </si>
  <si>
    <t>Acosta, J., (1846) Relation de l’éruption boueuse sortie du volcan de Ruiz et de la catastrophe de Lagunilla dans la république de la Nouvelle - Grenade. Comptes rendus Hebd des séances l’Académie des Sci, pp. 709-710; Aristizábal, E., Arango-Carmona, M.I., García-López, I.K., Definición y clasificación de las avenidas torrenciales y su impacto en los Andes colombianos. (2020) Cuad Geogr Rev Colomb Geogr, 29, pp. 242-258. , https://doi.org/10.15446/rcdg.v29n1.72612; Aristizábal, E., Sánchez, O., Spatial and temporal patterns and the socioeconomic impacts of landslides in the tropical and mountainous Colombian Andes (2020) Disasters, 44, pp. 596-618; Aspden, J.A., Mccourt, W.J., Brook, M., Geometrical control of subduction-related magmatism: the Mesozoic and Cenozoic plutonic history of Western Colombia (1987) J Geol Soc London, 144, pp. 893-905; Landslide risk analysis incorporated to the land-use legislation in Colombia (2017) Advancing Culture of Living with Landslides. 4Th World Landslide Forum, , https://doi.org/10.1007/978-3-319-53498-5_120, Mikos M, Tiwari B, Yin Y, Sassa K, Springer, Cham; Badoux, A., Andres, N., Techel, F., Hegg, C., Natural hazard fatalities in Switzerland from 1946 to 2015 (2016) Nat Hazards Earth Syst Sci, 16, pp. 2747-2768; Bayona, G., Cardona, A., Jaramillo, C., Early Paleogene magmatism in the northern Andes: insights on the effects of Oceanic Plateau-continent convergence (2012) Earth Planet Sci Lett, 331-332, pp. 97-111; Blanco-Quintero, I.F., García-Casco, A., Toro, L.M., Late Jurassic terrane collision in the northwestern margin of Gondwana (Cajamarca Complex, eastern flank of the Central Cordillera, Colombia) (2014) Int Geol Rev, 56, pp. 1852-1872; Bustamante, C., Cardona, A., Archanjo, C.J., Geochemistry and isotopic signatures of Paleogene plutonic and detrital rocks of the Northern Andes of Colombia: a record of post-collisional arc magmatism (2017) Lithos, 277, pp. 199-209; Carrilo, A.C., Internal displacement in Colombia: humanitarian, economic and social consequences in urban settings and current challenges (2009) International Review of the Red Cross, 91 (875), pp. 527-546; Casadevall, T., Schuster, R., Scott, K., Preliminary report on the effects of the June 6, 1994 sismo (Páez Earthquake), southern Colombia (1994) USGS, pp. 1-9; Cediel, F., Shaw, R., Caceres, C., Tectonic assembly of the Northern Andean block (2003) The Circum-Gulf of Mexico and the Caribbean: Hydrocarbon Habitats, Basin Formation and Plate Tectonics, pp. 815-848. , In: Bartolini C, Buffler RT, Blickwede J (eds); Cheng, D., Cui, Y., Su, F., The characteristics of the Mocoa compound disaster event, Colombia (2018) Landslides, 15, pp. 1223-1232; Chicangana, G., The Romeral Fault System: a shear and deformed extinct subduction zone between oceanic and continental lithospheres in Northwestern South America (2005) Earth Sci Res J, 9, pp. 51-66; Church, M., Jakob, M., What is a debris flood (2020) Water Resour Res, 56 (8). , https://doi.org/10.1029/2020WR027144; Cooper, M.A., Addison, F.T., Alvarez, R., Basin development and tectonic history of the Llanos Basin, and Middle Magdalena Valley, Colombia (1995) Am Assoc Pet Geol Bull, 79, pp. 1421-1443; Dowling, C.A., Santi, P.M., Debris flows and their toll on human life: a global analysis of debris-flow fatalities from 1950 to 2011 (2014) Nat Hazards, 71, pp. 203-227; Emberson, R., Kirschbaum, D., Stanley, T., Global connections between El Nino and landslide impacts (2021) Nat Commun, 12, p. 2262; (2016) ) How Emerging Hot Spot Analysis Works., , https://desktop.arcgis.com/en/arcmap/10.3/tools/space-time-pattern-mining-toolbox/learnmoreemerging.htm, Accessed 01 March 2022; Evans, S.G., Smoll, L.F., Zegarra-Loo, J., Los movimientos en masa de 1962 y 1970 en el nevado de Huascarán, Valle del Río Santa, Cordillera Blanca, Perú (2007) : Movimientos En Masa En La Región Andina: Una guía Para La evaluación De Amenazas. Servicio Nacional De Geología Y Minería, pp. 386-404; Fabre, A., La subsidencia de la Cuenca del Cocuy (Cordillera Oriental de Colombia) durante el Cretáceo y el Terciario Inferior. Primera parte: Estudio cuantitativo de la subsidencia (1983) Geol Norandina, 8, pp. 22-27; Froude, M.J., Petley, D.N., Global fatal landslide occurrence from 2004 to 2016 (2018) Nat Hazards Earth Syst Sci, 18, pp. 2161-2181; Gallego, J., Natural disasters and clientelism: the case of floods and landslides in Colombia (2015) Serie Documentos De Trabajo, 178, pp. 1-51; García-Delgado, H., Machuca, S., Medina, E., Dynamic and geomorphic characterisations of the Mocoa debris flow (March 31, 2017, Putumayo Department, southern Colombia) (2019) Landslides, 16, pp. 597-609; García-Delgado, H., Villamizar-Escalante, N., Bernet, M., Recent tectonic activity along the Bucaramanga Fault System (Chicamocha River Canyon, Eastern Cordillera of Colombia): a geomorphological approach (2019) Zeitschrift Für Geomorphol, 62, pp. 199-215; García-Delgado, H., Machuca, S., Velandia, F., Audemard, F., Along-strike variations in recent tectonic activity in the Santander Massif: new insights on landscape evolution in the Northern Andes (2020) J South Am Earth Sci, 98; García-Delgado, H., Contreras, N., Historical distribution for landslides triggered by earthquakes in the Colombian region (2021) Proceedings of the 13Th International Symposium on Landslides. ISSMGE, Cartagena, pp. 1-8. , Cabrera MA, Prada-Sarmiento LF; Gómez, E., Villarraga, M., Recent landslides with economical and human losses in Medellin City (Colombia (2013) Landslide Science and Practice., , https://doi.org/10.1007/978-3-642-31337-0_13, Margottini C, Canuti P, Sassa K., Springer, Berlin, Heidelberg; Gómez, D., García-Aristizábal, E., Aristizábal, E., Spatial and temporal patterns of fatal landslides in Colombia (2021) Proceedings of the 13Th International Symposium on Landslides. ISSMGE, Cartagena, pp. 1-8. , Cabrera MA, Prada-Sarmiento LF, Montero J; Gómez Tapias, J., Montes Ramírez, N.E., Schobbenhaus, C., Mapa Geológico de Suramérica a Escala 1: 5.000. 000 (2019) Commission for the Geological Map of the World (CGMW), Colombian Geological Survey, and Geological Survey of Brazil, , https://doi.org/10.32685/10.143.2019.929, Paris; Görüm, T., Fidan, S., Spatiotemporal variations of fatal landslides in Turkey (2021) Landslides; Grima, N., Edwards, D., Edwards, F., Landslides in the Andes: forests can provide cost-effective landslide regulation services (2020) Sci Total Environ, 745; Guns, M., Vanacker, V., Shifts in landslide frequency-area distribution after forest conversion in the tropical Andes (2014) Anthropocene, 6, pp. 75-85; Haque, U., Blum, P., da Silva, P.F., Fatal landslides in Europe (2016) Landslides, 13, pp. 1545-1554; Haque, U., da Silva, P.F., Devoli, G., The human cost of global warming: deadly landslides and their triggers (1995–2014) (2019) Sci Total Environ, 682, pp. 673-684; Hastie, T., Tibshirani, R., Friedman, J., Data mining, inference, and prediction (2009) The Elements of Statistical Learning, , 2nd edn, New York, Springer; Desastres de origen natural en Colombia 1979–2004 (2005) Fondo Editorial EAFIT, p. 248; Hincapié-Gómez, S., Cardona, A., Jiménez, G., Paleomagnetic and gravimetrical reconnaissance of Cretaceous volcanic rocks from the Western Colombian Andes: paleogeographic connections with the Caribbean Plate (2018) Stud Geophys Geod, 62, pp. 485-511; Holley, E.A., Smith, N.M., Delgado Jimenez, J.A., Socio-technical context of the interactions between large-scale and small-scale mining in Marmato (2020) Colombia Resour Policy, 67; Hoyos, N., Escobar, J., Restrepo, J.C., Impact of the 2010–2011 La Niña phenomenon in Colombia, South America: the human toll of an extreme weather event (2013) Appl Geogr, 39, pp. 16-25; Guía metodológica para la elaboración de mapas de inundación (2017) Bogotá, p. 110; (1996) Inventario de desastres naturales, p. 189. , Oficina Regional Medellín, Geological Survey of Colombia; (2002) Catálogo Nacional de Movimientos en Masa, p. 289. , SubdireccióAmenazas Geoambientales, Geological Survey of Colombia; Julivert, M., Cover and basement tectonics in the Cordillera Oriental of Colombia, South America, and a comparison with some other folded chains (1970) Geol Soc Am Bull, 81, pp. 3623-3646; Kirschbaum, D.B., Adler, R., Hong, Y., A global landslide catalog for hazard applications: method, results, and limitations (2010) Nat Hazards, 52, pp. 561-575; Kirschbaum, D., Stanley, T., Zhou, Y., Spatial and temporal analysis of a global landslide catalog (2015) Geomorphology, 249, pp. 4-15; Klimeš, J., Escobar, V.R., A landslide susceptibility assessment in urban areas based on existing data: an example from the Iguaná Valley, Medellín City, Colombia (2010) Nat Hazards Earth Syst Sci, 10, pp. 2067-2079; Larsen, M.C., Parks, J.E., How wide is a road? The association of roads and mass-wasting in a forested montane environment (1997) Earth Surf Process Landforms, 22, pp. 835-848; Lin, Q., Wang, Y., Spatial and temporal analysis of a fatal landslide inventory in China from 1950 to 2016 (2018) Landslides, 15, pp. 2357-2372; López-Rodríguez, S.R., Blanco-Libreros, J.F., Illicit crops in tropical America: deforestation, landslides, and the terrestrial carbon stocks (2008) Ambio, 37, pp. 141-143; Martens, U., Restrepo, J.J., Ordóñez-Carmona, O., Correa-Martínez, A.M., The Tahamí and Anacona terranes of the Colombian Andes: missing links between the South American and Mexican Gondwana margins (2014) J Geol, 122, pp. 507-530; Maya, M., González, H., Unidades litodémicas en la Cordillera Central de Colombia (1995) Boletín Geológico, 35, pp. 43-57; McAdoo, B., Quak, M., Gnyawali, K., Roads and landslides in Nepal: how development affects risk (2018) Nat Hazards Earth Syst Sci, 18, pp. 3203-3210; Mojica, J., Colmenares, F., Villarroel, C., Características del flujo de lodo ocurrido el 13 de noviembre de 1985 en el valle de Armero (Tolima, Colombia) (1985) Geol Colomb, pp. 107-140. , Historia y comentarios de los flujos de 1595 y 1845; Montero, J., Beltrán, L., Cortes, R., Inventario de deslizamientos en la red vial colombiana (1988) Ing e Investig, 17, pp. 15-27; Mora, A., Gaona, T., Kley, J., The role of inherited extensional fault segmentation and linkage in contractional orogenesis: a reconstruction of lower cretaceous inverted rift basins in the Eastern Cordillera of Colombia (2009) Basin Res, 21, pp. 111-137; Naranjo-Bedoya, K., Aristizábal-Giraldo, E., Morales-Rodelo, J.A., (2019) ) Influencia del ENSO en la variabilidad espacial y temporal de la ocurrencia de movimientos en masa detonados por lluvias en la región Andina colombiana., 15, pp. 11-42. , https://doi.org/10.17230/ingciencia.15.29.1; Ojeda, J., Donnelly, L., Landslides in Colombia and their impact on towns and cities (2006) . In: IAEG2006, pp. 1-13; Paris, G., Machette, M.N., Dart, R.L., Haller, K.M., Map and Database of Quaternary faults and folds in Colombia and its offshore regions (2000) USGS Open-File Report, pp. 1-66; Paris, G., Romero, R., (1994) Fallas Activas En Colombia Bol Geol, 34, pp. 3-26; Pennington, W.D., Subduction of the Eastern Panama Basin and seismotectonics of northwestern South America (1981) J Geophys Res, 86, pp. 10753-10770; Pereira, S., Zêzere, J.L., Quaresma, I., Mortality patterns of hydro-geomorphologic disasters (2016) Risk Anal, 36, pp. 1188-1210; Petley, D., Global patterns of loss of life from landslides (2012) Geology, 40, pp. 927-930; Petley, D.N., Dunning, S.A., Rosser, N.J., The analysis of global landslide risk through the creation of a database of worldwide landslide fatalities (2005) Landslide risk management, pp. 367-373. , Hungr O, Fell R, Couture R, Eberhardt E, (eds), Taylor &amp; Francis Group, London; Petley, D.N., Hearn, G.J., Hart, A., Trends in landslide occurrence in Nepal (2007) Nat Hazards, 43, pp. 23-44; Pierson, T., Distinguishing between debris flows and floods from field evidence in small watersheds (2005) US Geological Survey Fact Sheet, pp. 2004-3142; Polanco, C., Bedoya-Sanmiguel, G., Compilación y análisis de los desastres naturales reportados en el departamento de Antioquia, exceptuando los municipios del Valle de Aburrá-Colombia, entre 1920–1999 (2005) Ing y Cienc, 1, pp. 45-65; Pollock, W., Wartman, J., (2020) Human Vulnerability to Landslides Geohealth, 4, pp. 1-17; Poveda, G., Mesa, O.J., Las fases extremas del fenomeno ENSO (El Nino y La Nina) y su influencia sobre la hidrologia de Colombia (1996) Ing Hidraul En Mex, 11, pp. 21-37; Poveda, G., Mesa, O.J., On the existence of Lloró (the rainiest locality on Earth): enhanced ocean-land-atmosphere interaction by a low-level jet (2000) Geophys Res Lett, 27, pp. 1675-1678; Poveda, G., Jaramillo, A., Gil, M.M., Seasonality in ENSO-related precipitation, river discharges, soil moisture, and vegetation index in Colombia (2001) Water Resour Res, 37, pp. 2169-2178; Poveda, G., Álvarez, D.M., Rueda, Ó.A., Hydro-climatic variability over the Andes of Colombia associated with ENSO: a review of climatic processes and their impact on one of the Earth’s most important biodiversity hotspots (2011) Clim Dyn, 36, pp. 2233-2249; Pontificia Universidad Javeriana (PUJ) – Servicio Geológico Colombiano (SGC) (2021) Evaluación De Amenaza Por Avenidas Torrenciales, , Bogotá, Servicio Geológico Colombiano; Ramos-Cañón, A.M., Prada-Sarmiento, L.F., Trujillo-Vela, M.G., Linear discriminant analysis to describe the relationship between rainfall and landslides in Bogotá, Colombia (2016) Landslides, 13, pp. 671-681; Rettberg, A., Ortiz-Riomalo, J.F., Golden opportunity, or a new twist on the resource-conflict relationship: links between the drug trade and illegal gold mining in Colombia (2016) World Dev, 84, pp. 82-96; Ríos, D.A., Hermelin, M., Prediction of landslide occurrence in urban areas located on volcanic ash soils in Pereira, Colombia (2004) Bull Eng Geol Environ, 63, pp. 77-81; Salazar-Gutiérrez, L.F., Menjivar Flores, J.C., Martínez Carvajal, H.E., Susceptibility factors of drainage basins to shallow landslides in coffee-growing areas in the Department of Caldas, Colombia (2021) Environ Earth Sci, 80, pp. 1-12; Salvati, P., Petrucci, O., Rossi, M., Gender, age and circumstances analysis of flood and landslide fatalities in Italy (2018) Sci Total Environ, 610-611, pp. 867-879; Santi, P.M., Hewitt, K., VanDine, D.F., Cruz, E.B., Debris-flow impact, vulnerability, and response (2011) Nat Hazards, 56, pp. 371-402; Schuster, R.L., Highland, L.M., Socioeconomic impacts of landslides in the Western Hemisphere (2001) Open-File Report, pp. 01-276. , US Geological Survey; Sepúlveda, S.A., Rebolledo, S., Vargas, G., Recent catastrophic debris flows in Chile: Geological hazard climatic relationships and human response (2006) Quaternary International, 158 (1), pp. 83-95. , (,),., (,), -, https://doi.org/10.1016/j.quaint.2006.05.031; Sepúlveda, S.A., Petley, D.N., Regional trends and controlling factors of fatal landslides in Latin America and the Caribbean (2015) Nat Hazards Earth Syst Sci, 15, pp. 1821-1833; Sepulveda, S.A., Failure mechanisms of large volume rock avalanches in the Andes of Central Chile: A brief discussion (2020) In Proceedings SCG-XIII International Symposium on Landslides, p. 2020. , Cartagena, Colombia, paper; (2017) Guía metodológica para la zonificación de amenaza por movimientos en masa escala 1:25.000, p. 218. , Bogotá, Servicio Geológico Colombiano; Siddiqi, A., Peters, K., Zulver, J., Doble afectacion’: Living with disasters and conflict in Colombia (2019) London: ODI, p. 36. , https://cdn.odi.org/media/documents/12881.pdf); Taboada, A., Rivera, L.A., Fuenzalida, A., Geodynamics of the northern Andes: subductions and intracontinental deformation (Colombia) (2000) Tectonics, 19, pp. 787-813; Tesón, E., Mora, A., Silva, A., Relationship of Mesozoic graben development, stress, shortening magnitude, and structural style in the Eastern Cordillera of the Colombian Andes (2013) Geol Soc London, Spec Publ, 377, pp. 257-283; Explotación de oro de aluvión. Evidencias a partir de percepción remota 2019 (2020) Colombia, p. 236; Velandia, F., Acosta, J., Terraza, R., Villegas, H., The current tectonic motion of the Northern Andes along the Algeciras Fault System in SW Colombia (2005) Tectonophysics, 399, pp. 313-329; Venables, W.N., Ripley, B.D., (2002) Modern applied statistics with S, , 4, Springer-Verlag, New York; Villagómez, D., Spikings, R., Magna, T., Geochronology, geochemistry and tectonic evolution of the Western and Central cordilleras of Colombia (2011) Lithos, 125, pp. 875-896; Vinasco, C.J., Cordani, U.G., González, H., Geochronological, isotopic, and geochemical data from Permo-Triassic granitic gneisses and granitoids of the Colombian Central Andes (2006) J South Am Earth Sci, 21, pp. 355-371; Vinasco, C., The Romeral shear zone (2019) Geology and Tectonics of Northwestern South America. Front Earth Sci, pp. 833-876. , Cediel F, Shaw R; Webster, P.J., The annual cycle and the predictability of the tropical coupled ocean-atmosphere system (1995) Meteorol Atmos Phys, 56, pp. 33-55</t>
  </si>
  <si>
    <t>Garcia-Delgado, H.; Department of Earth and Environmental Sciences, United States; email: hsgarcia@g.syr.edu</t>
  </si>
  <si>
    <t>1612510X</t>
  </si>
  <si>
    <t>2-s2.0-85128274283</t>
  </si>
  <si>
    <t>Bolívar-Suárez Y., Gómez J.A.M., Yanez-Peñúñuri L.Y., Anacona C.A.R., Gómez A.M.G.</t>
  </si>
  <si>
    <t>56534250700;55436471800;57209409091;33568324200;57197307232;</t>
  </si>
  <si>
    <t>Self-esteem, Body Image, and Dating Violence in Colombian Adolescents and Young Adults</t>
  </si>
  <si>
    <t>Journal of Interpersonal Violence</t>
  </si>
  <si>
    <t>13-14</t>
  </si>
  <si>
    <t>NP11628</t>
  </si>
  <si>
    <t>NP11651</t>
  </si>
  <si>
    <t>10.1177/0886260521994588</t>
  </si>
  <si>
    <t>https://www.scopus.com/inward/record.uri?eid=2-s2.0-85101291689&amp;doi=10.1177%2f0886260521994588&amp;partnerID=40&amp;md5=47bd1df87aa5956aa8f57a5744b9120b</t>
  </si>
  <si>
    <t>Pedagogical and Technological, University of Colombia, Boyacá, Colombia; University of Sonora, Mexico; University of San Buenaventura Medellín, Colombia</t>
  </si>
  <si>
    <t>Bolívar-Suárez, Y., Pedagogical and Technological, University of Colombia, Boyacá, Colombia; Gómez, J.A.M., Pedagogical and Technological, University of Colombia, Boyacá, Colombia; Yanez-Peñúñuri, L.Y., University of Sonora, Mexico; Anacona, C.A.R., Pedagogical and Technological, University of Colombia, Boyacá, Colombia; Gómez, A.M.G., University of San Buenaventura Medellín, Colombia</t>
  </si>
  <si>
    <t>Two objectives were formulated. The first was to establish whether characteristics such as self-esteem, perception of body image, and dating perpetration explain dating victimization. The second was to check if sex moderates the relationship between low self-esteem and dissatisfaction and if body dissatisfaction mediates the effect of low self-esteem on being a victim of dating violence (DV). A total of 1,409 Colombian adolescents and young adults, secondary and university students (42.5% men and 57.5% women), aged between 14 and 25 years (M = 18.6 years; SD = 2.8 years) participated. An explanatory correlational design was used, in which the Rosenberg Self-Esteem Scale, the Body Shape Questionnaire, and the Revised Dating Violence Questionnaire were applied. Six regression models were proposed for both men and women, where it was found that low self-esteem, body dissatisfaction, and violence exerted in the courtship explain the violence received. Also, through the moderated mediation analysis, a moderate conditional indirect effect was verified of low self-esteem in DV victimization (R2 = 0.052***) through body dissatisfaction, being higher in women than in men. The preceding points to the convenience of intervening on self-esteem and body image in adolescents and young victims of this type of violence and considering these aspects in prevention campaigns. © 2021 SAGE Publications.</t>
  </si>
  <si>
    <t>adolescents; body image; dating violence; self-esteem; young adults</t>
  </si>
  <si>
    <t>adolescent; adult; article; body build; body dissatisfaction; Colombian; controlled study; courtship; dating violence; female; human; human experiment; major clinical study; male; mediation analysis; perception; Rosenberg Self-Esteem Scale; university student; victim; young adult; adolescent behavior; body image; Colombia; crime victim; partner violence; Adolescent; Adolescent Behavior; Adult; Body Image; Colombia; Crime Victims; Female; Humans; Intimate Partner Violence; Male; Young Adult</t>
  </si>
  <si>
    <t>The author(s) received no financial support for the research, authorship and/or publication of this article.</t>
  </si>
  <si>
    <t>Ackard, D.M., Neumark-Sztainer, D., Date violence and date rape among adolescents: Associations with disordered eating behaviors and psychological health (2002) Child Abuse and Neglect, 26 (5), pp. 455-473. , https://doi.org/10.1016/S0145-2134(02)00322-8, &amp;; Baladia, E., Body image perception as a predisposing, precipitating and perpetuating factor in eating disorders (ED) (2016) Revista Española de Nutrición Humana y Dietética, 20 (3), pp. 161-163. , https://doi.org/10.14306/renhyd.20.3.303; Banyard, V.L., Cross, C., Consequences of teen dating violence (2008) Violence Against Women, 14 (9), pp. 998-1013. , https://doi.org/10.1177/1077801208322058, &amp;; Bolívar, Y., Rey, C.A., Martínez, J.A., Family functionality, number of relationships and dating violence in high school students (2017) Psicología Desde El Caribe, 34 (1), pp. 59-74. , https://doi.org/10.14482/psdc.33.2.7290, &amp;; Borda, M., Alonso, M., Martínez, H., Meriño, E., Sánchez, J., Solano, S., Perception of body image and its relationship to the nutritional and emotional state in schoolchildren 10-13 years of three schools in Barranquilla (Colombia) (2016) Salud Uninorte, 32 (3), pp. 472-482. , &amp;; Bronfenbrenner, U., (1992) Ecological systems theory, , Jessica Kingsley Publishers; Bronfenbrenner, U., (2005) Making human beings human: Bioecological perspectives on human development, , SAGE Publications; Caballo, V.E., Salazar, I.C., Self-esteem and its relationship with social anxiety and social skills (2018) Psicología Conductual, 26 (1), pp. 23-53. , https://behavioralpsycho.com/wp-content/uploads/2018/09/02.Caballo_26-1a.pdf; Capaldi, D.M., Shortt, J.W., Kim, H.K., A life span developmental systems perspective on aggression toward a partner (2005) Family psychology: The art of the science, pp. 141-167. , In W. M. Pinsof &amp; J. Lebow (Eds.), Oxford University Press, &amp;, (., –; Castrillón, D., Luna, I., Avendaño, G., Pérez, A., Validation of the Body Shape Questionnaire (BSQ) for Colombian Population (2007) Acta Colombiana de Psicología, 10 (1), pp. 15-23. , &amp;; Ceballos-Ospino, G.A., Barbosa, C.P., Suescún, J., Oviedo, H.C., Herazo, E., Campo-Arias, A., Validity and dimensionality of the Rosenberg self-esteem scale among college students (2017) Pensamiento Psicológico, 15 (2), pp. 29-39. , &amp;; Choi, E.P., Wong, J.Y., Fong, D.Y., Mental health and health-related quality of life of Chinese college students who were the victims of dating violence (2017) Quality of Life Research, 26 (4), pp. 945-957. , https://doi.org/10.1007/s11136-016-1413-4, &amp;; Cohen, J.R., Shorey, R.C., Menon, S.V., Temple, J.R., Predicting teen dating violence perpetration (2018) Pediatrics, 141 (4), pp. 1-11. , https://doi.org/10.1542/peds.2017-2790, &amp;; Cooper, P.J., Taylor, M.J., Cooper, Z., Fairburn, C.G., The development and validation of the body shape questionnaire (1987) International Journal of Eating Disorders, 6 (4), pp. 485-494. , https://doi.org/10.1002/1098-108X(198707)6:4&lt;485:AID-EAT2260060405&gt;3.0.CO;2-O, &amp;; Cornelius, T.L., Resseguie, N., Primary and secondary prevention programs for dating violence: A review of the literature (2007) Aggression and Violent Behavior, 12, pp. 364-375. , https://doi.org/10.1016/j.avb.2006.09.006, &amp;; De Alencar-Rodrigues, R., Cantera, L., Gender Violence in Couple: A Theoretical Review (2012) PSICO, 43 (1), pp. 116-126. , &amp;; De Ruiter, N.M., Van der Gaag, M.A., Jeronimus, B.F., Kunnen, E.S., Introduction to a dynamic systems approach to psychosocial development in adolescence (2019) Desarrollo psicosocial en la adolescencia: Perspectivas desde el enfoque de sistemas dinámicos, , In, Taylor and Francis Group, &amp;; Eshelman, L., Levendosky, A.A., Dating violence: Mental health consequences based on type of abuse (2012) Violence and Victims, 27 (2), pp. 215-228. , https://doi.org/10.1891/0886-6708.27.2.215, &amp;; Exner-Cortens, D., Eckenrode, J., Bunge, J., Rothman, E., Revictimization after adolescent dating violence in a matched, national sample of youth (2017) Journal of Adolescent Health, 60 (2), pp. 176-183. , https://doi.org/10.1016/j.jadohealth.2016.09.015, &amp;; Farhat, T., Haynie, D., Summersett-Ringgold, F., Brooks-Russell, A., Iannotti, R., Weight perceptions, misperceptions, and dating violence victimization among US adolescents (2015) Journal of Interpersonal Violence, 30 (9), pp. 1511-1532. , https://doi.org/10.1177/0886260514540804, &amp;; Fernández-González, L., Calvete, E., Orue, I., Adolescent dating violence stability and mutuality: A 4-year longitudinal study (2017) Journal of Interpersonal Violence, 35 (9-10), pp. 2012-2032. , https://doi.org/10.1177/0886260517699953, &amp;; Fernández-González, L., Calvete, E., Orue, I., Echezarraga, A., (2018) The role of emotional intelligence in the maintenance of adolescent dating violence perpetration. Personality and Individual Differences, 127, pp. 68-73. , https://doi.org/10.1016/j.paid.2018.01.038, &amp;; Foshee, V.A., Benefield, T., Ennett, S.T., Bauman, K.E., Suchindran, C.M., Longitudinal predictors of serious physical and sexual dating violence victimization during adolescence (2004) Preventive Medicine, 39, pp. 1007-1016. , https://doi.org/10.1016/j.ypmed.2004.04.014, &amp;; González-Carrascosa, R., García-Segovia, P., Martínez-Monzó, J., Assessment of body image and eating attitudes in university students (2013) Revista de Psicopatología y Psicología Clínica, 18 (1), pp. 45-59. , https://doi.org/10.5944/rppc.vol.18.num.1.2013.12762, &amp;; Guajardo, N., Cavazos, B.E., Intervention focused on cognitive behavioral solutions in a case of dating violence (2013) Revista Electrónica de Psicología Iztacala, 16 (2), pp. 476-503. , &amp;; Hayes, A., (2018) Introduction to mediation, moderation, and conditional process analysis: A regression based approach, , Guilford Press, (2nd ed; Heise, L.L., Violence against women: An integrated, ecological framework (1998) Violence Against Women, 4 (3), pp. 262-290; Hernández, S.R., Fernández, C.C., Baptista, L.P., (2014) Investigation methodology, , McGraw Hill, &amp;, (6th ed; Holmes, K., Sher, L., Dating violence and suicidal behavior in adolescents (2013) International Journal of Adolescent Medicine and Health, 25 (3), pp. 256-261. , https://doi.org/10.1515/ijamh-2013-0059, &amp;; Howard, D.E., Debnam, K.J., Wang, M.Q., Ten-year trends in physical dating violence victimization among US adolescent females (2013) Journal of School Health, 83 (6), pp. 389-399. , https://doi.org/10.1111/josh.12042, &amp;; (2018) FORENSIS 2018-Data for Life: Tool for the Interpretation, Intervention and Prevention of Externally Caused Injuries in Colombia, , Instituto Nacional de Medicina Legal y Ciencias Forenses; Jezl, D.R., Molidor, C.E., Wright, T.L., Physical, sexual and psychological abuse in high school dating relationships: Prevalence rates and self-esteem issues (1996) Child and Adolescent Social Work Journal, 13 (1), pp. 69-87. , https://doi.org/10.1007/BF01876596, &amp;; Karsberg, S., Holm, R., Lasgaard, M., Prevalence and characteristics of three subtypes of dating violence among danish seventh-grade students (2018) Scandinavian Journal of Child and Adolescent Psychiatry and Psychology, 5, pp. 1-12. , https://doi.org/10.21307/sjcapp-2018-004, &amp;; Leen, E., Sorbring, E., Mawer, M., Holdsworth, E., Helsing, B., Bowen, E., Prevalence, dynamic risk factors and the efficacy of primary interventions for adolescent dating violence: An international review (2013) Aggression and Violent Behavior, 18, pp. 159-174. , https://doi.org/10.1016/j.avb.2012.11.015, &amp;; Lewis, S.F., Fremouw, W., Dating violence: A critical review of the literature (2001) Clinical Psychology Review, 21 (1), pp. 105-127. , https://doi.org/10.1016/S0272-7358(99)00042-2, &amp;; López, R., de la Rubia, J.M., Loving, R.D., Martínez, Y.I.C., Violence within Couples. An Analysis from an Ecologic Perspective (2012) Ciencia Ergo Sum, 20 (1), pp. 6-16. , &amp;; Martínez, J.A., Vargas, R., Novoa, M., Relation between dating violence and parental maltreatment model observation (2016) Psychologia: Avances de la Disciplina, 10 (1), pp. 101-112. , &amp;; Moral, M., García, A., Cuetos, G., Sirvent, C., Dating violence, emotional dependence and self-esteem in spanish adolescents and young adults (2017) Revista Iberoamericana de Psicología y Salud, 8 (2), pp. 96-107. , https://doi.org/10.23923/j.rips.2017.08.009, &amp;; O’Keefe, M., Treister, L., Victims of dating violence among high school students: Are the predictors different for males and females (1998) Violence Against Women, 4 (2), pp. 195-223. , &amp;; Pasch, K.E., Klein, E.G., Laska, M.N., Velazquez, C.E., Moe, S.G., Lytle, L.A., Weight misperception and health risk behaviors among early adolescents (2011) American Journal of Health Behavior, 35 (6), pp. 797-806. , &amp;; Pérez-Ruíz, N., Sánchez-Villegas, M., la hoz-Granadillo, D., Javier, E., Reyes-Ruiz, L., Carmona Alvarado, F.A., Dating violence among colombian youth: Analysis ofprevalence bygenderand contributions to bidirectionalinterventions (2020) Sociedad Venezolana de Farmacología y de Farmacología Clínica y Terapéutica, 39 (4). , https://hdl.handle.net/20.500.12442/6721, &amp;; Pflieger, J.C., Vazsonyi, A.T., Parenting processes and dating violence: The mediating role of self-esteem in low-and high-SES adolescents (2006) Journal of Adolescence, 29 (4), pp. 495-515. , https://doi.org/10.1016/j.adolescence.2005.10.002, &amp;; Preacher, K.J., Kelley, K., Effect size measures for mediation models: Quantitative strategies for communicating indirect effects (2011) Psychological Methods, 16 (2), p. 93. , https://doi.org/10.1037/a0022658, &amp;; Preble, K.M., Black, B.M., Weisz, A.N., Teens’ and parents’ perceived levels of helpfulness: An examination of suggested “things to say” to youth experiencing teen dating violence (2018) Children and Youth Services Review, 85, pp. 326-332. , &amp;; Puhl, R.M., Wall, M.M., Chen, C., Austin, S.B., Eisenberg, M.E., Neumark-Sztainer, D., Experiences of weight teasing in adolescence and weight-related outcomes in adulthood: A 15-year longitudinal study (2017) Medicina Preventiva, 100, pp. 173-179. , https://doi.org/10.1016/j.ypmed.2017.04.023, &amp;; Ramos, P., de Eulate, L., Liberal, S., Latorre, M., Body image in relation to eating disorders in Basque adolescents aged 12 to 18 years (2003) Revista de Psicodidáctica, pp. 15-16. , https://www.redalyc.org/pdf/175/17515081002.pdf, 65–74, &amp;, (, -; Ramos, P., Rivera, F., Pérez, R.S., Lara, L., Moreno, C., Gender differences in body image and its relevance in body weight control (2016) Escritos de Psicología, 9 (1), pp. 42-50. , https://doi.org/10.5231/psy.writ.2015.1409, &amp;; Rey, C.A., Prevalence and types of dating violence in adolescents and young adults (2013) Terapia Psicológica, 31 (2), pp. 143-154. , https://doi.org/10.4067/S0718-48082013000200001; Riggs, D., O’Leary, K., A theoretical model of courtship aggression (1989) Violence in dating relationships, pp. 53-71. , Pirog-Good M.A., Stets J.E., (eds), Praeger, &amp;, (Eds.), (., –; Rosenberg, M., (1965) Society and the adolescent self-image, , Princeton University Press; Rubio-Garay, F., Carrasco, M.A., Amor, P.J., López-González, M.A., Adolescent dating violence related factors: A critical review (2015) Anuario de Psicología Jurídica, 25 (1), pp. 47-56. , https://doi.org/10.1016/j.apj.2015.01.001, &amp;; Rubio-Garay, F., López-González, M.A., Carrasco, M.A., Amor, P.J., The prevalence of dating violence: A systematic review (2017) Papeles del Psicólogo, 38 (2), pp. 135-147. , https://doi.org/10.23923/pap.psicol2017.2831, &amp;; Silverman, J.G., Raj, A., Clements, K., Dating violence and associated sexual risk and pregnancy among adolescent girls in the united states (2004) Pediatrics, 114 (2), pp. e220-e225. , &amp;; Turan, R., Baki, D.U.Y., (2020) Self-esteem, attachment, gender roles and social approval as predictors of the attitudes toward dating violence. Türk Psikolojik Danışma ve Rehberlik Dergisi, 10 (56), pp. 1-36. , https://dergipark.org.tr/en/pub/tpdrd/issue/53508/712366#article_cite, &amp;; Ulloa, E.C., Hammett, J.F., The effect of gender and perpetrator–victim role on mental health outcomes and risk behaviors associated with intimate partner violence (2016) Journal of Interpersonal Violence, 31 (7), pp. 1184-1207. , https://doi.org/10.1177/0886260514564163, &amp;; Van Ouytsel, J., Ponnet, K., Walrave, M., The associations of adolescents’ dating violence victimization, well-being and engagement in risk behaviors (2017) Journal of Adolescence, 55, pp. 66-71. , https://doi.org/10.1016/j.adolescence.2016.12.005, &amp;; Villafañe, A., Jiménez, M., Capellas, M., Collazo, S., A model of Group Counseling for Students Impacted by Violence (2010) Revista de Ciencias Sociales, pp. 126-127. , https://doi.org/10.15517/rcs.v0i126-127.14896, 45–58, &amp;; Wincentak, K., Connolly, J., Card, N., Teen dating violence: A meta-analytic review of prevalence rates (2017) Psychology of Violence, 7 (2), pp. 224-241. , https://doi.org/10.1037/a0040194, &amp;; Ybarra, M.L., Espelage, D.L., Langhinrichsen-Rohling, J., Korchmaros, J.D., Boyd, D., Lifetime prevalence rates and overlap of physical, psychological, and sexual dating abuse perpetration and victimization in a national sample of youth (2016) Archives of Sexual Behavior, 45 (5), pp. 1083-1099. , https://doi.org/10.1007/s10508-016-0748-9, &amp;</t>
  </si>
  <si>
    <t>Bolívar-Suárez, Y.; Pedagogical and Technological, Colombia; email: Yolima.bolivar@uptc.edu.co</t>
  </si>
  <si>
    <t>SAGE Publications Inc.</t>
  </si>
  <si>
    <t>J. Interpers. Violence</t>
  </si>
  <si>
    <t>2-s2.0-85101291689</t>
  </si>
  <si>
    <t>Olmos M.A.P., Duque C.C., Olmos T.P., Duarte R.A.</t>
  </si>
  <si>
    <t>57221309031;55791800300;57221302910;57221309512;</t>
  </si>
  <si>
    <t>Determination of Factors Associated with Early Readmission of Patients with Mental Illness in Two Cities in Colombia During 2018 [Determinación de los factores asociados con el reingreso temprano de pacientes con enfermedad mental en dos ciudades de Colombia durante 2018]</t>
  </si>
  <si>
    <t>Revista Colombiana de Psiquiatria</t>
  </si>
  <si>
    <t>https://www.scopus.com/inward/record.uri?eid=2-s2.0-85098772590&amp;doi=10.1016%2fj.rcp.2020.11.006&amp;partnerID=40&amp;md5=c16a3d91768bec5003fe2bf0c752ad7c</t>
  </si>
  <si>
    <t>Centro de Rehabilitación Integral de Boyacá (CRIB), Tunja, Colombia; Universidad de Boyacá, Tunja, Colombia; Universidad Pedagógica y Tecnológica de Colombia, Tunja, Colombia</t>
  </si>
  <si>
    <t>Olmos, M.A.P., Centro de Rehabilitación Integral de Boyacá (CRIB), Tunja, Colombia; Duque, C.C., Centro de Rehabilitación Integral de Boyacá (CRIB), Tunja, Colombia; Olmos, T.P., Universidad de Boyacá, Tunja, Colombia; Duarte, R.A., Universidad Pedagógica y Tecnológica de Colombia, Tunja, Colombia</t>
  </si>
  <si>
    <t>Introduction: Early rehospitalisation in mental health units (SMHUs) is when a patient needs to be readmitted in the first 30 days after receiving discharge, and is mainly due to recurrent decompensation of their mental illness. This phenomenon is related to a worse prognosis and has an impact on the family, social and work environment. Absenteeism from work and additional hospital time are expenses for the health and employment system which have made rehospitalisation a phenomenon of special interest. The present study was carried out with the objective of exploring the factors associated with the readmission of patients with psychiatric illnesses treated in two MHUs during 2018, as well as those modifiable factors that act as protection for this condition. Methods: Observational, descriptive study with analytical component of cases and controls in two MHUs in different cities of Colombia. Information was obtained by collecting data from the medical records of patients who were admitted between 1 January 2018 and 31 December 2018. The data were collected between 20 February and 27 May 2019. The sample was composed of all the patients who met the criteria for early readmission in both institutions. The study group consisted of 113 patients: (28 cases and 85 controls), matched by by the variables: age, sex, place of hospitalisation and diagnosis Results: In the two hospital MHUs the diagnoses found were: depression (15.5%), bipolar affective disorder (33.1%) and schizophrenia (37.3%). In Bogotá, the most prevalent was depression (31.1%) and, in Tunja, it was schizophrenia (44.8%). For both institutions, the factor most associated with readmission was alcohol consumption, but other variables of treatment, family nucleus, and individual intervention were also associated with a greater probability of early readmission. Conclusions: It was possible to demonstrate that the use of atypical and/or depot antipsychotics, hospitalisations longer than 15 days, and prescriptions of less than three drugs at discharge, reduce the number of early readmissions to MHUs. © 2020 Asociación Colombiana de Psiquiatría</t>
  </si>
  <si>
    <t>Mental disorders; Patient readmission; Psychiatry; Risk factors</t>
  </si>
  <si>
    <t>city; Colombia; hospital readmission; human; mental disease; risk factor; Cities; Colombia; Humans; Mental Disorders; Patient Readmission; Risk Factors</t>
  </si>
  <si>
    <t>Reddy, M., Schneiders-Rice, S., Pierce, C., Fitzmaurice, G., Busch, A., Accuracy of prospective predictions of 30-day hospital readmission (2016) Psychiatr Serv [Internet]., 67, pp. 244-247. , http://psychiatryonline.org/doi/10.1176/appi.ps.201400282, Disponible en: . Consultado 4 Mar 2019; Moore, C.O., Moonie, S., Anderson, J., Factors associated with rapid readmission among Nevada State Psychiatric Hospital patients (2019) Community Ment Health J., 55, pp. 804-810; Shameer, K., Perez-Rodriguez, M.M., Bachar, R., Li, L., Johnson, A., Johnson, K.W., Pharmacological risk factors associated with hospital readmission rates in a psychiatric cohort identified using prescriptome data mining (2018) BMC Med Inform Decis Mak [Internet]., 18, pp. 1-11. , https://bmcmedinformdecismak.biomedcentral.com/articles/10.1186/s12911-018-0653-3, Disponible en: . Consultado 4 Mar 2019; Lin, C.-E., Chung, C.-H., Chen, L.-F., Chen, P.-C., Cheng, H.-Y., Chien, W.-C., Compulsory admission is associated with an increased risk of readmission in patients with schizophrenia: a 7-year, population-based, retrospective cohort study (2019) Soc Psychiatry Psychiatr Epidemiol., 54, pp. 243-253; Weiss, M.C., Santander, T.J., Aedo, C.I., Fuentes, M.X., Caracterización de las readmisiones precoces en la hospitalización psiquiátrica (2013) Rev Chil Neuropsiquiatr., 51, pp. 239-244; Sfetcu, R., Musat, S., Haaramo, P., Ciutan, M., Scintee, G., Vladescu, C., Overview of post-discharge predictors for psychiatric re-hospitalisations: a systematic review of the literature (2017) BMC Psychiatry [Internet]., 17, pp. 1-15. , http://bmcpsychiatry.biomedcentral.com/articles/10.1186/s12888-017-1386-z, Disponible en: . Consultado 4 Mar 2019; Sánchez Pedraza, R., Jaramillo, L.E., Herazo, M.I., Factores asociados a rehospitalización temprana en psiquiatría (2012) Biomédica [Internet]., 33, pp. 276-282. , http://www.revistabiomedica.org/index.php/biomedica/article/view/705, Disponible en: . Consultado 4 Mar 2019; Díaz Soto, C.M., Orozco Moreno, A.J., Villán Ramírez, N.C., Factores asociados con la readmisión de pacientes psiquiátricos en el oriente antioqueño en 2014 (2016) Med UPB [Internet]., 35, pp. 17-23. , https://revistas.upb.edu.co/index.php/Medicina/article/view/6913, Disponible en: . Consultado 4 Mar 2019; Lana, F., Variabilidad en la práctica médico psiquiátrica evaluada mediante el estudio de los reingresos a corto plazo (2004) Actas Espec Psiquiatr., 32, pp. 340-345; Kesserwani, J., Kadra, G., Downs, J., Risk of readmission in patients with schizophrenia and schizoaffective disorder newly prescribed clozapine (2019) J Psychopharmacol [Internet]., 33, pp. 449-458. , http://journals.sagepub.com/doi/10.1177/0269881118817387, Disponible en: . Consultado 13 Ago 2019; Ibañez, M., Vanegas, C., Villalba, S., Factores modificables asociados a hospitalización en pacientes psicóticos (2010) Rev Medica Sanitas [Internet]., 13, pp. 26-38. , http://www.unisanitas.edu.co/Revista/19/psicomerged.pdf, Disponible en: . Consultado 8 Ago 2019; Marcus, S.C., Chuang, C.-C., Ng-Mak, D.S., Olfson, M., Outpatient follow-up care and risk of hospital readmission in schizophrenia and bipolar disorder (2017) Psychiatr Serv [Internet]., 68, pp. 1239-1246. , http://psychiatryonline.org/doi/10.1176/appi.ps.201600498, Disponible en: . Consultado 4 Mar 2019; van Alphen, N.R., Stewart, J.G., Esposito, E.C., Pridgen, B., Gold, J., Auerbach, R.P., Predictors of rehospitalization for depressed adolescents admitted to acute psychiatric treatment (2017) J Clin Psychiatry [Internet]., 78, pp. 592-598. , http://www.psychiatrist.com/jcp/article/pages/2017/v78n05/v78n0518.aspx, Disponible en: . Consultado 4 Mar 2019; Evans, L.J., Harris, V., Newman, L., Beck, A., Rapid and frequent psychiatric readmissions: associated factors (2017) Int J Psychiatry Clin Pract., 21, pp. 271-276; Lin, C.H., Chen, W.L., Lin, C.M., Lee, R.N., Ko, M.D., Li, M.C.C.Y., Predictors of psychiatric readmissions in the short- and long-term: a population-based study in Taiwan (2010) Clinics., 65, pp. 481-489; Wacholder, S., Mclaughlin, J.K., Silverman, D.T., Mandel, J.S., Selection of controls in case-control studies: I (1992) Principles. Am J Epidemiol., 135, pp. 1019-1028; Wacholder, S., Silverman, D.T., Mclaughlin, J.K., Mandel, J.S., Selection of controls in case-control studies: II (1992) Types of controls. Am J Epidemiol., 135, pp. 1029-1041; Wacholder, S., Silverman, D.T., Mclaughlin, J.K., Mandel, J.S., Selection of controls in case-control studies: III (1992) Design options. Am J Epidemiol., 135, pp. 1042-1050; Vijayaraghavan, M., Messer, K., Xu, Z., Sarkin, A., Gilmer, T.P., Psychiatric readmissions in a community-based sample of patients with mental disorders (2015) Psychiatr Serv [Internet]., 66, pp. 551-554. , http://psychiatryonline.org/doi/10.1176/appi.ps.201400092, Disponible en: . Consultado 4 Mar 2019; Espiridion, E.D., Lewandrowski, C., Shahriari, S., Bestoyong, D.F., Readmission rates of patients with schizophrenia treated with depot antipsychotics versus oral antipsychotics in a community hospital (2018) Cureus., 10, p. e3775; Baker, J., Aebi, C., Comparison of readmission data between different categories of antipsychotic drugs at a state psychiatric hospital in Oregon (2017) Ment Heal Clin., 7, pp. 124-130; Vijayaraghavan, M., Messer, K., Xu, Z., Sarkin, A., Gilmer, T.P., Psychiatric readmissions in a community-based sample of patients with mental disorders (2015) Psychiatr Serv [Internet]., 66, pp. 551-554. , http://psychiatryonline.org/doi/10.1176/appi.ps.201400092, Disponible en: . Consultado 13 Ago 2019; Martín-Agudiez, N., Martínez-Mena, M.I., Gómez-Díaz, M., Apoyo social y consumo de tóxicos en reingresos hospitalarios psiquiátricos (2017) Rev Psicol Salud., 5, pp. 59-85</t>
  </si>
  <si>
    <t>Olmos, M.A.P.; Centro de Rehabilitación Integral de Boyacá (CRIB)Colombia; email: manuelpinzon523@gmail.com</t>
  </si>
  <si>
    <t>Asociacion Colombiana de Psiquiatria</t>
  </si>
  <si>
    <t>RCPSB</t>
  </si>
  <si>
    <t>Rev. Colomb. Psiquiatr.</t>
  </si>
  <si>
    <t>2-s2.0-85098772590</t>
  </si>
  <si>
    <t>Macias Torres M., Naranjo Mayorga F.</t>
  </si>
  <si>
    <t>57545433800;57204148117;</t>
  </si>
  <si>
    <t>Physica A: Statistical Mechanics and its Applications</t>
  </si>
  <si>
    <t>https://www.scopus.com/inward/record.uri?eid=2-s2.0-85126961958&amp;doi=10.1016%2fj.physa.2022.127114&amp;partnerID=40&amp;md5=c236a1c66a297a321c01c15216e1f30a</t>
  </si>
  <si>
    <t>Grupo de Física Teórica y Computacional, Universidad Pedagógica y Tecnológica de Colombia, Colombia</t>
  </si>
  <si>
    <t>Macias Torres, M., Grupo de Física Teórica y Computacional, Universidad Pedagógica y Tecnológica de Colombia, Colombia; Naranjo Mayorga, F., Grupo de Física Teórica y Computacional, Universidad Pedagógica y Tecnológica de Colombia, Colombia</t>
  </si>
  <si>
    <t>In this work, the resilience study of the Aedes aegypti mosquito network built in urban areas of Colombia is presented. We define the network based on the Skeeter-Buster model, where each node is represented by a mosquito habitat in each zone. The state that defines the population of each node depends on the gonotrophic cycle of the species and the environmental conditions. Interactions between nodes are defined by the probability that mosquitoes migrate from one node to another (Pdij). The topology of the network is evaluated and the dynamic equation of the system is defined, through which the universal resilience function is obtained in the A. aegypti mosquito network. We found that the more heterogeneous networks are more likely to be resilient, so a strategy could be sought to manipulate this property in A. aegypti networks. The phase transitions have been located for each constructed network and the fixed points in the phase space were characterized. One of the most important contributions is the migration probability of the vector Pdij, which offers a good approximation to the migratory behavior of the vector as a function of the mean flight distance and the distance between habitats. Finally, it is observed in the dynamics of the network that the population growth presents different values of effective mean degree (βeff), with values between 1.6 and 5.57, highlighting the case of Villavicencio with a value of 1.6309. © 2022 Elsevier B.V.</t>
  </si>
  <si>
    <t>Aedes aegypti; Critical parameters; Dynamic modeling; Ecological network; Migration probability; Resilience</t>
  </si>
  <si>
    <t>Ecosystems; Heterogeneous networks; Phase space methods; Population statistics; Aedes aegypti; Colombia; Critical parameter; Dynamics models; Ecological networks; Environmental conditions; Migration probability; Network-based; Resilience; Urban areas; Probability</t>
  </si>
  <si>
    <t>The authors greatly appreciate the suggestions and comments made by the PhD. Jesus Gomez Gardañes, also the accompaniment and support received by the Grupo de Física Teórica y Computacional belonging to the Universidad Pedagógica y Tecnológica de Colombia.</t>
  </si>
  <si>
    <t>Focks, D., Haile, D., Daniels, E., Mount, G., Dynamic life table model for aedes aegypti (diptera: culicidae): analysis of the literature and model development (1993) J. Med. Entomol.; Vélez, S., Núñez, C.P., Ruiz, D., Hacia la construcción de un modelo de simulción de la transmición del dengue en Colombia (2006) Rev. EIA; Fortich, O.H., Ecologia del aedes aegypti (1990) Rev. Dugandia; Kraemer, M., Sinka, M., Duda, K., Mylne, A., Shearer, F., Brady, O., Messina, J., Hay, S., The global compendium of Aedes aegypti and Ae. albopictus occurrence (2015) Nat. Sci. Data; Gao, J., Barzel, B., Barabási, A., Universal resilience patterns in complex networks (2016) Nature; Barzel, B., Barabási, A.-L., Universality in network dynamics (2013) Nat. Phys.; Jaimes-Dueñez, J., Arboleda, S., Triana-Chávez, O., Gómez-Palacio, A., Spatio-temporal distribution of aedes aegypti (diptera: Culicidae) mitochondrial lineages in cities with distinct dengue incidence rates suggests complex population dynamics of the dengue vector in Colombia (2015) PLoS Negl. Trop. Dis.; Magori, K., Legros, M., Puente, M.E., Focks, D.A., Scott, T.W., Lloyd, A.L., Gould, F., Skeeter buster: A stochastic, spatially explicit modeling tool for studying Aedes aegypti population replacement and population suppression strategies (2009) PLoS Negl. Trop. Dis.; Courchamp, F., Berec, L., Gascoigne, J., Allee Effects in Ecology and Conservation (2008), Oxford University Press; Fath, B., Scharler, U., Ulanowicz, R., Hannon, B., Ecological network analysis: network construction (2007) Ecol. Model.; Medeiros, A.S., Marcondes, C.B., Azevedo, P.R.M.D., Jerônimo, S.M.R., P, V., Silva, M.E., Ximenes, M., Seasonal variation of potential flavivirus vectors in an urban biological reserve in northeastern Brazil (2009) J. Med. Entomol.; Legros, M., Magori, K., Morrison, A.C., Xu, C., Scott, T.W., Lloyd, A.L., Gould, F., Evaluation of location-specific predictions by a detailed simulation model of Aedes aegypti populations (2011) PLoS Negl. Trop. Dis.; Xu, C., Legros, M., Gould, F., Lloyd, A.L., Understanding uncertainties in model-based predictions of Aedes aegypti population dynamics (2010) PLoS Negl. Trop. Dis.; Almanza-Vasquez, E., Puello, E., Meza, E., Porque convivir con el dengue: control integrado del vector (2013) Revista Costarricense de Salud Pública; Newman, M., Networks an introduction (2010), Oxford University Press; Kopos, F., Biological Networks (Complex Systems and Interdisciplinary Science) (2007), World Scientific Publishing Company; Barabási, A., Network Science (2016), Cambridge University Press; Strogatz, S., Nonlinear Dynamics and Chaos: With Applications to Physics, Biology, Chemistry, and Engineering (Studies in Nonlinearity) (2014), Westview Press</t>
  </si>
  <si>
    <t>Macias Torres, M.; Grupo de Física Teórica y Computacional, Colombia; email: maikol.macias@uptc.edu.co</t>
  </si>
  <si>
    <t>PHYAD</t>
  </si>
  <si>
    <t>Phys A Stat Mech Appl</t>
  </si>
  <si>
    <t>2-s2.0-85126961958</t>
  </si>
  <si>
    <t>Salinas-Torres A., Portilla J., Rojas H., Becerra D., Castillo J.-C.</t>
  </si>
  <si>
    <t>57224505847;8341447300;23025604300;36912568700;27967485800;</t>
  </si>
  <si>
    <t>MolBank</t>
  </si>
  <si>
    <t>https://www.scopus.com/inward/record.uri?eid=2-s2.0-85136916121&amp;doi=10.3390%2fM1387&amp;partnerID=40&amp;md5=40ae861e78d8be2319ee795a0e01a05a</t>
  </si>
  <si>
    <t>Grupo de Catálisis de la UPTC, Escuela de Ciencias Química, Facultad de Ciencias, Universidad Pedagógica y Tecnológica de Colombia, Avenida Central del Norte 39-115, Tunja, 150003, Colombia; Bioorganic Compounds Research Group, Department of Chemistry, Universidad de los Andes, Carrera 1 No. 18A-10, Bogota, 111711, Colombia</t>
  </si>
  <si>
    <t>Salinas-Torres, A., Grupo de Catálisis de la UPTC, Escuela de Ciencias Química, Facultad de Ciencias, Universidad Pedagógica y Tecnológica de Colombia, Avenida Central del Norte 39-115, Tunja, 150003, Colombia; Portilla, J., Bioorganic Compounds Research Group, Department of Chemistry, Universidad de los Andes, Carrera 1 No. 18A-10, Bogota, 111711, Colombia; Rojas, H., Grupo de Catálisis de la UPTC, Escuela de Ciencias Química, Facultad de Ciencias, Universidad Pedagógica y Tecnológica de Colombia, Avenida Central del Norte 39-115, Tunja, 150003, Colombia; Becerra, D., Grupo de Catálisis de la UPTC, Escuela de Ciencias Química, Facultad de Ciencias, Universidad Pedagógica y Tecnológica de Colombia, Avenida Central del Norte 39-115, Tunja, 150003, Colombia; Castillo, J.-C., Grupo de Catálisis de la UPTC, Escuela de Ciencias Química, Facultad de Ciencias, Universidad Pedagógica y Tecnológica de Colombia, Avenida Central del Norte 39-115, Tunja, 150003, Colombia, Bioorganic Compounds Research Group, Department of Chemistry, Universidad de los Andes, Carrera 1 No. 18A-10, Bogota, 111711, Colombia</t>
  </si>
  <si>
    <t>The 1,2,3-Triazole derivatives containing the sulfonyl group have proved their biological importance in medicinal chemistry and drug design. In this sense, we describe the regioselective synthesis of 2-(phenylsulfonyl)-2H-1,2,3-triazole 3 in good yield through a classical sulfonamidation reaction of 1H-1,2,3-triazole 1 with benzenesulfonyl chloride 2 in dichloromethane using a slight excess of triethylamine at 20 °C for 3 h. This procedure is distinguished by its short reaction time, high yield, excellent regioselectivity, clean reaction profile, and operational simplicity. The sulfonamide 3 was characterized by high-resolution mass spectrometry, FT–IR, UV–Vis, 1D and 2D NMR spectroscopy, and elemental analysis. The sulfonamide 3 exhibited moderate activity against UO-31 renal, SNB-75 central nervous system, HCT-116 colon, and BT-549 breast cancer cell lines, with growth inhibition percentages (GI%) ranging from 10.83% to 17.64%. © 2022 by the authors.</t>
  </si>
  <si>
    <t>1,2,3-triazole; cancer; sulfonamidation; sulfonamide; S–N bond formation</t>
  </si>
  <si>
    <t>National Cancer Institute, NCI; Universidad Pedagógica y Tecnológica de Colombia, UPTC: SGI-3312; Facultad de Ciencias, Universidad de los Andes: INV-2019-84-1800</t>
  </si>
  <si>
    <t>The authors thank Universidad Pedagógica y Tecnológica de Colombia and Universidad de los Andes. A.S.-T., H.R., D.B. and J.-C.C. acknowledge the Dirección de Investigaciones at the Universidad Pedagógica y Tecnológica de Colombia (Project SGI-3312). J.P. thanks support from the Facultad de Ciencias at the Universidad de los Andes (Project INV-2019-84-1800). We are grateful to the National Cancer Institute (NCI, USA) for performing the anticancer evaluation of compound 3.</t>
  </si>
  <si>
    <t>Dheer, D., Singh, V., Shankar, R., Medicinal attributes of 1,2,3-triazoles: Current developments (2017) Bioorg. Chem, 71, pp. 30-54. , [CrossRef]; Nasri, S., Bayat, M., Kochia, K., Strategies for synthesis of 1,2,4-triazole-containing scaffolds using 3-amino-1,2,4-triazole (2022) Mol. Divers, 26, pp. 717-739. , [CrossRef]; Matin, M.M., Matin, P., Rahman, M.R., Hadda, T.B., Almalki, F.A., Mahmud, S., Ghoneim, M.M., Alshehri, S., Triazoles and their derivatives: Chemistry, synthesis, and therapeutic applications (2022) Front. Mol. Biosci, 9, p. 864286. , [CrossRef]; Lunazzi, L., Parisi, F., Macciantelli, D., Conformational studies by dynamic nuclear magnetic resonance spectroscopy. Part 27. Kinetics and mechanism of annular tautomerism in isomeric triazoles (1984) J. Chem. Soc. Perkin Trans, 2, pp. 1025-1028. , [CrossRef]; Begtrup, M., Nielsen, C.J., Nygaard, L., Samdal, S., Sjøgren, C.E., Sørensen, G.O., The molecular structure and tautomer equilibrium of gaseous 1,2,3-triazole studied by microwave spectroscopy, electron diffraction, and ab initio calculations (1988) Acta Chem. Scand. B Org. Chem. Biochem, 42, pp. 500-514. , [CrossRef]; Catalán, J., Sánchez-Cabezudo, M., De Paz, J.L.G., Elguero, J., Taft, R.W., Anvia, F., The tautomerism of 1,2,3-triazole, 3(5)-methylpyrazole and their cations (1989) J. Comput. Chem, 10, pp. 426-433. , [CrossRef]; Kumari, S., Carmona, A.V., Tiwari, A.K., Trippier, P.C., Amide bond bioisosteres: Strategies, synthesis, and successes (2020) J. Med. Chem, 63, pp. 12290-12358. , [CrossRef]; Bozorov, K., Zhao, J., Aisa, H.A., 1,2,3-Triazole-containing hybrids as leads in medicinal chemistry: A recent overview (2019) Bioorg. Med. Chem, 27, pp. 3511-3531. , [CrossRef]; Kumar, S., Sharma, B., Mehra, V., Kumar, V., Recent accomplishments on the synthetic/biological facets of pharmacologically active 1H-1,2,3-triazoles (2021) Eur. J. Med. Chem, 212, p. 113069. , [CrossRef]; Liang, T., Sun, X., Li, W., Hou, G., Gao, F., 1,2,3-Triazole-containing compounds as anti–lung cancer agents: Current developments, mechanisms of action, and structure–activity relationship (2021) Front. Pharmacol, 12, p. 661173. , [CrossRef]; Xu, Z., Zhao, S.-J., Liu, Y., 1,2,3-Triazole-containing hybrids as potential anticancer agents: Current developments, action mechanisms and structure-activity relationships (2019) Eur. J. Med. Chem, 183, p. 111700. , [CrossRef]; Penthala, N.R., Madhukuri, L., Thakkar, S., Madadi, N.R., Lamture, G., Eoff, R.L., Crooks, P.A., Synthesis and anti-cancer screening of novel heterocyclic-(2H)-1,2,3-triazoles as potential anti-cancer agents (2015) Med. Chem. Commun, 6, pp. 1535-1543. , [CrossRef]; Madadi, N.R., Penthala, N.R., Howk, K., Ketkar, A., Eoff, R.L., Borrelli, M.J., Crooks, P.A., Synthesis and biological evaluation of novel 4,5-disubstituted 2H-1,2,3-triazoles as cis-constrained analogues of combretastatin A-4 (2015) Eur. J. Med. Chem, 103, pp. 123-132. , [CrossRef]; Pinheiro, S., Pessôa, J.C., Pinheiro, E.M.C., Muri, E.M.F., Filho, E.V., Loureiro, L.B., Freitas, M.C.R., Carneiro, J.W.M., 2H-1,2,3-Triazole-chalcones as novel cytotoxic agents against prostate cancer (2020) Bioorg. Med. Chem. Lett, 30, p. 127454. , [CrossRef]; Mareddy, J., Suresh, N., Kumar, C.G., Kapavarapu, R., Jayasree, A., Pal, S., 1,2,3-Triazole-nimesulide hybrid: Their design, synthesis and evaluation as potential anticancer agents (2017) Bioorg. Med. Chem. Lett, 27, pp. 518-523. , [CrossRef]; Swaroop, D.K., Kumar, N.R., Ratnakarreddy, K., Raja, G., Srigiridhar, K., Poornachandra, Y., Kumar, C.G., Narsaiah, B., Novel 1,2,3-triazole-functionalized 1,2-benzothiazine 1,1-dioxide derivatives: Regioselective synthesis, biological evaluation and docking studies (2018) ChemistrySelect, 3, pp. 2398-2403. , [CrossRef]; Sohrabnezhad, S., Bahrami, K., Hakimpoor, F., High yielding protocol for direct conversion of thiols to sulfonyl chlorides and sulfonamides (2019) J. Sulfur Chem, 40, pp. 256-264. , [CrossRef]; Bahrami, K., Khodaei, M.M., Soheilizad, M., Direct conversion of thiols to sulfonyl chlorides and sulfonamides (2009) J. Org. Chem, 74, pp. 9287-9291. , [CrossRef]; Chen, Y., Murray, P.R.D., Davies, A.T., Willis, M.C., Direct copper-catalyzed three-component synthesis of sulfonamides (2018) J. Am. Chem. Soc, 140, pp. 8781-8787. , [CrossRef]; Laudadio, G., Barmpoutsis, E., Schotten, C., Struik, L., Govaerts, S., Browne, D.L., Noël, T., Sulfonamide synthesis through electrochemical oxidative coupling of amines and thiols (2019) J. Am. Chem. Soc, 141, pp. 5664-5668. , [CrossRef]; Elejalde, N.R., Macías, M., Castillo, J.-C., Sortino, M., Svetaz, L., Zacchino, S., Portilla, J., Synthesis and in vitro antifungal evaluation of novel N-substituted 4-aryl-2-methylimidazoles (2018) ChemistrySelect, 3, pp. 5220-5227. , [CrossRef]; Moreno-Fuquen, R., Arango-Daraviña, K., Becerra, D., Castillo, J.C., Kennedy, A.R., Macías, M.A., Catalyst-and solvent-free synthesis of 2-fluoro-N-(3-methyl sulfanyl-1H-1,2,4-triazol-5-yl)benzamide through a microwave-assisted Fries rearrangement: X-ray structural and theoretical studies (2019) Acta Cryst, C75, pp. 359-371. , [CrossRef]; Castillo, J.-C., Bravo, N.-F., Tamayo, L.-V., Mestizo, P.-D., Hurtado, J., Macías, M., Portilla, J., Water-compatible synthesis of 1,2,3-triazoles under ultrasonic conditions by a Cu(I) complex-mediated click reaction (2020) ACS Omega, 5, pp. 30148-30159. , [CrossRef]; Katritzky, A.R., Lan, X., Yang, J.Z., Denisko, O.V., Properties and synthetic utility of N-substituted benzotriazoles (1998) Chem. Rev, 98, pp. 409-548. , [CrossRef]; Yamauchi, M., Miura, T., Murakami, M., Preparation of 2-sulfonyl-1,2,3-triazoles by base-promoted 1,2-rearrangement of a sulfonyl group (2010) Heterocycles, 80, pp. 177-181. , [CrossRef]; Keith, J.M., One-step conversion of azine N-oxides to α-1,2,4-triazolo-,1,2,3-triazolo, imidazolo-, and pyrazoloheteroarenes (2010) J. Org. Chem, 75, pp. 2722-2725. , [CrossRef]; Jie, K., Wang, Y., Huang, L., Guo, S., Cai, H., Convenient sulfonylation of imidazoles and triazoles using NFSI (2018) J. Sulphur Chem, 39, pp. 465-471. , [CrossRef]; Silverstein, R.M., Webster, F.X., Kiemle, D.J., Bryce, D.L., (2014) Spectrometric Identification of Organic Compounds, , 8th ed.; Wiley: New York, NY, USA; Sambathkumar, K., Molecular structure and vibrational spectra of 2,4,6-trimethylbenzenesulphonyl chloride (FTIR &amp; Raman) by quantum chemical calculations (2020) Indian J. Pure Appl. Phys, 58, pp. 589-598; Gökce, H., Şen, F., Sert, Y., Abdel-Wahab, B.F., Kariuki, B.M., El-Hiti, G.A., Quantum computational investigation of (E)-1-(4-methoxyphenyl)-5-methyl-N′-(3-phenoxybenzylidene)-1H-1,2,3-triazole-4-carbohydrazide (2022) Molecules, 27, p. 2193. , [CrossRef]; Toernkvist, C., Bergman, J., Liedberg, B., Correlated ab initio geometries and vibrations of 1H-and 2H-1,2,3-triazole (1991) J. Phys. Chem, 95, pp. 3123-3128. , [CrossRef]; Kudchadker, S.A., Rao, C.N.R., Infrared spectra &amp; normal vibrations of isomeric triazoles (1973) Indian J. Chem, 11, pp. 140-142; Billes, F., Endrédi, H., Keresztury, G., Vibrational spectroscopy of triazoles and tetrazoles (2000) J. Mol. Struct. Theochem, 530, pp. 183-200. , [CrossRef]; King, G.A., Oliver, T.A.A., Nix, M.G.D., Ashfold, M.N.R., Exploring the mechanisms of H atom loss in simple azoles: Ultraviolet photolysis of pyrazole and triazole (2010) J. Chem. Phys, 132, p. 064305. , [CrossRef]; Samir, B., Kalalian, C., Roth, E., Salghi, R., Chakir, A., Gas-phase UV absorption spectra and OH-oxidation kinetics of 1H-1,2,3-triazole and pyrazole (2019) RSC Adv, 9, pp. 27361-27368. , [CrossRef]; Insuasty, B., Montoya, A., Becerra, D., Quiroga, J., Abonia, R., Robledo, S., Vélez, I.D., Cobo, J., Synthesis of novel analogs of 2-pyrazoline obtained from [(7-chloroquinolin-4-yl)amino]chalcones and hydrazine as potential antitumor and antimalarial agents (2013) Eur. J. Med. Chem, 67, pp. 252-262. , [CrossRef]; Castillo, J.-C., Jiménez, E., Portilla, J., Insuasty, B., Quiroga, J., Moreno-Fuquen, R., Kennedy, A.R., Abonia, R., Application of a catalyst-free Domino Mannich/Friedel-Crafts alkylation reaction for the synthesis of novel tetrahydroquinolines of potential antitumor activity (2018) Tetrahedron, 74, pp. 932-947. , [CrossRef]; Serrano-Sterling, C., Becerra, D., Portilla, J., Rojas, H., Macías, M., Castillo, J.-C., Synthesis, biological evaluation and X-ray crystallographic analysis of novel (E)-2-cyano-3-(het)arylacrylamides as potential anticancer agents (2021) J. Mol. Struct, 1244, p. 130944. , [CrossRef]</t>
  </si>
  <si>
    <t>2-s2.0-85136916121</t>
  </si>
  <si>
    <t>Ortiz-González A.D., Buitrago H.A.L., Bulla-Castañeda D.M., Lancheros-Buitrago D.J., Garcia-Corredor D.J., Díaz-Anaya A.M., Tobón-Torreglosa J.C., Ortiz-Ortega D., Pulido-Medellín M.O.</t>
  </si>
  <si>
    <t>57804627900;57804628000;57222960876;57412001500;56241393600;55928513700;57280927300;22945351400;56241968800;</t>
  </si>
  <si>
    <t>Veterinary World</t>
  </si>
  <si>
    <t>https://www.scopus.com/inward/record.uri?eid=2-s2.0-85134224403&amp;doi=10.14202%2fvetworld.2022.1550-1556&amp;partnerID=40&amp;md5=22f9e2d0d66fd0c86ff1f20921c5e43e</t>
  </si>
  <si>
    <t>Grupo de Investigación en Medicina Veterinaria y Zootecnia, Universidad Pedagógica y Tecnológica de Colombia, Tunja, Colombia; Doctoral Program in Biomedical and Pharmaceutical Sciences, University of Namur, Namur, Belgium; Compañía Colombiana de Productos Veterinarios, Bogotá, Colombia; Corporación Colombiana de Investigación Agropecuaria, Mosquera, Colombia</t>
  </si>
  <si>
    <t>Ortiz-González, A.D., Grupo de Investigación en Medicina Veterinaria y Zootecnia, Universidad Pedagógica y Tecnológica de Colombia, Tunja, Colombia; Buitrago, H.A.L., Grupo de Investigación en Medicina Veterinaria y Zootecnia, Universidad Pedagógica y Tecnológica de Colombia, Tunja, Colombia; Bulla-Castañeda, D.M., Grupo de Investigación en Medicina Veterinaria y Zootecnia, Universidad Pedagógica y Tecnológica de Colombia, Tunja, Colombia; Lancheros-Buitrago, D.J., Grupo de Investigación en Medicina Veterinaria y Zootecnia, Universidad Pedagógica y Tecnológica de Colombia, Tunja, Colombia; Garcia-Corredor, D.J., Grupo de Investigación en Medicina Veterinaria y Zootecnia, Universidad Pedagógica y Tecnológica de Colombia, Tunja, Colombia; Díaz-Anaya, A.M., Grupo de Investigación en Medicina Veterinaria y Zootecnia, Universidad Pedagógica y Tecnológica de Colombia, Tunja, Colombia, Doctoral Program in Biomedical and Pharmaceutical Sciences, University of Namur, Namur, Belgium; Tobón-Torreglosa, J.C., Compañía Colombiana de Productos Veterinarios, Bogotá, Colombia; Ortiz-Ortega, D., Corporación Colombiana de Investigación Agropecuaria, Mosquera, Colombia; Pulido-Medellín, M.O., Grupo de Investigación en Medicina Veterinaria y Zootecnia, Universidad Pedagógica y Tecnológica de Colombia, Tunja, Colombia</t>
  </si>
  <si>
    <t>Background and Aim: Infectious bovine rhinotracheitis (IBR) is an infectious disease widely distributed globally and is considered the main cause of various reproductive and respiratory tract diseases in cattle and buffaloes. This study aimed to estimate seroprevalence and determine risk factors associated with the presentation of IBR in the municipality of Sotaquirá, Boyacá (Colombia). Materials and Methods: A descriptive cross-sectional study with simple random sampling was performed, and the sample size was 1,000 cattle. Blood samples were obtained by coccygeal venipuncture and processed through indirect enzyme-linked immunosorbent assay using the Synbiotics® kit (Zoetis, New Jersey, USA) with a sensitivity and specificity of 96% and 98%, respectively. Data were processed using the statistical program EpiInfo® (Centers for Disease Control and Prevention; Atlanta, Georgia). Results: A high seroprevalence of 57.5% was established. Seroprevalence was the highest in cattle &amp;gt;4 years of age (65.0% apparent seroprevalence[AS]; 67% true seroprevalence [TS]) and in the Holstein breed (65.5% AS; 67.8% TS). The breed and age of the animals were significantly associated with each other. The Holstein breed, age group &amp;gt;4 years, uncertified semen, and fetal death were established as risk factors for IBR. In comparison, the age groups of &amp;lt;1 and 1-2 years and the Normande breed were established as protective factors against the bovine herpesvirus-1 virus. Conclusion: Management factors, such as livestock from other owners and animal purchases, which affect disease presentation, are evident. The implementation and development of novel prevention and control measures for IBR at the national level are necessary. Copyright: Ortiz-González et al.</t>
  </si>
  <si>
    <t>adaptive immunity; African swine fever virus; Article; Bovine viral diarrhea virus 1; Chlamydia; cross-sectional study; disease transmission; enzyme linked immunosorbent assay; epididymitis; female; fetus death; fetus membrane; glomerulus filtration rate; herd immunity; Herpes simplex virus 2; human; male; mastitis; milk production; respiratory tract disease; risk factor; sensitivity and specificity; seroconversion; seroprevalence; vein puncture; vulvovaginitis</t>
  </si>
  <si>
    <t>The study was funded by the agreement (Grant</t>
  </si>
  <si>
    <t>no. M439) made between Corporación Colombiana de Investigación Agropecuaria, Colombia and Vecol - Empresa Colombiana de Productos Veterinarios, Colombia. The authors would like to thank the support from the producers who participated in making this study possible. No one from Vecol was involved at any stage of the study.</t>
  </si>
  <si>
    <t>Newcomer, B.W., Grady, L.C., Walz, P.H., Givens, D., Prevention of abortion in cattle following vaccination against bovine herpesvirus 1: A meta-analysis (2017) Prev. Vet. Med, 138, pp. 1-8; Ring, S.C., Graham, D.A., Sayers, R.G., Byrne, N., Kelleher, M.M., Doherty, M.L., Berry, D.P., Genetic variability in the humoral immune response to bovine herpesvirus-1 infection in dairy cattle and genetic correlations with performance traits (2018) J. Dairy Sci, 101 (7), pp. 6190-6204; Duque, D., Estévez, J.N.R., Abreu Velez, A., Velasquez, M.M., Durango, J.C., Palacios, D.M., Aspectos sobre Rinotraqueítis Infecciosa Bovina (2014) J. Agric. Anim. Sci, 3 (1), pp. 58-71; Maresca, C., Scoccia, E., Dettori, A., Felici, A., Guarcini, R., Petrini, S., Quaglia, A., Filippini, G., National surveillance plan for infectious bovine rhinotracheitis (IBR) in autochthonous Italian cattle breeds: Results of the first year of activity (2018) Vet. Microbiol, 219, pp. 150-153; Chen, X., Wang, X., Qi, Y., Wen, X., Li, C., Liu, X., Ni, H., Meta-analysis of prevalence of bovine herpes virus 1 in cattle in Mainland China (2018) Acta Trop, 187, pp. 37-43; Newcomer, B.W., Givens, D., Diagnosis and control of viral diseases of reproductive importance: Infectious bovine rhinotracheitis and bovine viral diarrhea (2016) Vet. Clin. North Am. Food Anim. Pract, 32 (2), pp. 425-441; (2018) Infectious Bovine Rhinotracheitis/Infectious Pustular Vulvovaginitis, pp. p1139-p1157. , OIE. Ch. 3.4.11. OIE Terrestrial Manual, Paris, France; Chase, C.C.L., Fulton, R.W., Toole, D.O., Gillette, B., Daly, R.F., Perry, G., Clement, T., Bovine herpesvirus 1 modified live virus vaccines for cattle reproduction: Balancing protection with undesired effects (2017) Vet. Microbiol, 206, pp. 69-77; Chothe, S.K., Sebastian, A., Thomas, A., Nissly, R.H., Wolfgang, D., Byukusenge, M., Mor, S.K., Kuchipudi, S., Whole-genome sequence analysis reveals unique SNP profiles to distinguish vaccine and wild-type strains of bovine herpesvirus-1 (BoHV-1) (2018) Virology, 522, pp. 27-36; Abad Zavaleta, J., Utrera, Á.R., Fernández, J.V.R., Camacho, A.G., Martínez, J.P.Z., Prevalencia de rinotraqueítis infecciosa bovina y diarrea viral bovina en hembras en tres épocas del año en la Zona Centro de Veracruz (2016) Nova Sci, 8 (16), pp. 213-227; Ochoa, X., Orbegozo, M., Abril, F.M., Medellin, M.P., Ospina, J., Seroprevalencia de rinotraqueitis infecciosa bovina en hatos lecheros de Toca-Boyacá (2012) Rev. MVZ, 17 (2), pp. 2974-2982; Ortíz-González, D., Díaz-Anaya, A.M., Pulido-Medellín, M.O., Determinación de rinotraqueítis infecciona Bovina (BHV-1) en el municipio de Toca, Boyacá (2019) Rev. CES Med. Vet. Zootec, 14 (1), pp. 18-24; (2019) Sotaquirá, Boyacá, , http://www.sotaquira-boyaca.gov.co, Retrieved on 27-11-2021; (2019) Censo Pecuario Nacional año 2019, , https://www.ica.gov.co/areas/pecuaria/servicios/epidemiologia-veterinaria/censos-2016/censo-2018, Retrieved on 27-11-2021; Marques, G.F., Pompei, J.C.A., Martini, M., Extracción de sangre con sistema de vacío (2017) Manual Veterinario de Toma y Envío de Muestras, p. p40. , 2nd ed. PANAFTOSA, Brasil; Martin, S.W., Meek, A.H., Willebreg, P., (1997) Veterinary Epidemiology: Principles and Methods, p. p384. , Acribia, S.A., editor. Virginia Tech Libraries, Zaragoza, (España); Betancur, H.C., González, T.M., Reza, G.L., Seroepidemiología de la rinotraqueitis infecciosa bovina en el municipio de Montería, Colombia (2006) Rev. Mvz Córdoba, 11 (2), pp. 830-836; Giraldo, J.L.M., García, I.W., Abeledo, M.A., Prevalencia de anticuerpos al virus de la diarrea viral bovina, Herpesvirus bovino 1 y Herpesvirus bovino 4 en bovinos y búfalos en el Departamento de Caquetá, Colombia (2013) Rev. Salud Anim, 35 (3), pp. 174-181; Muñoz, A.L., Motta-Delgado, P.A., Herrera, W., Polania, R., Chávez, L.C., Prevalencia del virus de la rinotraqueitis infecciosa bovina en el departamento del Caquetá, Amazonia Colombiana (2020) Rev. Med. Vet. Zootec, 67 (1), pp. 9-16; Ruíz-Sáenz, J., Jaime, J., Vera, V., Prevalencia serológica y aislamiento del Herpesvirus Bovino-1 (BHV-1) en hatos ganaderos de Antioquia y del Valle del Cauca (2010) Rev. Colomb. Cienc. Pecuar, 23 (3), pp. 29-307; Raaperi, K., Nurmoja, I., Orro, T., Viltrop, A., Seroepidemiology of bovine herpesvirus 1 (BHV1) infection among Estonian dairy herds and risk factors for the spread within herds (2010) Prev. Vet. Med, 96 (1-2), pp. 74-81; Aguilar, S.R., Benito, Z.A., Rivera, G.H., Seroprevalencia del virus de la diarrea viral bovina en ganado lechero de crianza intensiva del valle de lima (2006) Rev. Investig. Vet. Perú, 17 (2), pp. 148-153; Dias, J.A., Alfieri, A.A., Gonc, V.S.P., Seroprevalence and risk factors of Bovine Herpesvirus 1 infection in cattle herds in the state of Parana-Brazil (2013) Transbound. Emerg. Dis, 60 (1), pp. 39-47; Posado, R., Bartolomé, D., San Miguel, J.M., García, J.J., Rinotraqueitis infecciosa bovina y virus respiratorio sincitial bovino en ganado de lidia en salamanca (2013) Arch Zootec, 62 (238), pp. 181-190; Sibhat, B., Ayelet, G., Skjerve, E., Gebremedhin, E.Z., Asmare, K., Bovine herpesvirus-1 in three major milk sheds of Ethiopia: Serostatus and association with reproductive disorders in dairy cattle (2018) Prev. Vet. Med, 150, pp. 126-132; Majumder, S., Ramakrishnan, M.A., Nandi, S., Infectious bovine rhinotracheitis: An Indian perspective (2015) Int. J. Curr. Microbiol. Appl. Sci, 4 (10), pp. 844-858; Gay, A.J., A nation-wide epidemiological study of acute bovine respiratory disease in France (2009) Prev. Vet. Med, 89 (3-4), pp. 256-271; Constable, P., Hinchcliff, K., Done, S., Grunberg, W., Infectious bovine rhinotracheitis (2017) Veterinary Medicine: A Textbook of the Diseases of Cattle, Horses, Sheep, Pigs, and Goats, , Saunders Ltd., St. Louis, Missouri; Santman-Berends, I.M.G., Mars, M.H., Waldeck, H.W.F., Duijn, L., Van Wever, P., Broek, K.W.H., Van Schaik, G., Quantification of the probability of reintroduction of IBR in the Netherlands through cattle imports (2017) Prev. Vet. Med, 150 (1), pp. 168-175; Serem, E., Gitau, G., Vanleeuwen, J., Kimeli, P., Okumu, T., Gakuya, D., Muraya, J., Makau, D., Seroprevalence and risk factors of infectious bovine rhinotracheitis virus (Type 1) in Meru County, Kenya (2020) Prev. Vet. Med, 175, p. 104863; Segura-Correa, J.C., Zapata-Campos, C.C., Jasso-Obregón, J.O., Martinez-Burnes, J., andLópez-Zavala, R., Seroprevalence and risk factors associated with bovine herpesvirus 1 and bovine viral diarrhea virus in North-Eastern Mexico (2016) Open Vet. J, 6 (263), pp. 143-149; Segura-Correa, J., Rivera, J.S., Sánchez-Gil, L., Seroconversion to bovine viral diarrhoea virus and infectious bovine rhinotracheitis virus in dairy herds of Michoacan, Mexico (2010) Trop. Anim. Health Prod, 42 (2), pp. 233-238; Raaperi, K., Orro, T., Viltrop, A., Epidemiology and control of bovine herpesvirus 1 infection in Europe (2014) Vet. J, 201 (3), pp. 249-256; Derrar, S., Aggad, H., Hammoudi, A., Said Saim, M., Ayad, M.A., Benzineb, F.Z., Abdali, M., Abdelli, A., Seroprevalence and risk factors associated with bovine herpesvirus-1 infection in the region of Tiaret, Algeria (2019) Veterinaria, 68 (3), pp. 1-6; Kaddour, A., Bouyoucef, A., Fernandez, G., Prieto, A., Geda, F., Moula, N., Bovine herpesvirus 1 in the Northeast of Algiers, Algeria: Seroprevalence and associated risk factors in dairy herd (2019) J. Adv. Vet. Anim. Res, 6 (1), pp. 60-65; Benavides, B., Casal, J., Diéguez, J.F., Yus, E., Moya, S.J., Armengol, R., Allepuz, A., Development of a quantitative risk assessment of bovine viral diarrhea virus and bovine herpesvirus-1 introduction in dairy cattle herds to improve biosecurity (2020) J. Dairy Sci, 103 (7), pp. 6454-6472; Mahajan, V., Banga, H.S., Deka, D., Filia, G., Gupta, A., Comparison of diagnostic tests for diagnosis of infectious bovine rhinotracheitis in natural cases of bovine abortion (2013) J. Comp. Pathol, 149 (4), pp. 391-401; Graham, D.A., Bovine herpes virus-1 (BoHV-1) in cattle-a review with emphasis on reproductive impacts and the emergence of infection in Ireland and the United Kingdom (2013) Ir. Vet. J, 66 (1), pp. 1-11; Asmare, K., Sibhat, B., Ayelet, G., Zewdu, E., Aragaw, K., Skjerve, E., Serological evidence of bovine herpesvirus-1, bovine viral diarrhea virus and schmallenberg virus infections in relation to reproductive disorders in dairy cattle in Ethiopia (2018) Acta Trop, 178, pp. 236-241; Díaz, J.C., (2019) Prevalencia de la Rinotraqueitis Infecciosa Bovina en Sementales y su Relación con la Eliminación del Virus en el Semen, , Benemértia Universidiad Autónoma de Puebla, Puebla, Mexico</t>
  </si>
  <si>
    <t>Pulido-Medellín, M.O.; Grupo de Investigación en Medicina Veterinaria y Zootecnia, Colombia; email: martin.pulido@uptc.edu.co</t>
  </si>
  <si>
    <t>2-s2.0-85134224403</t>
  </si>
  <si>
    <t>Buitrago-López A., Bulla-Castañeda D.M., Díaz-Anaya A.M., Garcia-Corredor D.J., Torreglosa J.T., Ortega D.O., Pulido-Medellín M.O.</t>
  </si>
  <si>
    <t>57794568300;57222960876;55928513700;56241393600;57204250958;22945351400;56241968800;</t>
  </si>
  <si>
    <t>Serological diagnostic for Bovine Paratuberculosis in the Municipality of Sotaquirá, Colombia</t>
  </si>
  <si>
    <t>Thai Journal of Veterinary Medicine</t>
  </si>
  <si>
    <t>10.14456/tjvm.2022.31</t>
  </si>
  <si>
    <t>https://www.scopus.com/inward/record.uri?eid=2-s2.0-85133892167&amp;doi=10.14456%2ftjvm.2022.31&amp;partnerID=40&amp;md5=a1af50dc7ea180a9a5de0f8757960398</t>
  </si>
  <si>
    <t>Grupo de Investigación en Medicina Veterinaria y Zootecnia (GIDIMEVETZ), Universidad Pedagógica y tecnológica de Colombia (UPTC), Tunja, Colombia; Biomedical and Pharmaceutical Sciences, University of Namur, Namur, Belgium; Ciencias Biológicas y Ambientales (UPTC), Namur, Belgium; Compañía Colombiana de productos veterinarios (VECOL), Bogotá, Colombia; Corporación Colombiana de Investigación Agropecuaria (AGROSAVIA), Mosquera, Colombia</t>
  </si>
  <si>
    <t>Buitrago-López, A., Grupo de Investigación en Medicina Veterinaria y Zootecnia (GIDIMEVETZ), Universidad Pedagógica y tecnológica de Colombia (UPTC), Tunja, Colombia; Bulla-Castañeda, D.M., Grupo de Investigación en Medicina Veterinaria y Zootecnia (GIDIMEVETZ), Universidad Pedagógica y tecnológica de Colombia (UPTC), Tunja, Colombia; Díaz-Anaya, A.M., Grupo de Investigación en Medicina Veterinaria y Zootecnia (GIDIMEVETZ), Universidad Pedagógica y tecnológica de Colombia (UPTC), Tunja, Colombia, Biomedical and Pharmaceutical Sciences, University of Namur, Namur, Belgium; Garcia-Corredor, D.J., Grupo de Investigación en Medicina Veterinaria y Zootecnia (GIDIMEVETZ), Universidad Pedagógica y tecnológica de Colombia (UPTC), Tunja, Colombia, Ciencias Biológicas y Ambientales (UPTC), Namur, Belgium; Torreglosa, J.T., Compañía Colombiana de productos veterinarios (VECOL), Bogotá, Colombia; Ortega, D.O., Corporación Colombiana de Investigación Agropecuaria (AGROSAVIA), Mosquera, Colombia; Pulido-Medellín, M.O., Grupo de Investigación en Medicina Veterinaria y Zootecnia (GIDIMEVETZ), Universidad Pedagógica y tecnológica de Colombia (UPTC), Tunja, Colombia</t>
  </si>
  <si>
    <t>Bovine Paratuberculosis (BPT) or Johne’s disease is a pathology caused by Mycobacterium avium subsp. paratuberculosis (MAP). The parasite causes chronic granulomatous enteritis in domestic and wild grazers. Oral-fecal transmission is the most common form of transmission with calves less than six months old being the most susceptible but not presenting clinical symptoms until five years later. It is a disease that spreads during dairy production generating economic loss due to low productive yield and the early discarding of infected animals. The objective of our study was to perform a serological diagnostic of BPT in herds from the municipality of Sotaquirá, Boyacá. The study was designed as an observational, cross-sectional study with simple random sampling. Blood samples were taken from 1000 individuals and were analyzed via a commercial indirect ELISA assay kit (PARACHEK® 2 KIT, Prionics, Switzerland). The assay had a sensitivity of 70% and a specificity of 100%. Data was analyzed using EpiInfo® software. We found a low prevalence of MAP in Sotaquirá (3.5% PA and 5.0%PR), where we found that the age group with highest prevalence of MAP were individuals older than four years old (5.6%). We also found that Jersey (4.8%) and Holstein (4.5%) cattle breeds also had a higher prevalence of the disease. We also established cattle were aged more than four years and we similarly found a statistically significant association with handling practices (p&lt;0.05). Determination of seroprevalence and principal risk factors within livestock farms allows for establishment of prevention and control programs through implementation of biosecurity measures. © 2022 Chulalongkorn University Printing House. All rights reserved.</t>
  </si>
  <si>
    <t>diagnostic; Enzyme linked immunosorbent assay; Paratuberculosis; prevalence; risk factors</t>
  </si>
  <si>
    <t>Article; blood sampling; bovine; cattle breed; Colombia; cross-sectional study; enzyme linked immunosorbent assay; fever; livestock; Mycobacterium avium subsp. paratuberculosis; nonhuman; observational study; paratuberculosis; prevalence; processing; risk factor; sensitivity and specificity; serodiagnosis; seroprevalence</t>
  </si>
  <si>
    <t>PARACHEK, Prionics, Switzerland</t>
  </si>
  <si>
    <t>Prionics, Switzerland</t>
  </si>
  <si>
    <t>This study was funded by Vecol. The authors would like to thank the support received from the producers that participated making this study possible.</t>
  </si>
  <si>
    <t>Aboagye, G, Rowe, MT, Occurrence of Mycobacterium avium subsp. paratuberculosis in raw water and water treatment operations for the production of potable water (2011) Water Res, 45 (11), pp. 3271-3278. , https://doi.org/10.1016/j.watres.2011.03.029; (2016) Plan de desarrollo de la mano con el campo Sotaquirá 2016-2019, , http://www.sotaquiraboyaca.gov.co/normatividad/plan-de-desarrollode-la-mano-con-el-campo-sotaquira, Alcaldía Municipal de Sotaquirá [Online]. Available: Accessed June 15, 2020; Bates, A, O’Brien, R, Liggett, S, Griffin, F, Control of Mycobacterium avium subsp. paratuberculosis infection on a New Zealand pastoral dairy farm (2019) BMC Vet. Res, 15 (1), p. 266. , https://doi.org/10.1186/s12917-019-2014-6; Beaunée, G, Vergu, E, Ezanno, P, Modelling of paratuberculosis spread between dairy cattle farms at a regional scale (2015) Vet. Res, 46 (1), p. 111. , https://doi.org/10.1186/s13567-015-0247-3; Benavides, B, Arteaga, ÁV, Montezuma, CA, Estudio epidemiológico de paratuberculosis bovina en hatos lecheros del sur de Nariño, Colombia (2015) Rev. Med. Vet, 31, pp. 57-66. , https://doi.org/10.19052/mv.3709; Britton, LE, Cassidy, JP, O’Donovan, J, Gordon, SV, Markey, B, Potential application of emerging diagnostic techniques to the diagnosis of bovine Johne’s disease (paratuberculosis) (2016) Vet. J, 209, pp. 32-39. , https://doi.org/10.1016/j.tvjl.2015.10.033; Bulla-Castañeda, DM, Díaz-Anaya, AM, Garcia-Corredor, DJ, Pulido-Medellín, MO, Serodiagnóstico de Paratuberculosis en bovinos del municipio de Sogamoso, Boyacá (Colombia) (2020) Entramado, 16 (2), pp. 312-320. , https://doi.org/10.18041/1900-3803/entramado.2.6758; Bustamante, J, Aguilar, J, Ortiz, M, Mycobacterium avium subs. paratuberculosis in dairy cattle in the Lima area detected through three diagnostic techniques (2011) Rev. invest. vet. Perú, 22 (4), pp. 394-402; Caraballo, L, Castellar, A, Pardo, E, Mycobacterium avium subsp. paratuberculosis in bovine faeces from the municipality of Sincelejo, Sucre, Colombia (2018) Rev. invest. vet. Perú, 29 (3), pp. 987-995. , https://doi.org/10.15381/rivep.v29i3.14111; Collins, MT, Eggleston, V, Manning, EJB, Successful control of Johne’s disease in nine dairy herds: Results of a six-year field trial (2010) J. Dairy Sci, 93 (4), pp. 1638-1643. , https://doi.org/10.3168/jds.2009-2664; Corbett, C, Naqvi, SA, Bauman, C, De Buck, J, Orsel, K, Uehlinger, F, Kelton, D, Barkema, H, Prevalence of Mycobacterium avium ssp. paratuberculosis infections in Canadian dairy herds (2018) J. Dairy Sci, 101 (12), pp. 11218-11228. , https://doi.org/10.3168/jds.2018-14854; Correa, N, Arango, F, Fernández, JA, Mycobacterium avium subsp. paratuberculosis antibodies in cows of low-tropic dairy herds in Colombia (2020) Rev. MVZ Córdoba, 25 (2), p. e1782. , https://doi.org/10.21897/rmvz.1782; Correa, N, Ramírez, N, Arango, J, Fecteau, G, Fernández, JA, Prevalence of Mycobacterium avium subsp. paratuberculosis infection in dairy herds in Northern Antioquia (Colombia) and associated risk factors using environmental sampling (2019) Prev. Vet. Med, 170, p. 104739. , https://doi.org/10.1016/j.prevetmed.2019.104739; Dehaquiz, Y, Zambrano, S, Diagnóstico situacional y ambiental de la cadena láctea del Departamento de Boyacá (2012) Revista In Vestigium Ire, 5 (1), pp. 37-46; Echeverr, G, Escobar, H, Changoluisa, D, Ron, L, Proanõ, A, Proanõ-Pérez, F, Zumárraga, M, De Waard, J, Prevalence of paratuberculosis in dairy cattle in Ecuador (2020) Int. J. Mycobacteriol, 9 (1), pp. 1-6. , https://doi.org/10.4103/ijmy.ijmy_175_19; Eppleston, J, Begg, DJ, Dhand, NK, Watt, B, Whittington, RJ, Environmental survival of Mycobacterium avium subsp. paratuberculosis in different climatic zones of Eastern Australia (2014) Appl. Environ. Microbiol, 80 (8), pp. 2337-2342. , https://doi.org/10.1128/AEM.03630-13; Fernández, JA, Abdulmawjood, A, Bülte, M, Diagnosis and molecular characterization of Mycobacterium avium subsp. paratuberculosis from Dairy Cows in Colombia (2011) Vet. Med. Int, p. 352561. , https://doi.org/10.4061/2011/352561; Gilardoni, LR, Fernández, B, Morsella, C, Mendez, L, Jar, AM, Paolicchi, FA, Mundo, SL, Mycobacterium paratuberculosis detection in cow’s milk in Argentina by immunomagnetic separation-PCR (2016) Braz. J. Microbiol, 47 (2), pp. 506-512. , https://doi.org/10.1016/j.bjm.2016.01.013; Gutierrez, P, (2017) Diagnóstico para identificar el sistema de gestión de la empresa lechera del municipio de Duitama, provincia de Tundama, , https://repositorioslatinoamericanos.uchile.cl/handle/2250/3176861, [Online]. Available: Accessed: June 15, 2020; Hernández, JA, Cortez, C, Clemente, F, Gallegos, J, Salazar, J, Tarango, LA, Riesgo de transmisión de Mycobacterium avium subespecie paratuberculosis (MAP) en especies domésticas y silvestres (2014) Revista Agroproductividad, 7 (5), pp. 65-70; (2015) RESOLUCIÓN 3714 DE 2015. Por la cual se establecen las enfermedades de declaración obligatoria en Colombia, , http://extwprlegs1.fao.org/docs/pdf/col151263.pdf, [Online]. Available: Accessed: June 15, 2020; Jaramillo, S, Montoya, M, Uribe, J, Ramírez, N, Fernández, J, Seroprevalencia de paratuberculosis (Mycobacterium avium subsp. paratuberculosis) en un hato de lechería especializada del altiplano norte de Antioquia, Colombia (2017) Vetzootec, 11 (2), pp. 24-33. , https://doi.org/10.17151/vetzo.2017.11.2.3; Kennedy, A, O’Doherty, E, Byrne, N, O’Mahony, J, Kennedy, E, Sayers, R, A survey of management practices on Irish dairy farms with emphasis on risk factors for Johne’s disease transmission (2014) Ir. Vet. J, 67 (1), pp. 1-11. , https://doi.org/10.1186/s13620-014-0027-9; Kirkpatrick, BW, Lett, BM, Short communication: Heritability of susceptibility to infection by Mycobacterium avium ssp. paratuberculosis in Holstein cattle (2018) J. Dairy Sci, 101 (12), pp. 11165-11169. , https://doi.org/10.3168/jds.2018-15021; Künzler, R, Torgerson, P, Keller, S, Wittenbrink, M, Stephan, R, Knubben-Schweizer, G, Berchtold, B, Meylan, M, Observed management practices in relation to the risk of infection with paratuberculosis and to the spread of Mycobacterium avium subsp. paratuberculosis in Swiss dairy and beef herds (2014) BMC Vet. Res, 10 (1), p. 132. , https://doi.org/10.1186/1746-6148-10-132; Lavers, CJ, McKenna, SLB, Dohoo, IR, Barkema, HW, Keefe, GP, Evaluation of environmental fecal culture for Mycobacterium avium subspecies paratuberculosis detection in dairy herds and association with apparent within-herd prevalence (2013) Can. Vet. J, 54 (11), p. 1053; Lombard, JE, Epidemiology and Economics of Paratuberculosis (2011) Vet. Clin. N. Am- Food A, 27 (3), pp. 525-535. , https://doi.org/10.1016/j.cvfa.2011.07.012; Mallikarjunappa, S, Adnane, M, Cormican, P, Karrow, NA, Meade, KG, Characterization of the bovine salivary gland transcriptome associated with Mycobacterium avium subsp. paratuberculosis experimental challenge (2019) BMC Genomics, 20, p. 491. , https://doi.org/10.1186/s12864-019-5845-4; Mato, I, (2017) Estudio de seguimiento a largo plazo de ganaderías bovinas lecheras infectadas por “Mycobacterium avium subsp. paratuberculosis, , https://dialnet.unirioja.es/servlet/tesis?codigo=146790, [Online]. Available: Accessed: June 15, 2020; McKenna, SLB, Keefe, GP, Tiwari, A, VanLeeuwen, J, Barkema, HW, Johne’s disease in Canada part II: disease impacts, risk factors, and control programs for dairy producers (2006) Can. Vet. J, 47 (11), pp. 1089-1099. , http://www.ncbi.nlm.nih.gov/pubmed/17147140; Milián, F, Santillán, M, Zendeja, H, García, L, Hernández, L, Cantó, G, Prevalence and associated risk factors for Mycobacterium avium subsp. paratuberculosis in dairy cattle in Mexico (2015) J. Vet. Med. Anim. Health, 7 (10), pp. 302-307. , https://doi.org/10.5897/jvmah2015.0402; Mortier, RAR, Barkema, HW, Bystrom, JM., Illanes, O, Orsel, K, Wolf, R, Atkins, G, De Buck, J, Evaluation of age-dependent susceptibility in calves infected with two doses of Mycobacterium avium subspecies paratuberculosis using pathology and tissue culture (2013) Vet. Res, 44 (1), p. 94. , https://doi.org/10.1186/1297-9716-44-94; Navarro, N, Fourichon, C, Blanquefort, P, Delafosse, A, Joly, A, Ngwa-Mbot, D, Biet, F, Guatteo, R, Longitudinal study of Mycobacterium avium ssp. paratuberculosis fecal shedding patterns and concurrent serological patterns in naturally infected dairy cattle (2019) J. Dairy Sci, 102 (10), pp. 9117-9137. , https://doi.org/10.3168/jds.2018-15897; Picó, L, (2015) Influencia de Mycobacterium avium subsp paratuberculosis sobre parámetros reproductivos de vacas lecheras de alta producción, , http://hdl.handle.net/10459.1/64970, [Online]. Available: Accessed: June 15, 2020; Ramirez, N, Rodriguez, B, Fernández, J, Diagnóstico clínico e histopatológico de paratuberculosis bovina en un hato lechero en Colombia (2011) Rev. MVZ Cordoba, 16 (3), pp. 2742-2753. , https://doi.org/10.21897/rmvz.275; Ramírez, R, Maldonado, J, Molecular evasion of bovine macrophage activation by Mycobacterium avium subspecies paratuberculosis (2013) Rev. MVZ Cordoba, 18 (3), pp. 3897-3907; Retamal, P, Abalos, P, Martinez, F, Enfermedades animales producidas por agentes biológicos (2016), https://doi.org/10.34720/j6xb-7v02, Editorial Universitaria; Sá L de, M, De Oliveira, JMB, Santos, GR, Brandespim, DF, da Silva Júnior, JL, Mota, RA, Pinheiro Júnior, JW, Avaliação sorológica e de fatores de risco para a infecção por Mycobacterium avium subsp. paratuberculosis em rebanhos leiteiros da microrregião de garanhuns, pernambuco (2013) Pes. Vet. Bras, 33 (3), pp. 310-314. , https://doi.org/10.1590/S0100-736X2013000300006; Salgado, M, Steuer, P, Troncoso, E, Collins, MT, Evaluation of PMS-PCR technology for detection of Mycobacterium avium subsp. paratuberculosis directly from bovine fecal specimens (2013) Vet. Microbiol, 167 (3–4), pp. 725-728. , https://doi.org/10.1016/j.vetmic.2013.09.009; Sánchez, A, Arráiz, N, Becerra, L, Faria, N, Montero, M, Oviedo, A, Zambrano, S, Pino, D, Infección por Mycobacterium avium subsp. paratuberculosis en un rebaño criollo limonero (2009) Revista Cientifica de La Facultad de Ciencias Veterinarias de La Universidad Del Zulia, 19 (6), pp. 555-565. , 2; Sayers, RG, Good, M, Sayers, GP, A survey of biosecurity-related practices, opinions and communications across dairy farm veterinarians and advisors (2014) Vet. J, 200 (2), pp. 261-269. , https://doi.org/10.1016/j.tvjl.2014.02.010; Schwalm, AK, Metzger-Boddien, C, Seemann, G, Mandl, J, Obiegala, A, Pfeffer, M, Sting, R, Field study on bovine paratuberculosis using real-time PCR and liquid culture for testing environmental and individual fecal samples implemented in dairy cow management (2019) J. Dairy Sci, 102 (12), pp. 11260-11267. , https://doi.org/10.3168/jds.2018-15649; Singh, AV, Chauhan, DS, Singh, SV, Kumar, V, Singh, A, Yadav, A, Yadav, VS, Current status of Mycobacterium avium subspecies paratuberculosis infection in animals &amp; humans in India: What needs to be done? (2016) Indian J. Med. Res, 144 (5), pp. 661-671. , https://doi.org/10.4103/ijmr.IJMR_1401_14; Veléz, M, Rendón, Y, Valencia, SA, Ramírez, N, Fernández, J, Seroprevalencia de Mycobacterium avium Subsp. paratuberculosis (MAP) en una granja de ganado de carne de bosque húmedo tropical en Caucasia, Antioquia, Colombia (2016) RECIA, 8 (2), pp. 167-176; Verdugo, C, Valdes, MF, Salgado, M, Within-herd prevalence and clinical incidence distributions of Mycobacterium avium subspecies paratuberculosis infection on dairy herds in Chile (2018) Prev. Vet. Med, 154, pp. 113-118. , https://doi.org/10.1016/j.prevetmed.2018.03.022; Villamar, A, (2012) Paratuberculosis: estudio de las proteínas de la leche bovina y su impacto en los parámetros de producción lechera, , http://ri.agro.uba.ar/files/download/tesis/maestria/2016villamarmanriquesoniaandrea.pdf, [Online]. Available: Accessed: June 15, 2020; Whittington, RJ, Marshall, DJ, Nicholls, PJ, Marsh, IB, Reddacliff, LA, Survival and Dormancy of Mycobacterium avium subsp. paratuberculosis in the Environment (2004) Appl. Environ. Microbiol, 70 (5), pp. 2989-3004. , https://doi.org/10.1128/AEM.70.5.2989-3004.2004; Whittington, RJ, Begg, DJ, de Silva, K, Plain, KM, Purdie, AC, Comparative immunological and microbiological aspects of paratuberculosis as a model mycobacterial infection (2012) Vet. Immunolo. Immunopathol, 148 (1–2), pp. 29-47. , https://doi.org/10.1016/j.vetimm.2011.03.003; Windsor, PA, Whittington, RJ, Evidence for age susceptibility of cattle to Johne’s disease (2010) Vet. J, 184 (1), pp. 37-44. , https://doi.org/10.1016/j.tvjl.2009.01.007; Wiszniewska, A, Liedtke, KG, Szteyn, JM, Lachowicz, T, The effect of mycobacterium avium subsp. Paratuberculosis infection on the productivity of cows in two dairy herds with a low seroprevalence of paratuberculosis (2020) Animals, 10 (3), p. 490. , https://doi.org/10.3390/ani10030490</t>
  </si>
  <si>
    <t>Pulido-Medellín, M.O.; Grupo de Investigación en Medicina Veterinaria y Zootecnia (GIDIMEVETZ), Colombia; email: martin.pulido@uptc.edu.co</t>
  </si>
  <si>
    <t>Chulalongkorn University Printing House</t>
  </si>
  <si>
    <t>Thai J. Vet. Med.</t>
  </si>
  <si>
    <t>2-s2.0-85133892167</t>
  </si>
  <si>
    <t>Alfaro‐garcía V.G., Blanco‐mesa F., León‐castro E., Merigo J.M.</t>
  </si>
  <si>
    <t>55319293000;57201261741;57200370619;23482135100;</t>
  </si>
  <si>
    <t>https://www.scopus.com/inward/record.uri?eid=2-s2.0-85132567009&amp;doi=10.3390%2fmath10122100&amp;partnerID=40&amp;md5=173d1e6159fa03b3cc2528ae54a78066</t>
  </si>
  <si>
    <t>Facultad de Contaduría y Ciencias Administrativas, Universidad Michoacana de San Nicolas de Hidalgo, Gral. Francisco J. Múgica S/N, C.U., Morelia, 58030, Mexico; Facultad de Ciencias Económicas y Administrativas, Escuela de Administración de Empresas, Universidad Pedagógica y Tecnológica de Colombia, Tunja, 150001, Colombia; Faculty of Economics and Administrative Sciences, Universidad Católica de la Santísima Concepción, Av. Alonso de Ribera 2850, Concepción, 4030000, Chile; Department of Management Control and Information Systems, School of Economic and Business, University of Chile, Av. Diagonal Paraguay, 257, Santiago, 8330015, Chile</t>
  </si>
  <si>
    <t>Alfaro‐garcía, V.G., Facultad de Contaduría y Ciencias Administrativas, Universidad Michoacana de San Nicolas de Hidalgo, Gral. Francisco J. Múgica S/N, C.U., Morelia, 58030, Mexico; Blanco‐mesa, F., Facultad de Ciencias Económicas y Administrativas, Escuela de Administración de Empresas, Universidad Pedagógica y Tecnológica de Colombia, Tunja, 150001, Colombia; León‐castro, E., Faculty of Economics and Administrative Sciences, Universidad Católica de la Santísima Concepción, Av. Alonso de Ribera 2850, Concepción, 4030000, Chile; Merigo, J.M., Department of Management Control and Information Systems, School of Economic and Business, University of Chile, Av. Diagonal Paraguay, 257, Santiago, 8330015, Chile</t>
  </si>
  <si>
    <t>Distance measures in ordered weighted averaging (OWA) operators allow the modelling of complex decision making problems where a set of ideal values or characteristics are required to be met. The objective of this paper is to introduce extended distance measures and logarithmic OWA‐based decision making operators especially designed for the analysis of financial investment options. Based on the immediate weights, Bonferroni means and logarithmic averaging operators, in this paper we introduce the immediate weights logarithmic distance (IWLD), the immediate weights ordered weighted logarithmic averaging distance (IWOWLAD), the hybrid weighted logarithmic distance (HWLD), the Bonferroni ordered weighted logarithmic averaging distance (B‐ OWLAD) operator, the Bonferroni immediate weights ordered weighted logarithmic averaging distance (B‐IWOWLAD) operator and the Bonferroni hybrid weighted logarithmic distance (HWLD). A financial decision making illustrative example is proposed, and the main benefits of the characteristic design of the introduced operators is shown, which include the analysis of the interrelation between the modelled arguments required from the decision makers and the stakeholders, and the comparison to an ideal set of characteristics that the possible companies in the example must portray. Moreover, some families, particular cases and brief examples of the proposed operators, are studied and presented. Finally, among the main advantages are the modeling of diverse perspectives, attitudinal characteristics and complex scenarios, through the interrelation and comparison between the elements with an ideal set of characteristics given by the decision makers and a set of options. © 2022 by the authors. Licensee MDPI, Basel, Switzerland.</t>
  </si>
  <si>
    <t>Bonferroni means; distance measures; immediate weights; logarithmic averaging operators; OWA operators</t>
  </si>
  <si>
    <t>522RT0130; Universidad Pedagógica y Tecnológica de Colombia, UPTC: SGI 3323; CYTED Ciencia y Tecnología para el Desarrollo, CYTED</t>
  </si>
  <si>
    <t>This work was supported by Universidad Pedagogica y Tecnologica de Colombia (Grant number SGI 3323), and the research was supported by Red Sistemas Inteligentes y Expertos Modelos Computacionales Iberoamericanos (SIEMCI), project number 522RT0130 in Programa Iberoamericano de Ciencia y Tecnología para el Desarrollo (CYTED).</t>
  </si>
  <si>
    <t>Acknowledgment. This work was supported by Universidad Pedagogica y Tecnologica de Colom‐ bia (Grant number SGI 3323), and the research was supported by Red Sistemas Inteligentes y Ex‐ pertos Modelos Computacionales Iberoamericanos (SIEMCI), project number 522RT0130 in Pro‐ grama Iberoamericano de Ciencia y Tecnología para el Desarrollo (CYTED).</t>
  </si>
  <si>
    <t>Leon‐Castro, E., Blanco‐Mesa, F., Alfaro‐García, V.G., Gil Lafuente, A.M., Merigó Lindahl, J.M., Fuzzy Systems and Applications in Innovation and Sustainability (2021) J. Intell. Fuzzy Syst, 40, pp. 1723-1726; Hogarth, J.M., Beverly, S.G., Hilgert, M., (2003) Patterns of Financial Behaviors: Implications for Community Educators and Policy Makers; Bennet, A., Bennet, D., The Decision‐Making Process in a Complex Situation (2008) Handbook on Decision Support Systems 1, pp. 3-20. , Springer: Berlin/Heidelberg, Germany; Sałabun, W., The Characteristic Objects Method: A New Distance‐Based Approach to Multicriteria Decision‐Making Problems (2015) J. Multi‐Criteria Decis. Anal, 22, pp. 37-50. , https://doi.org/10.1002/MCDA.1525; Faizi, S., Sałabun, W., Rashid, T., Watróbski, J., Zafar, S., Group Decision‐Making for Hesitant Fuzzy Sets Based on Characteristic Objects Method (2017) Symmetry, 9, p. 136. , https://doi.org/10.3390/SYM9080136; Sałabun, W., Ziemba, P., Application of the Characteristic Objects Method in Supply Chain Management and Logistics (2016) Recent Developments in Intelligent Information and Database Systems. Studies in Computational Intelligence, 642, pp. 445-453. , Springer: Cham, Switzerland, –; ISBN 9783319312767; Hwang, C.‐L., Yoon, K., Multiple Attribute Decision Making (1981) Lecture Notes in Economics and Mathematical Systems, 186. , Springer: Berlin/Heidelberg, Germany, ISBN 978‐3‐540‐10558‐9; Hwang, C.L., Lai, Y.J., Liu, T.Y., A New Approach for Multiple Objective Decision Making (1993) Comput. Oper. Res, 20, pp. 889-899. , https://doi.org/10.1016/0305‐0548(93)90109‐V; Wątróbski, J., Bączkiewicz, A., Ziemba, E., Sałabun, W., Sustainable Cities and Communities Assessment Using the DARIA‐ TOPSIS Method (2022) Sustain. Cities Soc, 83, p. 103926. , https://doi.org/10.1016/J.SCS.2022.103926; Dezert, J., Tchamova, A., Han, D., Tacnet, J.M., The SPOTIS Rank Reversal Free Method for Multi‐Criteria Decision‐Making Support (2020) Proceedings of the 2020 23rd International Conference on Information Fusion, FUSION 2020, , Rustenburg, South Africa, 6–9 July Institute of Electrical and Electronics Engineers Inc.: Rustenburg, South Africa, 2020; Calvo, T., Mayor, G., Mesiar, R., (2002) Aggregation Operators: New Trends and Applications, 97. , Springer Science &amp; Business Media: Berlin/Heidelberg, Germany, ISBN 3‐7908‐1468‐7; Detyniecki, M., (2001) Fundamentals on Aggregation Operators, , Ph.D. Thesis, University of California, Berkeley, CA, USA; Blanco‐Mesa, F., Merigo, J.M., Gil‐Lafuente, A.M., Fuzzy Decision Making: A Bibliometric‐Based Review (2017) J. Intell. Fuzzy Syst, 32, pp. 2033-2050; Beliakov, G., Bustince Sola, H., Calvo, T., A Practical Guide to Averaging Functions (2016) Studies in Fuzziness and Soft Computing, 329. , Springer International Publishing: Cham, Switzerland; Yager, R.R., On Ordered Weighted Averaging Aggregation Operators in Multicriteria Decisionmaking (1988) IEEE Trans. Syst. Man Cybern, 18, pp. 183-190; Baez‐Palencia, D., Olazabal‐Lugo, M., Romero‐Muñoz, J., Toma de Decisiones Empresariales a Través de La Media Ponderada Ordenada (2019) Inquietud Empresarial, 19, pp. 11-23; Yager, R.R., Filev, D.P., Induced Ordered Weighted Averaging Operators (1999) IEEE Trans. Syst. Man Cybern. Part B Cybern, 29, pp. 141-150; Chen, S, Niou, S, Fuzzy Multiple Attributes Group Decision‐Making Based on Fuzzy Induced OWA Operators (2011) Expert Syst. Appl, 38, pp. 4097-4108. , M J; Aggarwal, M., A New Family of Induced OWA Operators (2015) Int. J. Intell. Syst, 30, pp. 170-205; Yager, R.R., Heavy OWA Operators (2002) Fuzzy Optim. Decis. Mak, 1, pp. 379-397; Yager, R.R., Prioritized OWA Aggregation (2009) Fuzzy Optim. Decis. Mak, 8, pp. 245-262; Yager, R.R., Pythagorean Fuzzy Subsets (2013) Proceedings of the 2013 Joint IFSA World Congress and NAFIPS Annual Meeting (IFSA/NAFIPS), pp. 57-61. , Edmonton, AB, Canada, 24–28 June; Xu, Z.S., Chen, J., Ordered Weighted Distance Measure (2008) J. Syst. Sci. Syst. Eng, 17, pp. 432-445. , https://doi.org/10.1007/s11518‐008‐5084‐8; Herrera, F., Herrera‐Viedma, E., Aggregation Operators for Linguistic Weighted Information (1997) IEEE Trans. Syst. Man Cybern. Part A Syst. Hum, 27, pp. 646-656. , https://doi.org/10.1109/3468.618263; León‐Castro, E., Avilés‐Ochoa, E., Merigo, J.M., Gil‐Lafuente, A.M., Heavy Moving Averages and Their Application in Econometric Forecasting (2018) Cybern. Syst, 49, pp. 26-43; Olazabal‐Lugo, M., León‐Castro, E., Espinoza‐Audelo, L.F., Merigo, J.M., Gil‐Lafuente, A.M., Forgotten Effects and Heavy Moving Averages in Exchange Rate Forecasting (2019) Econ. Comput. Econ. Cybern. Stud. Res, 53, pp. 79-96; Yager, R.R., On Generalized Bonferroni Mean Operators for Multi‐Criteria Aggregation (2009) Int. J. Approx. Reason, 50, pp. 1279-1286; Zhou, L., Chen, H., Generalized Ordered Weighted Logarithm Aggregation Operators and Their Applications to Group Decision Making (2010) Int. J. Intell. Syst, 25, pp. 683-707; Alfaro‐García, V.G., Merigó, J.M., Gil‐Lafuente, A.M., Kacprzyk, J., Logarithmic Aggregation Operators and Distance Measures (2018) Int. J. Intell. Syst, 33, pp. 1488-1506. , https://doi.org/10.1002/int.21988; Bonferroni, C., Sulle Medie Multiple Di Potenze (1950) Boll. Dell’Unione Mat. Ital, 5, pp. 267-270; Chen, Z, Chin, K.‐S., Li, Y.‐L., Yang, Y., On Generalized Extended Bonferroni Means for Decision Making (2016) IEEE Trans. Fuzzy Syst, 24, pp. 1525-1543. , S; Blanco‐Mesa, F., León Castro, E., Gil‐Lafuente, A.M., (2019) Aplicaciones Matemáticas Para La Toma de Decisiones Empresariales En Entornos Inciertos, , Vallespín Pérez, D., Ed.; Juruá Editorial: Porto, Portugal, ISBN 9789897125911; Blanco‐Mesa, F., León‐Castro, E., Merigo, J.M., Herrera‐Viedma, E., Variances with Bonferroni Means and Ordered Weighted Averages (2019) Int. J. Intell. Syst, 34, pp. 3020-3045; Liu, P., Chen, Y., Chu, Y., Intuitionistic Uncertain Linguistic Weighted Bonferroni OWA Operator and Its Application to Multiple Attribute Decision Making (2014) Cybern. Syst, 45, pp. 418-438; Sun, M., Liu, J., Induced Generalized Weighted Bonferroni Mean Operator for Intuitionistic Fuzzy Sets (2012) Adv. Modeling Optim, 14, pp. 663-671; Espinoza‐Audelo, L.F., Olazabal‐Lugo, M., Blanco‐Mesa, F., León‐Castro, E., Alfaro‐García, V.G., Bonferroni Probabilistic Ordered Weighted Averaging Operators Applied to Agricultural Commodities’ Price Analysis (2020) Mathematics, 8, p. 1350; Hamming, R.W., Error Detecting and Error Correcting Codes (1950) Bell Syst. Tech. J, 29, pp. 147-160; Gil‐Lafuente, A.M., Merigó, J.M., The Ordered Weighted Averaging Distance Operator (2007) Lect. Model. Simul, 8, pp. 84-95; Li, X., Chen, X., Multi‐Criteria Group Decision Making Based on Trapezoidal Intuitionistic Fuzzy Information (2015) Appl. Soft Comput, 30, pp. 454-461. , https://doi.org/10.1016/j.asoc.2015.01.054; Blanco‐Mesa, F., Merigo, J.M., Kacprzyk, J., Bonferroni Means with Distance Measures and the Adequacy Coefficient in Entrepreneurial Group Theory (2016) Knowl. Based Syst, 111, pp. 217-227; Kumbure, M.M., Luukka, P., Collan, M., A New Fuzzy K‐Nearest Neighbor Classifier Based on the Bonferroni Mean (2020) Pattern Recognit. Lett, 140, pp. 172-178; Merigó, J.M., Gil‐Lafuente, A.M., Decision Making Techniques with Similarity Measures and OWA Operators (2012) SORT Stat. Oper. Res. Trans, 36, pp. 81-102; Gómez Monge, R., Galeana Figueroa, E., Alfaro‐García, V.G., Merigó, J.M., Yager, R.R., Variances and Logarithmic Aggregation Operators: Extended Tools for Decision‐Making Processes (2021) Mathematics, 9, p. 1892. , https://doi.org/10.3390/math9161892; Merigo, J.M., Gil‐Lafuente, A.M., Yager, R.R., An Overview of Fuzzy Research with Bibliometric Indicators (2015) Appl. Soft Comput. J, 27, pp. 420-433; Dubois, D., Prade, H., Fuzzy Numbers: An Overview (1993) Readings in Fuzzy Sets for Intelligent Systems, pp. 112-148. , Elsevier: Amsterdam, The Netherlands; Yu, D., Li, D.‐F., Merigo, J.M., Fang, L., Mapping Development of Linguistic Decision Making Studies (2016) J. Intell. Fuzzy Syst, 30, pp. 2727-2736; Zadeh, L.A., The Concept of a Linguistic Variable and Its Application to Approximate Reasoning—I (1975) Inf. Sci, 8, pp. 199-249; Blanco‐Mesa, F., León‐Castro, E., Romero‐Muñoz, J., Pythagorean Membership Grade Aggregation Operators: Application in Financial Knowledge (2021) Mathematics, 9, p. 2136; Zeng, S., Pythagorean Fuzzy Multiattribute Group Decision Making with Probabilistic Information and OWA Approach (2017) Int. J. Intell. Syst, 32, pp. 1136-1150; Xu, Z.S., Da, Q.L., The Uncertain OWA Operator (2002) Int. J. Intell. Syst, 17, pp. 569-575; Zeng, S., Lv, W., Li, T., Zhou, J., Interval Numbers BONr, Q‐OWA Operator and Its Application to Multiattribute Decisionmaking (2021) Int. J. Intell. Syst, 36, pp. 6531-6549; Wei, C., Pei, Z., Li, H., An Induced OWA Operator in Coal Mine Safety Evaluation (2012) J. Comput. Syst. Sci, 78, pp. 997-1005; León‐Castro, E., Avilés‐Ochoa, E., Merigo, J.M., Induced Heavy Moving Averages (2018) Int. J. Intell. Syst, 33, pp. 1823-1839; Li, W., Yi, P., Zhang, D., Quantile‐induced Vector‐based Heavy OWA Operator and the Application in Dynamic Decision Making (2020) Int. J. Intell. Syst, 35, pp. 250-266</t>
  </si>
  <si>
    <t>León‐Castro, E.; Faculty of Economics and Administrative Sciences, Av. Alonso de Ribera 2850, Chile; email: eleon@ucsc.cl</t>
  </si>
  <si>
    <t>2-s2.0-85132567009</t>
  </si>
  <si>
    <t>Prieto Cárdenas L.S., Arias Soler K.A., Nossa González D.L., Rozo Núñez W.E., Cárdenas-Chaparro A., Duchowicz P.R., Gómez Castaño J.A.</t>
  </si>
  <si>
    <t>57751397900;57750632300;57202111099;6508065507;57193222854;6603660896;57215004240;</t>
  </si>
  <si>
    <t>https://www.scopus.com/inward/record.uri?eid=2-s2.0-85132270885&amp;doi=10.3390%2fph15060687&amp;partnerID=40&amp;md5=406d88fb5fbc308c54b3d219bc9471ec</t>
  </si>
  <si>
    <t>Grupo Química-Física Molecular y Modelamiento Computacional (QUIMOL), Facultad de Ciencias, Universidad Pedagógica y Tecnológica de Colombia (UPTC), Avenida Central del Norte, Tunja, 050030, Colombia; Instituto de Investigaciones Fisicoquímicas Teóricas y Aplicadas, (CONICET—Universidad Nacional de La Plata), Diagonal 113 y Calle 64, C.C. 16, Sucursal 4, La Plata, 1900, Argentina</t>
  </si>
  <si>
    <t>Prieto Cárdenas, L.S., Grupo Química-Física Molecular y Modelamiento Computacional (QUIMOL), Facultad de Ciencias, Universidad Pedagógica y Tecnológica de Colombia (UPTC), Avenida Central del Norte, Tunja, 050030, Colombia; Arias Soler, K.A., Grupo Química-Física Molecular y Modelamiento Computacional (QUIMOL), Facultad de Ciencias, Universidad Pedagógica y Tecnológica de Colombia (UPTC), Avenida Central del Norte, Tunja, 050030, Colombia; Nossa González, D.L., Grupo Química-Física Molecular y Modelamiento Computacional (QUIMOL), Facultad de Ciencias, Universidad Pedagógica y Tecnológica de Colombia (UPTC), Avenida Central del Norte, Tunja, 050030, Colombia; Rozo Núñez, W.E., Grupo Química-Física Molecular y Modelamiento Computacional (QUIMOL), Facultad de Ciencias, Universidad Pedagógica y Tecnológica de Colombia (UPTC), Avenida Central del Norte, Tunja, 050030, Colombia; Cárdenas-Chaparro, A., Grupo Química-Física Molecular y Modelamiento Computacional (QUIMOL), Facultad de Ciencias, Universidad Pedagógica y Tecnológica de Colombia (UPTC), Avenida Central del Norte, Tunja, 050030, Colombia; Duchowicz, P.R., Instituto de Investigaciones Fisicoquímicas Teóricas y Aplicadas, (CONICET—Universidad Nacional de La Plata), Diagonal 113 y Calle 64, C.C. 16, Sucursal 4, La Plata, 1900, Argentina; Gómez Castaño, J.A., Grupo Química-Física Molecular y Modelamiento Computacional (QUIMOL), Facultad de Ciencias, Universidad Pedagógica y Tecnológica de Colombia (UPTC), Avenida Central del Norte, Tunja, 050030, Colombia</t>
  </si>
  <si>
    <t>Chagas and leishmaniasis are two neglected diseases considered as public health problems worldwide, for which there is no effective, low-cost, and low-toxicity treatment for the host. Naphthoquinones are ligands with redox properties involved in oxidative biological processes with a wide variety of activities, including antiparasitic. In this work, in silico methods of quantitative structure–activity relationship (QSAR), molecular docking, and calculation of ADME (absorption, distribution, metabolism, and excretion) properties were used to evaluate naphthoquinone derivatives with unknown antiprotozoal activity. QSAR models were developed for predicting antiparasitic activity against Trypanosoma cruzi, Leishmania amazonensis, and Leishmania infatum, as well as the QSAR model for toxicity activity. Most of the evaluated ligands presented high antiparasitic activity. According to the docking results, the family of triazole derivatives presented the best affinity with the different macromolecular targets. The ADME results showed that most of the evaluated compounds present adequate conditions to be administered orally. Naphthoquinone derivatives show good biological activity results, depending on the substituents attached to the quinone ring, and perhaps the potential to be converted into drugs or starting molecules. © 2022 by the authors. Licensee MDPI, Basel, Switzerland.</t>
  </si>
  <si>
    <t>ADME; antiprotozoal evaluation; chagas; leishmaniasis; molecular docking; naphthoquinones; QSAR</t>
  </si>
  <si>
    <t>1,4 naphthoquinone derivative; cytochrome P450 1A2; cytochrome P450 2C19; cytochrome P450 2C9; cytochrome P450 2D6; cytochrome P450 3A4; antiprotozoal activity; Article; binding affinity; Chagas disease; drug absorption; drug distribution; drug excretion; drug metabolism; drug solubility; drug structure; enzyme active site; gastrointestinal absorption; hydrogen bond; hydrophobicity; IC50; Leishmania amazonensis; Leishmania infantum; leishmaniasis; lipophilicity; molecular docking; molecular model; nonhuman; pharmacokinetics; physical chemistry; protein interaction; quantitative structure activity relation; skin permeability; substitution reaction; toxicity testing; Trypanosoma cruzi; validation process</t>
  </si>
  <si>
    <t>cytochrome P450 3A4, 329736-03-0</t>
  </si>
  <si>
    <t>Universidad Pedagógica y Tecnológica de Colombia, UPTC: SGI2033, SGI2949, SGI3038, SGI3188</t>
  </si>
  <si>
    <t>Acknowledgments: The authors greatly acknowledge the financial support provided by the Uni-versidad Pedagógica y Tecnológica de Colombia (UPTC) and Ministerio de Ciencia, Tecnología e Innovación de Colombia (Minciencias). K.A.A.S. especially thanks the Ministerio de Ciencia, Tecnología e Innovación de Colombia (Minciencias) for awarding a Young Researcher Scholarship through call 891 of 2020. P.R.D. gives thanks to Ministerio de Ciencia, Tecnología e Innovacion Productiva de Argentina for the electronic library facilities. P.R.D. is a member of the scientific researcher career of CONICET.</t>
  </si>
  <si>
    <t>Funding: This research was funded by the Universidad Pedagógica y Tecnológica de Colombia (UPTC) through projects SGI2033, SGI2949, SGI3038, and SGI3188 of the Dirección de Investiga-ciones (DIN).</t>
  </si>
  <si>
    <t>Enfermedad de Chagas—OPS/OMS, , https://www.paho.org/es/temas/enfermedad-chagas, (accessed on 5 April 2022); Dos Santos Naujorks, A.A., Da Silva, A.O., Da Silva Lopez, R., De Albuquerque, S., Beatriz, A., Marquez, M.R., Pires De Lima, D., Novel naphthoquinone derivatives and evaluation of trypanocidal and leishmanicidal activities (2018) J. Mater. Chem. B, 6, pp. 1-3. , [CrossRef]; Alonso-Padilla, J., Rodríguez, A., High Throughput Screening for Anti–Trypanosoma cruzi Drug Discovery (2014) PLoS Negl. Trop. Dis, 8, p. e3259. , [CrossRef] [PubMed]; Coura, J.R., Present situation and new strategies for Chagas disease chemotherapy: A proposal (2009) Mem. Inst. Oswaldo Cruz, 104, pp. 549-554. , [CrossRef]; Schmunis, G.A., Yadon, Z.E., Chagas disease: A new worldwide challenge (2010) Acta Trop, 115, pp. 14-21. , [CrossRef] [PubMed]; Arias, D.G., Garay, A.S., Rodrigues, D., Forastieri, P.S., Luna, L.E., Bürgui, M.D.L.M., Prieta, C., Guerrero, S.A., Rational design of nitrofuran derivatives: Synthesis and valuation as inhibitors of Trypanosoma cruzi trypanothione reductase (2017) Eur. J. Med. Chem, 125, pp. 1088-1097. , [CrossRef] [PubMed]; Urbina, J.A., Ergosterol biosynthesis and drug development for Chagas disease (2009) Mem. Inst. Oswaldo Cruz, 104, pp. 311-318. , [CrossRef]; Valdez, R.H., Düsman Tonin, L.T., Ueda-Nakamura, T., Dias Filho, B.P., Monrgado-Diaz, J.A., Sarragitto, M.H., Vataru Nakamura, C., Biological activity of 1,2,3,4-tetrahydro-β-carboline-3-carboxamides against Trypanosoma cruzi (2009) Acta Trop, 110, pp. 7-14. , [CrossRef]; De Souza, E.M., Lansiaux, A., Bailly, C., Wilson, W.D., Hu, Q., Boykin, D.W., Batista, M.M., Soerio, M.N.C., Phenyl substitution of furamidine markedly potentiates its anti-parasitic activity against Trypanosoma cruzi and Leishmania amazonensis (2004) Biochem. Pharmacol, 68, pp. 593-600. , [CrossRef]; Rolim Neto, P.J., Luiz Gomes, C., Wanderley Sales, V.D.A., de Melo, C.G., Ferreira da Silva, R.M., Vicente Nishimura, R.H., Araújo, R., Beta-lapachone: Natural occurrence, physicochemical properties, biological activities, toxicity and synthesis (2021) Phytochemistry, 186, p. 112713. , [CrossRef]; Menna-Barreto, R.F.S., Henriques-Pons, A., Pinto, A.V., Morgado-Diaz, J.A., Soares, M.J., De Castro, S.L., Effect of a β-lapachonederived naphthoimidazole on Trypanosoma cruzi: Identification of target organelles (2005) J. Antimicrob. Chemother, 56, pp. 1034-1041. , [CrossRef]; Menna-Barreto, R.F.S., Corrêa, J.R., Pinto, A.V., Soares, M.J., De Castro, S.L., Mitochondrial disruption and DNA fragmentation in Trypanosoma cruzi induced by naphthoimidazoles synthesized from β-lapachone (2007) Parasitol. Res, 101, pp. 895-905. , [CrossRef] [PubMed]; Menna-Barreto, R.F.S., Correa, J.R., Cascabulho, C.M., Fernandes, M.C., Pinto, A.V., Soares, M.J., De Castro, S.L., Naphthoimidazoles promote different death phenotypes in Trypanosoma cruzi (2009) Parasitology, 136, pp. 499-510. , [CrossRef] [PubMed]; Silva, L.R., Souza Guimaraes, A., Do Nascimento, J., Do Santo Nascimento, I.J., Barbosa da Silva, E., McKerrow, J.H., Cardoso, S.H., da Silva-Júnior, E.F., Computer-aided design of 1,4-naphthoquinone-based inhibitors targeting cruzain and rhodesain cysteine proteases (2021) Bioorg. Med. Chem, 41, p. 116213. , [CrossRef] [PubMed]; Ramos, E.I., Garza, K.M., Krauth-Siegel, R.L., Bader, J., Martinez, L.E., Maldonado, R.A., 2,3-Diphenyl-1,4-Naphthoquinone: A potential chemotherapeutic agent against trypanosoma cruzi (2009) J. Parasitol, 95, pp. 461-466. , [CrossRef]; Becerra, N.A., Espinosa-Bustos, C., Vázquez, K., Rivera, G., Paulino, M., Cantero, J., Nogueda, B., Rodríguez, A.F.E., Expanding the chemical space of aryloxy-naphthoquinones as potential anti-Chagasic agents: Synthesis and trypanosomicidal activity (2021) Med. Chem. Res, 30, pp. 2256-2265. , [CrossRef]; Da Cunha-Júnior, E.F., Pacienza-Lima, W., Alves Ribeiro, G., Daher Netto, C., Do Canto-Cavalheiro, M.M., Monteiro da Silva, A.J., Ribeiro Costa, P.R., Torres-Santo, E.C., Effectiveness of the local or oral delivery of the novel naphthopterocarpanquinone LQB-118 against cutaneous leishmaniasis (2011) J. Antimicrob. Chemother, 66, pp. 1555-1559. , [CrossRef]; De Araújo, M.V., De Souza, P.S.O., De Queiroz, A.C., Da Matta, B., Brandao Leite, A., Da Silva, A.E., de Franca, J.A.A., Alexandre-Moreira, M.S., Synthesis, leishmanicidal activity and theoretical evaluations of a series of substituted bis-2-Hydroxy-1,4-Naphthoquinones (2014) Molecules, 19, pp. 15180-15195. , [CrossRef]; Guimarães, T.T., Pinto, M.C.F.R., Lanza, J.S., Melo, M.N., Do Monte-Neto, R.L., De Melo, I.M.M., Diogo, E.B.T., Valenca, W.O., Potent naphthoquinones against antimony-sensitive and-resistant Leishmania parasites: Synthesis of novel α-And nor-α-lapachone-based 1,2,3-triazoles by copper-catalyzed azide-alkyne cycloaddition (2013) Eur. J. Med. Chem, 63, pp. 523-530. , [CrossRef]; Teixeira, M.J., De Almeida, Y.M., Viana, J.R., Holanda Filha, J.G., Rodrigues, T.P., Prata, J.R., Coelho, I.C.B., Pompeu, M.M.L., In vitro and in vivo leishmanicidal activity of 2-hydroxy-3-(3-methyl-2-butenyl)-1,4-naphthoquinone (lapachol) (2001) Phytother. Res, 15, pp. 44-48. , [CrossRef]; Lima, N.M.F., Corraia, C.S., Leon, L.L., Machado, G.M.C., De Fátima Madeir, A.M., Santana, G.A.E., Goulart, M.O.F., Antileishmanial activity of lapachol analogues (2004) Mem. Inst. Oswaldo Cruz, 99, pp. 757-761. , [CrossRef]; Pandey, R.K., Kumbhar, B.V., Sundar, S., Kunwar, A., Prajapati, V.K., Structure-based virtual screening, molecular docking, ADMET and molecular simulations to develop benzoxaborole analogs as potential inhibitor against Leishmania donovani trypanothione reductase (2017) J. Recept. Signal Transduct, 37, pp. 60-70. , [CrossRef] [PubMed]; Kim, Y.S., Park, S.Y., Lee, H.J., Suh, M.E., Schollmeyer, D., Lee, C.O., Synthesis and cytotoxicity of 6,11-Dihydro-pyrido-and 6,11-Dihydro-benzo [2,3-b]phenazine-6,11-dione derivatives (2003) Bioorg. Med. Chem, 11, pp. 1709-1714. , [CrossRef]; Da Silva Júnior, E.N., Diogo, E.B.T., Dias, G.G., Rodrigues, B.L., Guimarães, T.T., Valenca, W.O., Camara, C.A., De Oliveira, R.A., Synthesis and anti-Trypanosoma cruzi activity of Naphthoquinone-containing Triazoles: Electrochemical studies on the effects of the quinoidal moiety (2013) Bioorg. Med. Chem, 21, pp. 6337-6348. , [CrossRef]; Bahia, S.B.B.B., Reis, W.J., Jardim, G.A.M., Souto, F.T., De Simone, C.A., Gatto, C.C., Menna-Barreto, R.F.S., Pessoa, C., Molecular hybridization as a powerful tool towards multitarget quinoidal systems: Synthesis, trypanocidal and antitumor activities of naphthoquinone-based 5-iodo-1,4-disubstituted-, 1,4-and 1,5-disubstituted-1,2,3-triazoles (2016) Med. Chem. Comm, 7, pp. 1555-1563. , [CrossRef]; Pinto, A.V., Pinto, C.N., Pinto, M.D.C.F.R., Rita, R.S., Pezzella, C.A.C., Trypanocidal Activity of Synthetic Heterocyclic Derivatives of Active Quinones from Tabebuia sp (1997) Arzneimittelforschung, 47, p. 21045. , [CrossRef]; Jardim, G.A.M., Silva, T.L., Goulart, M.O.F., De Simone, C.A., Barbosa, J.M.C., Salomão, K., De Castro, S.L., Da Silva Júnio, R.E.N., Rhodium-catalyzed C-H bond activation for the synthesis of quinonoid compounds: Significant Anti-Trypanosoma cruzi activities and electrochemical studies of functionalized quinones (2017) Eur. J. Med. Chem, 136, pp. 406-419. , [CrossRef]; Ferreira, S.B., Salomão, K., De Carvalho da Silva, F., Ventura Pinto, A., Kaiser, C.R., Pinto, A.C., Ferreira, V.F., De Castro, S.L., Synthesis and anti-Trypanosoma cruzi activity of β-lapachone analogues (2011) Eur. J. Med. Chem, 46, pp. 3071-3077. , [CrossRef]; Da Silva Júnior, E.N., De Mel, I.M.M., Diogo, E.B.T., Costa, V.A., De Souza Felho, J.D., Valencia, W.O., Camara, C.A., Emery, F.S., On the search for potential anti-Trypanosoma cruzi drugs: Synthesis and biological evaluation of 2-hydroxy-3-methylamino and 1, 2, 3-triazolic naphthoquinoidal compounds obtained by click chemistry reactions (2012) Eur. J. Med. Chem, 52, pp. 304-312. , [CrossRef]; Da Silva, E.N., Menna-Barreto, R.F.S., Pinto, M.C.F.R., Silva, R.S.F., Teixeira, D.V., De Souza, C.B.V., De Simone, C.A., Pinto, A.V., Naphthoquinoidal [1,2,3]-triazole, a new structural moiety active against Trypanosoma cruzi (2008) Eur. J. Med. Chem, 43, pp. 1774-1780. , [CrossRef]; Da Silva Júnior, E.N., De Souza, M.C., Fernandes, M.C., Menna-Barreto, R.F.S., Pinto, M.C.F.R., De Assis Lopes, F., de Simone, C.A., Ferreira, V.F., Synthesis and anti-Trypanosoma cruzi activity of derivatives from nor-lapachones and lapachones (2008) Bioorg. Med. Chem, 16, pp. 5030-5038. , [CrossRef]; Ryu, C.K., Kim, D.H., The antimicrobial activities of some 1,4-naphthalenediones (III) (1993) Arch. Pharmacal Res, 16, pp. 161-163. , [CrossRef]; Salomão, K., De Santana, N.A., Molina, M.T., De Castro, S.L., Menna-Barreto, R.F.S., Trypanosoma cruzi mitochondrial swelling and membrane potential collapse as primary evidence of the mode of action of naphthoquinone analogues (2013) BMC Microbiol, 13, p. 196. , [CrossRef] [PubMed]; Valderrama, J.A., Benites, J., Cortés, M., Pessoa-Mahana, H., Prina, E., Fournet, A., Studies on quinones. Part 38: Synthesis and leishmanicidal activity of sesquiterpene 1,4-quinones (2003) Bioorg. Med. Chem, 13, pp. 4713-4718. , [CrossRef] [PubMed]; Valderrama, J.A., Zamorano, C., González, M.F., Prina, E., Fournet, A., Studies on quinones. Part 39: Synthesis and leishmanicidal activity of acylchloroquinones and hydroquinones (2005) Bioorg. Med. Chem, 13, pp. 4153-4159. , [CrossRef]; Da Silva, A.J.M., Netto, C.D., Pacienza-Lima, W., Torres-Santo, E.C., Rosii-Bergmann, B., Maurel, S., Valentin, A., Costa, P.R.R., Antitumoral, Antileishmanial and Antimalarial Activity of Pentacyclic 1,4-Naphthoquinone Derivatives (2009) J. Braz. Chem. Soc, 20, pp. 176-182. , [CrossRef]; De Araújo, M.V., David, C.C., Netto, J.C., De Oliveira, L.A.P.L., Da Silva, K.C.J., Dos Santos, J.M., Da Silva, J.K.S., Camara, C.A., Evaluation on the leishmanicidal activity of 2-N,N′-dialkylamino-1,4-naphthoquinone derivatives (2017) Exp. Parasitol, 176, pp. 46-51. , [CrossRef]; Da Silva, P.R., De Oliveira, J.F., Da Silva, A.L., Marques Queiroz, C., de Lima, M.D.C.A., Sampaio Feitosa, A.P., Araújo Duarte, D.M., Alves Pereira, V.R., Novel indol-3-yl-thiosemicarbazone derivatives: Obtaining, evaluation of in vitro leishmanicidal activity and ultrastructural studies (2020) Chem.-Biol. Interact, 315, p. 108899. , [CrossRef]; Scarim, C.B., Jornada, D.H., Machado, M.G.M., Ferreira, C.M.R., Dos Santos, J.L., Chung, M.C., Thiazole, thio and semicarbazone derivatives against tropical infective diseases: Chagas disease, human African trypanosomiasis (HAT), leishmaniasis, and malaria (2019) Eur. J. Med. Chem, 162, pp. 378-395. , [CrossRef]; Pinto, E.G., Santo, I.O., Schmidt, T.J., Borborema, S.E.T., Ferreira, V.F., Rocha, D.R., Templone, A.G., Potential of 2-hydroxy-3-phenylsulfanylmethyl-[1,4]-naphthoquinones against Leishmania (L.) infantum: Biological activity and structure-activity relationships (2014) PLoS ONE, 9, p. e105127. , [CrossRef]; Tapia, R.A., Tapia, R.A., Prieto, Y., Pautet, M., Domard, M., Domard, M., Sarciron, M.E., Fillion, H., Synthesis and Antileishmanial Activity of Indoloquinones Containing a Fused Benzothiazole Ring (2002) Eur. J. Org. Chem, 2002, pp. 4005-4010. , [CrossRef]; Di Giorgio, C., Delmas, F., Filloux, N., Robin, M., Seferian, L., Azas, N., Gasquet, M., Galy, J.P., In vitro activities of 7-substituted 9-chloro and 9-amino-2-methoxyacridines and their bis-and tetra-acridine complexes against Leishmania infantum (2003) Antimicrob. Agents Chemother, 47, pp. 174-180. , [CrossRef] [PubMed]; Cunha Araújo, I.A., De Paula, R.C., Alves, C.L., Ferraz Faria, K., De Oliveira, M.M., Gonçalves Mendes, G., Ferreira Abdia Dias, E.M., Da Silva, S.M., Efficacy of lapachol on treatment of cutaneous and visceral leishmaniasis (2019) Exp. Parasitol, 199, pp. 67-73. , [CrossRef] [PubMed]; Dos Santos Faiões, V., Da Frota, L.C.R., Cunha-Junior, E.F., Barcellos, J.C.F., Da Silva, T., Netto, C.D., Gonçalves Da Silva, S.A., Torres-Santos, E.C., Second-generation pterocarpanquinones: Synthesis and antileishmanial activity (2018) J. Venom. Anim. Toxins Incl. Trop. Dis, 24, p. 35. , [CrossRef] [PubMed]; Jentzsch, J., Koto, W.S., Al Nasr, I.S., Schobert, R., Ersfeld, K., Biersack, B., New Antiparasitic Bis-Naphthoquinone Derivatives (2020) Chem. Biodivers, 17, p. e1900597. , [CrossRef]; Ramírez-Macías, I., Marín, C., Es-Samti, H., Fernandéz, A., Guardia, J.J., Zentar, H., Agil, a., Sánchez-Moreno, M., Taiwaniaquinoid and abietane quinone derivatives with trypanocidal activity against T. cruzi and Leishmania spp (2012) Parasitol. Int, 61, pp. 405-413. , [CrossRef]; Da Cruz, E.H.G., Hussene, C.M.B., Diasa, G.G., Diogo, E.B.T., De Melo, I.M.M., Rodrigues, B.L., Da Silva Júnior, E.N., Camara, C.A., 1,2,3-Triazole-, arylamino-and thio-substituted 1,4-naphthoquinones: Potent antitumor activity, electrochemical aspects, and bioisosteric replacement of C-ring-modified lapachones (2014) Bioorg. Med. Chem, 22, pp. 1608-1619. , [CrossRef]; Ramirez, O., Motta-Mena, L.B., Cordova, A., Garza, K.M., A small library of synthetic Di-substituted 1, 4-naphthoquinones induces ROS-mediated cell death in murine fibroblasts (2014) PLoS ONE, 9, p. e106828. , [CrossRef]; Liu, Z., Zhang, Z., Zhang, W., Yan, D., 2-Substituted-1-(2-morpholinoethyl)-1H-naphtho [2,3-d]imidazole-4,9-diones: Design, synthesis and antiproliferative activity (2018) Bioorg. Med. Chem. Lett, 28, pp. 2454-2458. , [CrossRef]; Baiju, T.V., Almeida, R.G., Sivanandam, S.T., De Simone, C.A., Brito, L.M., Cavalcanti, B.C., Pessoa, C., Da Silva Júnior, E.N., Quinonoid compounds via reactions of lawsone and 2-aminonaphthoquinone with α-bromonitroalkenes and nitroallylic acetates: Structural diversity by C-ring modification and cytotoxic evaluation against cancer cells (2018) Eur. J. Med. Chem, 151, pp. 686-704. , [CrossRef]; Da Silva Júnior, E.N., De Souza, M.C.B.V., Pinto, A.V., Pinto, C.C., Goulart, M.O.F., Barros, F.W.A., Pessoa, C., de Moraes, M.O., Synthesis and potent antitumor activity of new arylamino derivatives of nor-β-lapachone and nor-α-lapachone (2007) Bioorg. Med. Chem, 15, pp. 7035-7041. , [CrossRef]; Hoffmann, R., Minkin, V.I., Carpenter, B.K., Ockham’s Razor and chemistry (1997) Int. J. Philos. Chem, 3, pp. 3-28. , [CrossRef]; http://infochim.u-strasbg.fr/spip.php?rubrique41, (accessed on 29 August 2021); Wei Yap, C., PaDEL-Descriptor: An Open Source Software to Calculate Molecular Descriptors and Fingerprints (2010) J. Comput. Chem, 31, pp. 671-690. , [CrossRef]; Durant, J.L., Leland, B.A., Henry, D.R., Nourse, J.G., Reoptimization of MDL keys for use in drug discovery (2002) J. Chem. Inf. Model, 42, pp. 1273-1280. , [CrossRef] [PubMed]; Martiní, J.R.V., Ponce, Y.M., Jacas, C.R.G., Mayorga, K.M., QuBiLS—MAS, open source multi—platform software for atom-and bond-based topological descriptors computations (2017) J. Cheminform, 9, p. 35. , [CrossRef] [PubMed]; Ghose, A.K., Crippen, G.M., Atomic Physicochemical Parameters for Three-Dimensional-Structure-Directed Quantitative Structure-Activity Relationships. 2. Modeling Dispersive and Hydrophobic Interactions (1987) J. Chem. Inf. Comput. Sci, 27, pp. 21-35. , [CrossRef] [PubMed]; Klekota, J., Roth, F.P., Chemical substructures that enrich for biological activity (2008) Bioinformatics, 24, pp. 2518-2525. , [CrossRef]; Martínez, M.J., Ponzoni, I., Díaz, M.F., Vazquez, G.E., Soto, A.J., Visual analytics in cheminformatics: User—supervised descriptor selection for QSAR methods (2015) J. Cheminform, 7, p. 39. , [CrossRef]; Garro Martinez, J.C., Andrada, M.F., Vega-Hissi, E.G., Garibotto, F.M., Nogueras, M., Rodríguez, R., Cobo, J., Estrada, M.R., Dihydrofolate reductase inhibitors: A quantitative structure—activity relationship study using 2D-QSAR and 3D-QSAR methods (2016) Med. Chem. Res, 26, pp. 247-261. , [CrossRef]; Insubria QSAR PaDEL-Descriptor Model for Prediction of Endocrine Disruptors Chemicals (EDC) Estrogen Receptor (ER)-Binding Affinity, , http://padel.nus.edu.sg/software/padeldescriptor/index.html, (accessed on 5 October 2021); Samuelson, J., Why Metronidazole Is Active against both Bacteria and Parasites (1999) ASM, 43, pp. 1533-1541. , [CrossRef]; Cardoso-Silva, J., Papadatos, G., Papageorgiou, L.G., Tsoka, S., Optimal Piecewise Linear Regression Algorithm for QSAR Modelling (2019) Mol. Inform, 38, p. 1800028. , [CrossRef]; Thurston, B.A., Ferguson, A.L., Machine learning and molecular design of self-assembling-conjugated oligopeptides (2018) Mol. Simul, 44, pp. 930-945. , [CrossRef]; Ibrahum, Z.Y., Uzairu, A., Shallangwa, G., Abechi, S., Theoretical design of novel antimalarial agents against P. falciparum strain, Dd2 through the QSAR modeling of synthesized 2′-substituted triclosan derivatives (2020) Heliyon, 6, p. e05032. , [CrossRef] [PubMed]; García-Jacas, C.R., Barigye, S.J., Marrero-Ponce, Y., Acevedo-Martínez, L., Valdés-Martiní, J.R., Contreras-Torres, E., QuBiLS-MIDAS: A Parallel Free-Software for Molecular Descriptors Computation Based on Multilinear Algebraic Maps (2014) J. Comput. Chem, 35, pp. 1395-1409. , [CrossRef] [PubMed]; Ghose, A.K., Viswanadhan, V.N., Wendoloski, J.J., Prediction of Hydrophobic (Lipophilic) Properties of Small Organic Molecules Using Fragmental Methods: An Analysis of ALOGP and CLOGP Methods (1998) J. Phys. Chem, 5639, pp. 3762-3772. , [CrossRef]; Lanez, T., Ahmedi, R., AlogP calculation of octanol-water partition coefficient of ferrocene derivatives (2015) Int. J. Pharm.Tech. Res, 8, pp. 408-414. , [CrossRef]; Prasanna, S., Doerksen, R.J., Topological Polar Surface Area: A Useful Descriptor in 2D-QSAR (2009) Curr. Med. Chem, 16, pp. 21-41. , [CrossRef]; (2007) Guidance Document on the Validation of (Quantitative)Structure-Activity Relationships [(Q)SAR] Models, , OECD: Paris, France; Ciubotariu, D., Medeleanu, M., Vlaia, V., Olariu, T., Ciubotariu, C., Dragos, D., Corina, S., Molecular van der Waals Space and Topological Indices from the Distance Matrix (2004) Molecules, 9, pp. 1053-1078. , [CrossRef]; Andrew, G., Pablo, R., (2016) Chemometrics Applocations and Research QSAR in Medicinal Chemistry, pp. 366-381. , 1st ed.; Appe Academic Press: Burlington, ON, Canada; Cambridge, MA, USA; Fernandes, J., Gattass, C.R., Topological polar surface area defines substrate transport by multidrug resistance associated protein 1 (MRP1/ABCC1) (2009) J. Med. Chem, 52, pp. 1214-1218. , [CrossRef]; Gozalbes, R., Doucet, J.P., Derouin, F., Application of Topological Descriptors in QSAR and Drug Design: History and New Trends (2002) Curr. Drug Targets Infect. Disord, 2, pp. 93-102. , [CrossRef]; Tandon, H., Ranjan, P., Chakraborty, T., Suhag, V., Polarizability: A promising descriptor to study chemical–biological interactions (2021) Mol. Divers, 25, pp. 249-262. , [CrossRef]; Putz, M.V., Ionaşcu, C., Putz, A.M., Ostafe, V., Alert-QSAR. Implications for electrophilic theory of chemical carcinogenesis (2011) Int. J. Mol. Sci, 12, pp. 5098-5134. , [CrossRef] [PubMed]; Bhal, S.K., Kassam, K., Peirson, I.G., Pearl, G.M., The rule of five revisited: Applying log D in place of log P in drug-likeness filters (2007) Mol. Pharm, 4, pp. 556-560. , [CrossRef] [PubMed]; Golbraikh, A., Tropsha, A., Beware of q 2! (2002) J. Mol. Graph. Model, 20, pp. 269-276. , [CrossRef]; Nossa, D.L., Rozo Núñez, W.E., Gómez Castaño, J.A., Duchowicz, P.R., Antiprotozoal QSAR modelling for trypanosomiasis (Chagas disease) based on thiosemicarbazone and thiazole derivatives (2021) J. Mol. Graph. Model, 103, p. 107821. , [CrossRef] [PubMed]; Roy, K., On some aspects of validation of predictive quantitative structure—Activity relationship models (2007) Drug Discov, 2, pp. 1567-1578. , [CrossRef] [PubMed]; López López, L.I., Nery Flores, S.D., Silva Belmares, S.Y., Sáenz Galindo, A., Naphthoquinones: Biological properties and synthesis of lawsone and derivatives—A structured review (2014) Vitae, 21, pp. 248-258; Rodrigues Coura, J., De Castro, S.L., A critical review on chagas disease chemotherapy (2002) Mem. Inst. Oswaldo Cruz, 97, pp. 3-24. , [CrossRef]; Silva, R.S.F., De Amorim, M.B.C., Pinto, F.R., Emery, F.S., Goulart, M.O.F., Pinto, A.V., Chemoselective Oxidation of Benzophenazines by m-CPBA: N-Oxidation vs. Oxidative Cleavage (2007) J. Braz. Chem. Soc, 18, pp. 759-764. , [CrossRef]; Pacheco, P.A.F., Galvão, R.M.S., Faria, A.F.M., Von Ranke, N.I., Rangel, M.S., Ribeiro, T.M., Bello, M.I., Da Rocha, D.R., 8-Hydroxy-2-(1H-1,2,3-triazol-1-yl)-1,4-naphtoquinone derivatives inhibited P2X7 Receptor-Induced dye uptake into murine Macrophages (2019) Bioorg. Med. Chem, 27, pp. 1449-1455. , [CrossRef]; Chacón-Vargas, K.F., Nogueda-Torres, B., Sánchez-Torres, L.E., Suarez-Contreras, E., Villalobos-Rocha, J.C., Torres-Martinez, Y., Lara-Ramirez, E.E., Bolognesi, M.L., Trypanocidal activity of quinoxaline 1,4 Di-N-oxide derivatives as trypanothione reductase inhibitors (2017) Molecules, 22, p. 220. , [CrossRef]; Bond, C.S., Zhang, Y., Berriman, M., Cunningham, M.L., Fairlamb, A.H., Hunter, W.N., Crystal structure of Trypanosoma cruzi trypanothione reductase in complex with trypanothione, and the structure-based discovery of new natural product inhibitors (1999) Structure, 7, pp. 81-89. , [CrossRef]; Chen, C.K., Leung, S.F., Guilbert, C., Jacobson, M.P., Mckerrow, J.H., Podust, L.M., Structural characterization of CYP51 from Trypanosoma cruzi and Trypanosoma brucei bound to the antifungal drugs posaconazole and fluconazole (2010) PLoS Negl. Trop. Dis, 4, p. e651. , [CrossRef] [PubMed]; Cardoso, M.F.C., Forezi, L.S.M., De Souza, A.S., Faria, A.F.M., Galvão, R.M.S., Bello, M.L., Da Silva, F.C., Ferreira, V.F., Tandem Synthesis of Furanaphthoquinones via Enamines and Evaluation of Their Antiparasitic Effects against Trypanosoma cruzi (2022) J. Braz. Chem. Soc, 33, pp. 238-250. , [CrossRef]; Inacio Filho, J.D., (2018) Estudo do Efeito da EGCG In Vitro e In Vivo, Suas Associações e Mecanismo Molecular de Ação em Leishmania Infantum, , Ph.D. Thesis, Fundação Oswaldo Cruz, Rios de Janeiro, Brazil; Reynolds, K.A., (2012) Design and Synthesis of Quinoline, Cinchona Alkaloids and Other Potential Inhibitors or Leishmaniasis, , Ph.D. Thesis, Griffith University, Brisbane, Australia; Braga, S.S., Multi-target drugs active against leishmaniasis: A paradigm of drug repurposing (2019) Eur. J. Med. Chem, 183, p. 111660. , [CrossRef] [PubMed]; Ilari, A., Baiocco, P., Messori, L., Fiorillo, A., Boffi, A., Gramiccia, M., Di Muccio, T., Colotti, G., A gold-containing drug against parasitic polyamine metabolism:The X-ray structure of trypanothione reductase from Leishmania infantum in complex with auranofin reveals a dual mechanism of enzyme inhibition (2012) Amino Acids, 42, pp. 803-811. , [CrossRef]; Venkatesan, S.K., Shukla, A.K., Dubey, V.K., Molecular Docking Studies of Selected Tricyclic and Quinone Derivatives on Trypanothione Reductase of Leishmania infantum (2010) J. Comp. Chem, 32, pp. 174-182. , [CrossRef]; Manjolin, L.C., Dos Reis, M.B.G., Do Carmo Maquiaveli, C., Santos-Filho, O.A., Da Silva, E.R., Dietary flavonoids fisetin, luteolin and their derived compounds inhibit arginase, a central enzyme in Leishmania (Leishmania) amazonensis infection (2013) Food Chem, 141, pp. 2253-2262. , [CrossRef]; De Lima, E.C., Castelo-Branco, F.S., Maquiaveli, C.C., Farias, A.B., Rennó, M.N., Boechat, N., Silva, E.R., Phenylhydrazides as inhibitors of Leishmania amazonensis arginase and antileishmanial activity (2019) Bioorg. Med. Chem, 27, pp. 3853-3859. , [CrossRef]; Kanyo, Z.F., Scolnick, L.R., Ash, D.E., Christianson, D.W., Structure of unique binuclear manganese cluster in arginase (1996) Lett. Nat, 383, pp. 554-557. , [CrossRef]; Estrada, E., Molina, E., Novel local (fragment-based) topological molecular descriptors for QSPR / QSAR and molecular design (2001) J. Mol. Graph. Model, 20, pp. 54-64. , [CrossRef]; Daina, A., Michielin, O., Zoete, V., SwissADME: A free web tool to evaluate pharmacokinetics, drug-likeness and medicinal chemistry friendliness of small molecules (2017) Sci. Rep, 7, p. 42717. , [CrossRef] [PubMed]; Zafar, F., Gupta, A., Thangavel, K., Khayana, K., Sani, A.A., Ghosal, A., Tandon, P., Nishat, N., Physicochemical and Pharmacokinetic Analysis of Anacardic Acid Derivatives (2020) ACS Omega, 5, pp. 6021-6030. , [CrossRef] [PubMed]; Bhal, S.K., (2007) Advanced Chemistry Development (ACD/LABS). Log P—Making Sense of the Value, , Advanced Chemistry Development: Toronto, ON, Canada; Lipinski, C.A., Lombardo, F., Dominy, B.W., Feeney, P.J., Experimental and computational approaches to estimate solubility and permeability in drug discovery and development settings (2012) Adv. Drug Deliv. Rev, 64, pp. 4-17. , [CrossRef]; Mahanthesh, M.T., Ranjith, D., Raghavendra, Y., Jyothi, R., Narappa, G., Ravi, M.V., Swiss ADME prediction of phytochemicals present in Butea monosperma (Lam.) Taub (2020) J. Pharmacogn. Phytochem, 9, pp. 1799-1809; Delaney, J.S., ESOL: Estimating aqueous solubility directly from molecular structure (2004) J. Chem. Inf. Comput. Sci, 44, pp. 1000-1005. , [CrossRef]; Ali, P., Camilleri, P., Brown, M.B., Hutt, A.J., Kirton, S.B., Revisiting the general solubility equation: In silico prediction of aqueous solubility incorporating the effect of topographical polar surface area (2012) J. Chem. Inf. Model, 52, pp. 420-428. , [CrossRef]; Löbenberg, R., Amidon, G.L., Ferraz, H.G., Bou-Chacra, N., Mechanism of gastrointestinal drug absorption and application in therapeutic drug delivery (2013) Therapeutic Delivery Methods: A Concise Overview of Emerging Areas, pp. 8-22. , Future Science Ltd.: London, UK, [CrossRef]; Osorio, E.J., Robledo, S.M., Arango, G.J., Muskus, C.E., Leishmania: Papel de la glicoproteína P en la mediación de resistencia a medicamentos y estrategias de reversión (2005) Biomédica, 25, p. 242. , [CrossRef]; Finch, A., Pillans, P., P-glycoprotein and its role in drug-drug interactions (2014) Aust. Prescr, 37, pp. 137-139. , [CrossRef]; Daina, A., Zoete, V., A BOILED-Egg To Predict Gastrointestinal Absorption and Brain Penetration of Small Molecules (2016) Chem. Pub. Soc. Eur, 11, pp. 1117-1121. , [CrossRef]; Potts, R.O., Guy, R.H., Predicting Skin Permeability (1992) Pharm. Res, 9, pp. 663-669. , [CrossRef]; Ranjith, D., Ravikumar, C., SwissADME predictions of pharmacokinetics and drug-likeness properties of small molecules present in Ipomoea mauritiana Jacq (2019) J. Pharmacogn. Phytochem, 8, pp. 2063-2073. , http://www.swissadme.ch/index.php, (accessed on 30 April 2022); Jaimes-Santoyo, J., De Montesinos-Sampedro, A., Barbosa-Cobos, R.E., Moreno-Mutio, S.G., Rodriguez-Ballesteros, D., Ramos-Cervantes, T., Ocharán-Hernández, M.E., Beltrán-Ramírez, O., El Citocromo P-450 (2014) Rev. Hosp. Juárez Mex, 81, pp. 250-256; Deodhar, M., Al Rihani, S.B., Arwood, M.J., Drakjian, L., Dow, P., Turgeon, J., Michaud, V., Mechanisms of cyp450 inhibition: Understanding drug-drug interactions due to mechanism-based inhibition in clinical practice (2020) Pharmaceutics, 12, p. 846. , [CrossRef] [PubMed]; Ogu, C.C., Maxa, J.L., Drug Interactions Due to Cytochrome P450 (2017) Bayl. Univ. Med. Cent, 8280, pp. 11-14. , [CrossRef]; Ghose, A.K., Viswanadhan, V.N., Wendoloski, J.J., A Knowledge-Based Approach in Designing Combinatorial or Medicinal Chemistry Libraries for Drug Discovery. 1. A Qualitative and Quantitative Characterization of Known Drug Databases (1999) J. Comb. Chem, 1, pp. 55-68. , [CrossRef]; Veber, D.F., Johnson, S.R., Cheng, H.J., Smith, B.R., Ward, K.W., Kopple, K.D., Molecular Properties That Influence the Oral Bioavailability of Drug Candidates (2002) J. Med. Chem, 45, pp. 2615-2623. , [CrossRef]; Egan, W.J., Merz, K.M., Baldwin, J.J., Prediction of Drug Absorption Using Multivariate Statistics (2000) J. Med. Chem, 43, pp. 3867-3877. , [CrossRef]; Muegge, I., Heald, S.L., Brittelli, D., Simple Selection Criteria for Drug-like Chemical Matter (2001) J. Med. Chem, 44, pp. 1841-1846. , [CrossRef]; Martin, Y.C., A Bioavailability Score (2005) J. Med. Chem, 48, pp. 3164-3170. , [CrossRef]; (2021), www.acdlabs.com, Versión 2021.1.3; Advanced Chemistry Development, Inc.: Toronto, ON, Canada, (accessed on 30 April 2022); https://www.fda.gov/science-research/bioinformatics-tools/mold2, (accessed on 29 August 2021); (2013), http://infochim.u-strasbg.fr/, (accessed on 30 April 2022); Mercader, A.G., Duchowicz, P., Ferna, F., Replacement Method and Enhanced Replacement Method Versus the Genetic Algorithm Approach for the Selection of Molecular Descriptors in QSPR/QSAR Theories (2010) J. Chem. Inf. Model, 50, pp. 1542-1548. , [CrossRef]; (2016), https://nl.mathworks.com/products/matlab.html%0Ahttp://www.mathworks.com/products/matlab/, (accessed on 29 August 2021); Gramatica, P., Principles of QSAR models validation: Internal and external (2007) QSAR Comb. Sci, 26, pp. 694-701. , [CrossRef]; Veerasamy, R., Rajak, H., Jain, A., Sivadasan, S., Varghese, C.P., Agrawal, R.K., Validation of QSAR Models—Strategies and Importance (2011) Int. J. Drug Des. Discov, 2, pp. 511-519; Singh, B.K., Sarkar, N., Jagannadham, M.V., Dubey, V.K., Modeled structure of trypanothione reductase of Leishmania infantum (2008) BMB Rep, 41, pp. 444-447. , [CrossRef] [PubMed]; Baiocco, P., Colotti, G., Franceschini, S., Ilari, A., Molecular Basis of Antimony Treatment in Leishmaniasis (2009) J. Med. Chem, 52, pp. 2603-2612. , [CrossRef]; Antonio, E.L.D., Ullman, B., Roberts, S.C., Dixit, U.P., Wilson, M.E., Hai, Y., Christianson, D.W., Crystal structure of arginase from Leishmania mexicana and implications for the inhibition of polyamine biosynthesis in parasitic infections (2013) Arch. Biochem. Biophys, 535, pp. 163-176. , [CrossRef]; Moreno, M.A., Abramov, A., Abendroth, J., Alonso, A., Zhang, S., Alcolea, P.J., Edwards, T., Larraga, V., Structure of tyrosine aminotransferase from Leishmania infantum (2014) Acta Crystallogr, 70, pp. 583-587. , [CrossRef]; (2019) Molegro Virtual Docker-Manual, , http://molexus.io/molegro-virtual-docker/, Copyrigh, M. (accessed on 30 April 2022); Filgueira De Azevedo, W., (2019) Docking Screens for Drug Discovery, , Humana Press: Ria Grande Do Sul, Brazil; Frisch, J.P.M.J., Trucks, G.W., Schlegel, H.B., Scuseria, G.E., Robb, M.A., Cheeseman, J.R., Zakrzewski, V.G., Burant, J.C., (1998) Gaussian 98, Revision A. 7, p. 49. , Gaussian Inc.: Pittsburgh, PA, USA; Thomsen, R., Christensen, M.H., MolDock: A New Technique for High-Accuracy Molecular Docking (2006) J. Med. Chem, 49, pp. 3315-3321. , [CrossRef]; De Azevedo, W.F., MolDock Applied to Structure-Based Virtual Screening (2010) Curr. Drug Targets, 11, pp. 327-334. , [CrossRef]; Da Cunha, E.F.F., Azevedo Martins, R.C., Girão Albuquerque, M., de Alencastro, R.B., LIV-3D-QSAR model for estrogen receptor ligands (2004) J. Mol. Model, 10, pp. 297-304. , [CrossRef]</t>
  </si>
  <si>
    <t>Gómez Castaño, J.A.; Grupo Química-Física Molecular y Modelamiento Computacional (QUIMOL), Avenida Central del Norte, Colombia; email: jovanny.gomez@uptc.edu.co</t>
  </si>
  <si>
    <t>2-s2.0-85132270885</t>
  </si>
  <si>
    <t>Calle-Siguencia J., Callejas-Cuervo M., García-Reino S.</t>
  </si>
  <si>
    <t>57205527932;57189839504;57743951900;</t>
  </si>
  <si>
    <t>https://www.scopus.com/inward/record.uri?eid=2-s2.0-85132073463&amp;doi=10.3390%2fs22124559&amp;partnerID=40&amp;md5=f4e320491cad26d7a68ad222f907bbbb</t>
  </si>
  <si>
    <t>GIIB Research Department, Universidad Politécnica Salesiana, Cuenca, 010102, Ecuador; Software Research Group, Engineering Department, Universidad Pedagógica y Tecnológica de Colombia, Tunja, 150003, Colombia</t>
  </si>
  <si>
    <t>Calle-Siguencia, J., GIIB Research Department, Universidad Politécnica Salesiana, Cuenca, 010102, Ecuador; Callejas-Cuervo, M., Software Research Group, Engineering Department, Universidad Pedagógica y Tecnológica de Colombia, Tunja, 150003, Colombia; García-Reino, S., GIIB Research Department, Universidad Politécnica Salesiana, Cuenca, 010102, Ecuador</t>
  </si>
  <si>
    <t>Motion assistance exoskeletons are designed to support the joint movement of people who perform repetitive tasks that cause damage to their health. To guarantee motion accompaniment, the integration between sensors and actuators should ensure a near-zero delay between the signal acquisition and the actuator response. This study presents the integration of a platform based on Imocap-GIS inertial sensors, with a motion assistance exoskeleton that generates joint movement by means of Maxon motors and Harmonic drive reducers, where a near zero-lag is required for the gait accompaniment to be correct. The Imocap-GIS sensors acquire positional data from the user’s lower limbs and send the information through the UDP protocol to the CompactRio system, which con-stitutes a high-performance controller. These data are processed by the card and subsequently a control signal is sent to the motors that move the exoskeleton joints. Simulations of the proposed controller performance were conducted. The experimental results show that the motion accompaniment exhibits a delay of between 20 and 30 ms, and consequently, it may be stated that the integration between the exoskeleton and the sensors achieves a high efficiency. In this work, the integration between inertial sensors and an exoskeleton prototype has been proposed, where it is evi-dent that the integration met the initial objective. In addition, the integration between the exoskele-ton and IMOCAP is among the highest efficiency ranges of similar systems that are currently being developed, and the response lag that was obtained could be improved by means of the incorpora-tion of complementary systems. © 2022 by the authors. Licensee MDPI, Basel, Switzerland.</t>
  </si>
  <si>
    <t>actuators; exoskeleton; Imocap-GIS; inertial sensors; lower limb; motion cycle; UDP protocol</t>
  </si>
  <si>
    <t>Digital storage; Efficiency; Exoskeleton (Robotics); Inertial navigation systems; Integration; Joints (anatomy); Signal processing; Exoskeleton; Higher efficiency; Imocap-GIS; Inertial sensor; Joint movement; Lower limb; Motion cycle; Movement of peoples; Robotic exoskeletons; UDP protocol; Actuators; biomechanics; exoskeleton (rehabilitation); gait; human; lower limb; movement (physiology); physiology; Biomechanical Phenomena; Exoskeleton Device; Gait; Humans; Lower Extremity; Movement</t>
  </si>
  <si>
    <t>Universidad Pedagógica y Tecnológica de Colombia, UPTC: SGI 3303</t>
  </si>
  <si>
    <t>Funding: This study was funded by the Universidad Politécnica Salesiana de Ecuador and Universidad Pedagógica y Tecnológica de Colombia, and the APC was funded by the Universidad Pedagógica y Tecnológica de Colombia (project number SGI 3303).</t>
  </si>
  <si>
    <t>Antwi-Afari, M.F., Li, H., Edwards, D.J., Pärn, E.A., Seo, J., Wong, A.Y.L., Biomechanical analysis of risk factors for work-related musculoskeletal disorders during repetitive lifting task in construction workers (2017) Autom. Constr, 83, pp. 41-47. , https://doi.org/10.1016/j.autcon.2017.07.007; Ma, Y., Wu, X., Yang, S.X., Dang, C., Liu, D.-X., Wang, C., Wang, C., Chen, C., Online Gait Planning of Lower-Limb Exoskeleton Robot for Paraplegic Rehabilitation Considering Weight Transfer Process (2021) IEEE Trans. Autom. Sci. Eng, 18, pp. 414-425. , https://doi.org/10.1109/TASE.2020.2964807; Sun, Y., Tang, Y., Zheng, J., Dong, D., Chen, X., Bai, L., From sensing to control of lower limb exoskeleton: A systematic review (2022) Annu. Rev. Control, 53, pp. 83-96. , https://doi.org/10.1016/j.arcontrol.2022.04.003; MJuszczak, M., Gallo, E., Bushnik, T., Examining the Effects of a Powered Exoskeleton on Quality of Life and Secondary Impairments in People Living with Spinal Cord Injury (2018) Top. Spinal Cord Inj. Rehabil, 24, pp. 336-342. , https://doi.org/10.1310/sci17-00055; Fournier, B.N., Lemaire, E.D., Smith, A.J.J., Doumit, M., Modeling and Simulation of a Lower Extremity Powered Exoskeleton (2018) IEEE Trans. Neural Syst. Rehabil. Eng, 26, pp. 1596-1603. , https://doi.org/10.1109/TNSRE.2018.2854605; Plaza, A., Hernandez, M., Puyuelo, G., Garces, E., Garcia, E., Lower-limb medical and rehabilitation exoskeletons: A review of the current designs (2021) IEEE Rev. Biomed. Eng, pp. 1-14. , https://doi.org/10.1109/RBME.2021.3078001; Sczesny-Kaiser, M., Kowalewski, R., Schildhauer, T., Aach, M., Jansen, O., Grasmücke, D., Güttsches, A.-K., Tegenthoff, M., Treadmill Training with HAL Exoskeleton—A Novel Approach for Symptomatic Therapy in Patients with Limb-Girdle Muscular Dystrophy—Preliminary Study (2017) Front. Neurosci, 11, p. 449. , https://doi.org/10.3389/fnins.2017.00449; Sanjaya, K.H., Kusumandari, D.E., Ristiana, R., Ambadar, Z., Utama, D.H., Shafira, N.S.Z., Design of Lower Limb Exoskeleton for Stroke Patients Gait Rehabilitation Proceedings of the 2021 International Conference on Radar, Antenna, Microwave, Electronics, and Telecommunications (ICRAMET), pp. 264-269. , https://doi.org/10.1109/ICRAMET53537.2021.9650455, Bandung, Indonesia, 23–24 November 2021; Feican, C., Saquicela, C., Calle-Siguencia, J., Kinematic validation of a lower limb exoeskeleton using computer simulation (2020) 2020 IEEE ANDESCON, pp. 9-13. , https://doi.org/10.1109/ANDESCON50619.2020.9272118, Quito, Ecuador, 13–16 October; Liu, D.-X., Xu, J., Chen, C., Long, X., Tao, D., Wu, X., Vision-Assisted Autonomous Lower-Limb Exoskeleton Robot (2021) IEEE Trans. Syst. Man Cybern. Syst, 51, pp. 3759-3770. , https://doi.org/10.1109/TSMC.2019.2932892; Kilicarslan, A., Prasad, S., Grossman, R.G., Contreras-Vidal, J.L., High accuracy decoding of user intentions using EEG to control a lower-body exoskeleton (2013) Proceedings of the Annual International Conference of the IEEE Engineering in Medicine and Biology Society, pp. 5606-5609. , https://doi.org/10.1109/EMBC.2013.6610821, EMBS, Osaka, Japan, 3–7 July; Hasan, S.M.S., Siddiquee, M.R., Atri, R., Ramon, R., Marquez, J.S., Bai, O., Prediction of gait intention from pre-movement EEG signals: A feasibility study (2020) J. Neuroeng. Rehabil, 17, pp. 1-16. , https://doi.org/10.1186/s12984-020-00675-5; Harandi, V.J., Ackland, D.C., Haddara, R., Lizama, L.E.C., Graf, M., Galea, M.P., Lee, P.V.S., Gait compensatory mechanisms in unilateral transfemoral amputees (2020) Med. Eng. Phys, 77, pp. 95-106. , https://doi.org/10.1016/j.medengphy.2019.11.006; Gui, K., Liu, H., Zhang, D., A Practical and Adaptive Method to Achieve EMG-Based Torque Estimation for a Robotic Exoskeleton (2019) IEEE/ASME Trans. Mechatron, 24, pp. 483-494. , https://doi.org/10.1109/TMECH.2019.2893055; Signal Contributions in Speed and Slope Estimation Using Robotic Exoskeletons (2019) Proceedings of the IEEE Robotics and Automation Electromyography (EMG), pp. 548-553. , Toronto, ON, Canada, 24–28 June; Głowiński, S., Ptak, M., A kinematic model of a humanoid lower limb exoskeleton with pneumatic actuators (2022) Acta Bioeng. Biomech, 24, p. 2022. , https://doi.org/10.37190/ABB-01991-2021-05; Vargas-Valencia, L.S., Elias, A., Rocon, E., Bastos-Filho, T., Frizera, A., An IMU-to-Body Alignment Method Applied to Human Gait Analysis (2016) Sensors, 16, p. 2090. , https://doi.org/10.3390/s16122090; Perry-Rana, S.R., Housh, T.J., Johnson, G.O., Bull, A.J., Ms, J.M.B., Cramer, J., MMG and EMG responses during fatiguing isokinetic muscle contractions at different velocities (2002) Muscle Nerve, 26, pp. 367-373. , https://doi.org/10.1002/mus.10214; Villa-Parra, A.C., Delisle-Rodriguez, D., Lima, J.S., Frizera-Neto, A., Bastos, T., Knee Impedance Modulation to Control an Active Orthosis Using Insole Sensors (2017) Sensors, 17, p. 2751. , https://doi.org/10.3390/s17122751; Kolaghassi, R., Al-Hares, M.K., Sirlantzis, K., Systematic Review of Intelligent Algorithms in Gait Analysis and Prediction for Lower Limb Robotic Systems (2021) IEEE Access, 9, pp. 113788-113812. , https://doi.org/10.1109/ACCESS.2021.3104464; Callejas-Cuervo, M., Gutierrez, R.M., Hernandez, A.I., Joint amplitude MEMS based measurement platform for low cost and high accessibility telerehabilitation: Elbow case study (2017) J. Bodyw. Mov. Ther, 21, pp. 574-581. , https://doi.org/10.1016/j.jbmt.2016.08.016; Fukuchi, R., Fukuchi, C., Duarte, M., A public dataset of running biomechanics and the effects of running speed on lower extremity kinematics and kinetics (2017) PeerJ, 5, p. e3298. , https://doi.org/10.7717/peerj.3298; Winter, D.A., Chapter 9: Kinesiological Electromyography (2005) Biomechanics and Motor Control of Human Movement, , https://doi.org/10.1002/9780470549148, 3rd ed.; Winter, D.A., Ed.; John Wiley &amp; Sons, Inc.: Hoboken, NJ, USA; Callejas-Cuervo, M., Vélez-Guerrero, M.A., Holguín, W.J.P., Arquitectura de un sistema de medición de bioparámetros integrando señales inerciales-magnéticas y electromiográficas (2018) Rev. Politécnica, 14, pp. 93-102. , https://doi.org/10.33571/rpolitec.v14n27a9; Callejas-Cuervo, M., Vélez-Guerrero, M.A., Alarcón-Aldana, A.C., Characterization of Wireless Data Transmission over Wi-Fi in a Biomechanical Information Processing System (2020) Rev. Fac. Ing, 29, p. e10228. , https://doi.org/10.19053/01211129.v29.n54.2020.10228; Camargo-Vargas, D., Callejas-Cuervo, M., Mazzoleni, S., Brain-Computer Interfaces Systems for Upper and Lower Limb Rehabilitation: A Systematic Review (2021) Sensors, 21, p. 4312. , https://doi.org/10.3390/s21134312; JRecio, S., Sanchez-Arriaga, G., Mecánica Analítica: Lagrangiana, Hamiltoniana Y Sistemas Dinámicos. Passive Electrodynamic Propulsion for End-of-Life Deorbiting (2019), https://www.researchgate.net/publication/333972497, View Project Simulation and Flight Testing of Power Kites Applied to Wind Energy Generation View Project. (accessed on 2 June 2022); Liu, D.-X., Wu, X., Du, W., Wang, C., Xu, T., Gait Phase Recognition for Lower-Limb Exoskeleton with Only Joint Angular Sensors (2016) Sensors, 16, p. 1579. , https://doi.org/10.3390/s16101579; Yi, C., Zhang, S., Jiang, F., Liu, J., Ding, Z., Yang, C., Zhou, H., Enable Fully Customized Assistance: A Novel IMU-based Motor Intent Decoding Scheme (2021) IEEE Trans. Cogn. Dev. Syst, pp. 1-1; Patzer, I., Asfour, T., Minimal Sensor Setup in Lower Limb Exoskeletons for Motion Classification based on Multi-Modal Sensor Data (2019) Proceedings of the IEEE International Conference on Intelligent Robots ands Systems, pp. 8164-8170. , https://doi.org/10.1109/IROS40897.2019.8968007, Macau, China, 3–8 November; Kim, J.-H., Han, J.W., Kim, D.Y., Baek, Y.S., Design of a Walking Assistance Lower Limb Exoskeleton for Paraplegic Patients and Hardware Validation Using CoP (2013) Int. J. Adv. Robot. Syst, 10, p. 113. , https://doi.org/10.5772/55336</t>
  </si>
  <si>
    <t>Callejas-Cuervo, M.; Software Research Group, Colombia; email: mauro.callejas@uptc.edu.co</t>
  </si>
  <si>
    <t>2-s2.0-85132073463</t>
  </si>
  <si>
    <t>Alarcón-Granados M.C., Moreno-Ortíz H., Esteban-Pérez C.I., Ferrebuz-Cardozo A., Camargo-Villalba G.E., Forero-Castro M.</t>
  </si>
  <si>
    <t>https://www.scopus.com/inward/record.uri?eid=2-s2.0-85131726359&amp;doi=10.1016%2fj.heliyon.2022.e09673&amp;partnerID=40&amp;md5=59a209e79760656edb1820c9d40a6198</t>
  </si>
  <si>
    <t>Facultad de Ciencias. Grupo de Investigación en Ciencias Biomédicas (GICBUPTC). Universidad Pedagógica y Tecnológica de Colombia, Tunja, 150003, Colombia; Departamento Biogenética Reproductiva. In Vitro Colombia. Bogotá, Colombia; Programa de Medicina. Facultad de Ciencias de La Salud. Universidad de Boyacá, Tunja, Colombia</t>
  </si>
  <si>
    <t>Alarcón-Granados, M.C., Facultad de Ciencias. Grupo de Investigación en Ciencias Biomédicas (GICBUPTC). Universidad Pedagógica y Tecnológica de Colombia, Tunja, 150003, Colombia; Moreno-Ortíz, H., Departamento Biogenética Reproductiva. In Vitro Colombia. Bogotá, Colombia; Esteban-Pérez, C.I., Departamento Biogenética Reproductiva. In Vitro Colombia. Bogotá, Colombia; Ferrebuz-Cardozo, A., Programa de Medicina. Facultad de Ciencias de La Salud. Universidad de Boyacá, Tunja, Colombia; Camargo-Villalba, G.E., Programa de Medicina. Facultad de Ciencias de La Salud. Universidad de Boyacá, Tunja, Colombia; Forero-Castro, M., Facultad de Ciencias. Grupo de Investigación en Ciencias Biomédicas (GICBUPTC). Universidad Pedagógica y Tecnológica de Colombia, Tunja, 150003, Colombia</t>
  </si>
  <si>
    <t>Polycystic ovary syndrome (PCOS) is a multifactorial and polygenic endocrine-metabolic disorder in women of reproductive age. SNPs in the THADA gene have been identified as PCOS risk loci. In this study, we evaluated the frequency of five polymorphisms in a sample of Colombian women with PCOS, and their association with clinical and endocrine-metabolic parameters. Forty-nine women with PCOS and forty-nine healthy women were included. Allelic discrimination was performed in the THADA gene by iPLEX and the MassARRAY system (Agena Bioscience). Haploview software was conducted to analyze the linkage disequilibrium (LD) and haplotypes of polymorphisms. There was an association between the genotypes TT of rs12468394, CC + AA of rs12468394, and GG of rs6544661 and an increase in the levels of free testosterone. The CC + AA of rs12468394 genotype also was associated with an increase of androstenedione levels. THADA gene SNPs were not associated with PCOS risk. There was very strong LD among the SNPs. No significant differences in the frequency of haplotypes between groups were observed. The statistical power of this analysis is low because of the small number of samples analyzed. Additional studies involving large populations of Colombian women with PCOS are needed to verify the role of the THADA gene in this disorder. © 2022 The Authors</t>
  </si>
  <si>
    <t>Colombian women; Polycystic ovary syndrome; Single nucleotide polymorphism; THADA gene</t>
  </si>
  <si>
    <t>Instituto de Salud Carlos III, ISCIII; European Regional Development Fund, ERDF</t>
  </si>
  <si>
    <t>This study was supported by Universidad Pedagógica y Tecnológica de Colombia and Universidad de Boyacá [SGI code 2677, VIE 06 of 2019 ].</t>
  </si>
  <si>
    <t>The genotyping service was carried out at CEGEN-PRB3-ISCIII; it is supported by grant PT17/0019, of the PE I + D + i 2013–2016, funded by ISCIII and ERDF. We appreciate the advice on the management of the Haploview software provided by Luis Antonio Corchete Sánchez from the Biology Faculty of Salamanca University (Spain). We would like to thank Ph.D. Ignacio Briceño Balcazar of the Sabana University of Colombia, for his academic concept about LD analysis.</t>
  </si>
  <si>
    <t>Daghestani, M.H., Rs1799817 in INSR associates with susceptibility to polycystic ovary syndrome (2019) J. Med. Biochem.; Fauser, B.C.J.M., Revised 2003 consensus on diagnostic criteria and long-term health risks related to polycystic ovary syndrome (2004) Fertil. Steril., 81, pp. 19-25; Bellver, J., Rodríguez-Tabernero, L., Robles, A., Muñoz, E., Martínez, F., Landeras, J., García-Velasco, J., Acevedo, B., Polycystic ovary syndrome throughout a woman's life (2018) J. Assist. Reprod. Genet.; Costello, M.F., Misso, M.L., Balen, A., Boyle, J., Devoto, L., Garad, R.M., Hart, R., Teede, H.J., A brief update on the evidence supporting the treatment of infertility in polycystic ovary syndrome (2019) Aust. New Zeal. J. Obstet. Gynaecol., 59, pp. 867-873; Kakoly, N.S., Khomami, M.B., Joham, A.E., Cooray, S.D., Misso, M.L., Norman, R.J., Harrison, C.L., Moran, L.J., Ethnicity, obesity and the prevalence of impaired glucose tolerance and type 2 diabetes in PCOS: a systematic review and meta-regression (2018) Hum. Reprod. Update, 24, pp. 455-467; Zhu, T., Cui, J., Goodarzi, M.O., Polycystic ovary syndrome and risk of type 2 diabetes, coronary heart disease, and stroke (2021) Diabetes, 70, pp. 627-637; Randeva, H.S., Tan, B.K., Weickert, M.O., Lois, K., Nestler, J.E., Sattar, N., Lehnert, H., Cardiometabolic aspects of the polycystic ovary syndrome (2012) Endocr. Rev.; Zhu, S., Zhang, B., Jiang, X., Li, Z., Zhao, S., Cui, L., Chen, Z.J., Metabolic disturbances in non-obese women with polycystic ovary syndrome: a systematic review and meta-analysis (2019) Fertil. Steril., 111, pp. 168-177; Che, X., Jian, F., Chen, C., Liu, C., Liu, G., Feng, W., PCOS serum-derived exosomal miR-27a-5p stimulates endometrial cancer cells migration and invasion (2020) J. Mol. Endocrinol., 64, pp. 1-12; Zeng, X., Xie, Y.J., Liu, Y.T., lian, L.S., cheng, M.Z., Polycystic ovarian syndrome: correlation between hyperandrogenism, insulin resistance and obesity (2019) Clin. Chim. Acta, 502, pp. 214-221; Rodriguez-Paris, D., Remlinger-Molenda, A., Kurzawa, R., Głowińska, A., Spaczyński, R., Rybakowski, F., Pawelczyk, L., Banaszewska, B., Psychiatric disorders in women with polycystic ovary syndrome (2019) Psychiatr. Pol., 53, pp. 955-966; Khan, M.J., Ullah, A., Basit, S., Genetic basis of polycystic ovary syndrome (PCOS): current perspectives (2019) Appl. Clin. Genet., 12, pp. 249-260; Chen, Z.J., Zhao, H., He, L., Shi, Y., Qin, Y., Shi, Y., Li, Z., Zhao, Y., Genome-wide association study identifies susceptibility loci for polycystic ovary syndrome on chromosome 2p16.3, 2p21 and 9q33.3 (2010) Nat. Genet., 43, pp. 55-59; Shi, Y., Zhao, H., Shi, Y., Cao, Y., Yang, D., Li, Z., Zhang, B., Chen, Z.J., Genome-wide association study identifies eight new risk loci for polycystic ovary syndrome (2012) Nat. Genet., 44, pp. 1020-1025; Hwang, J.Y., Lee, E.J., Jin Go, M., Sung, Y.A., Lee, H.J., Heon Kwak, S., Jang, H.C., Lee, J.Y., Genome-wide association study identifies GYS2 as a novel genetic factor for polycystic ovary syndrome through obesity-related condition (2012) J. Hum. Genet., 57, pp. 660-664; Lee, H., Oh, J.Y., Sung, Y.A., Chung, H., Kim, H.L., Kim, G.S., Cho, Y.S., Kim, J.T., Genome-wide association study identified new susceptibility loci for polycystic ovary syndrome (2015) Hum. Reprod., 30, pp. 723-731; Hayes, M.G., Urbanek, M., Ehrmann, D.A., Armstrong, L.L., Lee, J.Y., Sisk, R., Karaderi, T., Zhang, H., Genome-wide association of polycystic ovary syndrome implicates alterations in gonadotropin secretion in European ancestry populations (2015) Nat. Commun., 6, pp. 1-12; Day, F., Karaderi, T., Jones, M.R., Meun, C., He, C., Drong, A., Kraft, P., Welt, C.K., Large-scale genome-wide meta-analysis of polycystic ovary syndrome suggests shared genetic architecture for different diagnosis criteria (2018) PLoS Genet., 14, pp. 1-20; Day, F.R., Hinds, D.A., Tung, J.Y., Stolk, L., Styrkarsdottir, U., Saxena, R., Bjonnes, A., Perry, J.R.B., Causal mechanisms and balancing selection inferred from genetic associations with polycystic ovary syndrome (2015) Nat. Commun.; Goodarzi, M.O., Jones, M.R., Li, X., Chua, A.K., Garcia, O.A., Chen, Y.D.I., Krauss, R.M., Urbanek, M., Replication of association of DENND1A and THADA variants with polycystic ovary syndrome in European cohorts (2012) J. Med. Genet.; Chen, L., Hu, L.M., Wang, Y.F., Yang, H.Y., Huang, X.Y., Zhou, W., Sun, H.X., Genome-wide association study for SNPs associated with PCOS in human patients (2017) Exp. Ther. Med., 14, pp. 4896-4900; Vishnubotla, D.S., Shek, A.P., Madireddi, S., Pooled genetic analysis identifies variants that confer enhanced susceptibility to PCOS in Indian ethnicity (2020) Gene, 752; Li, X., Huang, Y., Tian, H., Zhang, M., La, X., Association study between polycystic ovary syndrome and THADA gene polymorphisms in Xinjiang Uygur women (2017), 1, pp. 80-83; Bakhashab, S., Ahmed, N., Genotype based risk predictors for polycystic ovary syndrome (2019) Bioinformation, 15, pp. 812-819; Hiam, M.-A., Teede, L., Stepto, M., Gibson-Helm, The genetics of polycystic ovary syndrome: an overview of candidate gene systematic reviews and genome-wide association studies (2019) J. Clin. Med., 8, p. 1606; Moraru, A., Cakan-Akdogan, G., Strassburger, K., Males, M., Mueller, S., Jabs, M., Muelleder, M., Teleman, A.A., THADA regulates the organismal balance between energy storage and heat production (2017) Dev. Cell, 41, pp. 72-81. , e6; Zeggini, E., Scott, L.J., Saxena, R., Voight, B.F., Collins, F.S., Meta-analysis of genome-wide association data and large-scale replication identifies additional susceptibility loci for type 2 diabetes (2008) Nat. Genet.; Park, S., Liu, M., Zhang, T., THADA -rs13429458 minor allele increases the risk of polycystic ovary syndrome in Asian, but not in caucasian women: a systematic review and meta-analysis (2019) Horm. Metab. Res., 51, pp. 661-670; Tian, Y., Li, J., Su, S., Cao, Y., Wang, Z., Zhao, S., Zhao, H., PCOS-GWAS susceptibility variants in THADA, INSR, TOX3, and DENND1A are associated with metabolic syndrome or insulin resistance in women with PCOS (2020) Front. Endocrinol., 11, pp. 1-8; Cui, L., Zhao, H., Zhang, B., Qu, Z., Liu, J., Liang, X., Zhao, X., Chen, Z.J., Genotype-phenotype correlations of PCOS susceptibility SNPs identified by GWAS in a large cohort of Han Chinese women (2013) Hum. Reprod.; Welt, C.K., Styrkarsdottir, U., Ehrmann, D.A., Thorleifsson, G., Arason, G., Gudmundsson, J.A., Ober, C., Stefansson, K., Variants in DENND1A are associated with polycystic ovary syndrome in women of European ancestry (2012) J. Clin. Endocrinol. Metab., 97, pp. 1342-1347; Bao, S., Ren, Y.C., Chen, Z.S., Yang, S.Y., Yi, Y.P., Li, J.J., Zhu, Y.H., Li, Z.R., THADA gene variants and polycystic ovary syndrome in a Hainan Chinese population (2016) Int. J. Clin. Exp. Pathol., 9, pp. 11883-11889; Brower, M.A., Jones, M.R., Rotter, J.I., Krauss, R.M., Legro, R.S., Azziz, R., Goodarzi, M.O., Further investigation in europeans of susceptibility variants for polycystic ovary syndrome discovered in genomewide association studies of Chinese individuals (2015) J. Clin. Endocrinol. Metab.; Zhang, Y., Li, L., Wang, Z.-J., Zhang, X.-J., Zhao, H., Zhao, Y., Wang, X.-T., Wan, J.-P., Association study between variants in LHCGR DENND1A and THADA with preeclampsia risk in Han Chinese populations (2018) J. Matern. Neonatal. Med., pp. 1-5; Castillo-Higuera, T., Alarcón-Granados, M.C., Marin-Suarez, J., Moreno-Ortiz, H., Esteban-Pérez, C.I., Ferrebuz-Cardozo, A.J., Forero-Castro, M., Camargo-Vill alba, G., A comprehensive overview of common polymorphic variants in genes related to polycystic ovary syndrome (2020) Reprod. Sci.; Ossa, H., Aquino, J., Pereira, R., Ibarra, A., Ossa, R.H., Pérez, L.A., Granda, J.D., Gusmão, L., Outlining the ancestry landscape of Colombian admixed populations (2016) PLoS One, 11, pp. 1-15; Zheng, M., Li, Y., Hu, R., Wang, F., Zhang, X., Anti-Müllerian Hormone Gene Polymorphism Is Associated with Androgen Levels in Chinese Polycystic Ovary Syndrome Patients with Insulin Resistance (2016), pp. 199-205; Almawi, W.Y., Hubail, B., Arekat, D.Z., Al-Farsi, S.M., Al-Kindi, S.K., Arekat, M.R., Mahmood, N., Madan, S., Leutinizing hormone/choriogonadotropin receptor and follicle stimulating hormone receptor gene variants in polycystic ovary syndrome (2015) J. Assist. Reprod. Genet.; Du, T., Duan, Y., Li, K., Zhao, X., Ni, R., Li, Y., Yang, D., Statistical genomic approach identifies association between FSHR polymorphisms and polycystic ovary morphology in women with polycystic ovary syndrome (2015) BioMed Res. Int.; Storm, N., Darnhofer-patel, B., Boom, D.V.D., Rodi, C.P., MALDI-TOF Mass Spectrometry-Based SNP Genotyping (2003); Oeth, P., Beaulieu, M., Park, C., Kosman, D., Mistro, G., Boom, D.V.D., Jurinke, C., iPLEXTM Assay: Increased Plexing Efficiency and Flexibility for MassARRAY System through Single Base Primer Extension with Mass-Modified Terminators 1. 1–12 (2005); Gabriel, S., Ziaugra, L., Tabbaa, D., SNP genotyping using the sequenom massARRAY iPLEX Platform (2009) Curr. Protoc. Hum. Genet.; Solé, X., Guinó, E., Valls, J., Iniesta, R., Moreno, V., SNPStats: a web tool for the analysis of association studies (2006) Bioinformatics, 22, pp. 1928-1929; Barrett, J.C., Fry, B., Maller, J., Daly, M.J., Haploview: analysis and visualization of LD and haplotype maps (2005) Bioinformatics, 21, pp. 263-265; Ding, K., Kullo, I.J., Methods for the selection of tagging SNPs: a comparison of tagging efficiency and performance (2007) Eur. J. Hum. Genet., 15, pp. 228-236; Liaqat, I., Jahan, N., Krikun, G., Taylor, H.S., Genetic polymorphisms in Pakistani women with polycystic ovary syndrome (2015) Reprod. Sci., 22, pp. 347-357; Eriksen, M.B., Brusgaard, K., Andersen, M., Tan, Q., Altinok, M.L., Gaster, M., Glintborg, D., Association of polycystic ovary syndrome susceptibility single nucleotide polymorphism rs2479106 and PCOS in Caucasian patients with PCOS or hirsutism as referral diagnosis (2012) Eur. J. Obstet. Gynecol. Reprod. Biol., 163, pp. 39-42; Welt, C.K., Styrkarsdottir, U., Ehrmann, D.A., Thorleifsson, G., Arason, G., Gudmundsson, J.A., Ober, C., Stefansson, K., Ovary Syndrome in Women of European Ancestr (2012), 97, pp. 1342-1347; Zhao, H., Xu, X., Xing, X., Wang, J., He, L., Shi, Y., Shi, Y., Chen, Z.J., Family-based analysis of susceptibility loci for polycystic ovary syndrome on chromosome 2p16.3, 2p21 and 9q33.3 (2012) Hum. Reprod., 27, pp. 294-298; Mejía, C.A.I., Bonilla, J.H., Castillo, S.V., Angarita, L.B., Calvo, A.M.S., Caracterización del gen de la dopamina β-hidroxilasa en población mestiza colombiana (2013) Invest. Andin., 15, pp. 760-769; Hong, E.P., Park, J.W., Sample size and statistical power calculation in genetic association studies (2012) Genom. Inform., 10, p. 117</t>
  </si>
  <si>
    <t>Forero-Castro, M.; Facultad de Ciencias. Grupo de Investigación en Ciencias Biomédicas (GICBUPTC). Universidad Pedagógica y Tecnológica de ColombiaColombia; email: maribel.forero@uptc.edu.co</t>
  </si>
  <si>
    <t>2-s2.0-85131726359</t>
  </si>
  <si>
    <t>Castro-Forero S.P., Bulla-Castañeda D.M., López Buitrago H.A., Díaz Anaya A.M., Madeira De Carvalho L.M., Pulido-Medellín M.O.</t>
  </si>
  <si>
    <t>57734414200;57222960876;57411867900;55928513700;23100355800;56241968800;</t>
  </si>
  <si>
    <t>SARCOCYSTIS SPP., A PARASITE WITH ZOONOTIC POTENTIAL</t>
  </si>
  <si>
    <t>Bulgarian Journal of Veterinary Medicine</t>
  </si>
  <si>
    <t>10.15547/bjvm.2019-0129</t>
  </si>
  <si>
    <t>https://www.scopus.com/inward/record.uri?eid=2-s2.0-85131683215&amp;doi=10.15547%2fbjvm.2019-0129&amp;partnerID=40&amp;md5=da0a89f0bc483cbe84e139e0320b93ee</t>
  </si>
  <si>
    <t>Faculty of Agricultural Sciences, Veterinary Medicine and Zootechnics, Research Group in Veterinary Medicine and Zootechnics (GIDIMEVETZ), Universidad Pedagógica y Tecnológica de Colombia, Tunja, Colombia; CIISA – Centro de Investigação Interdisciplinar em Sanidade Animal, Faculdade de Medicina Veterinária, Universidade de Lisboa, Portugal</t>
  </si>
  <si>
    <t>Castro-Forero, S.P., Faculty of Agricultural Sciences, Veterinary Medicine and Zootechnics, Research Group in Veterinary Medicine and Zootechnics (GIDIMEVETZ), Universidad Pedagógica y Tecnológica de Colombia, Tunja, Colombia; Bulla-Castañeda, D.M., Faculty of Agricultural Sciences, Veterinary Medicine and Zootechnics, Research Group in Veterinary Medicine and Zootechnics (GIDIMEVETZ), Universidad Pedagógica y Tecnológica de Colombia, Tunja, Colombia; López Buitrago, H.A., Faculty of Agricultural Sciences, Veterinary Medicine and Zootechnics, Research Group in Veterinary Medicine and Zootechnics (GIDIMEVETZ), Universidad Pedagógica y Tecnológica de Colombia, Tunja, Colombia; Díaz Anaya, A.M., Faculty of Agricultural Sciences, Veterinary Medicine and Zootechnics, Research Group in Veterinary Medicine and Zootechnics (GIDIMEVETZ), Universidad Pedagógica y Tecnológica de Colombia, Tunja, Colombia; Madeira De Carvalho, L.M., CIISA – Centro de Investigação Interdisciplinar em Sanidade Animal, Faculdade de Medicina Veterinária, Universidade de Lisboa, Portugal; Pulido-Medellín, M.O., Faculty of Agricultural Sciences, Veterinary Medicine and Zootechnics, Research Group in Veterinary Medicine and Zootechnics (GIDIMEVETZ), Universidad Pedagógica y Tecnológica de Colombia, Tunja, Colombia</t>
  </si>
  <si>
    <t>Sarcocystosis infection is caused by protozoan cysts of genus Sarcocystis spp. where S. hominis, S. heydorni (bovines) and S. suihominis (porcine) are the most relevant for humans because of their zoonotic potential. S. cruzi, S. suihominis and S. ovicanis represent the most pathogenic species for cattle, pigs and sheep respectively. This infection has a worldwide importance due to its high transmission; besides to represent a zoonosis, it generates great economics losses. The main diagnostic methods for this disease are artificial digestion, PCR, indirect ELISA, and compression analysis. It’s important to highlight few studies on Sarcocystis spp., especially the ones involving the pursuit of effective treatments to control the infection for both humans and animals, however, some studies have reported that treatments such as cotrimoxazole and albendazole with or without prednisone are effective in counteracting symptoms in humans, considering the lack of reports about Sarcocystis spp. prevalence in Colombia. © 2022, Trakia University. All rights reserved.</t>
  </si>
  <si>
    <t>economic losses; prevalence; Sarcocystis spp; symptomatology; zoonosis</t>
  </si>
  <si>
    <t>acetylspiramycin; albendazole; cotrimoxazole; prednisone; toltrazuril; bovine; economics; enzyme linked immunosorbent assay; heydorni; human; immune response; Mycoplasma hominis; parasite; parasitic zoonosis; parasitoid; pig; polymerase chain reaction; postmortem change; prevalence; Review; Sarcocystis; sarcocystis suihominis; sheep</t>
  </si>
  <si>
    <t>acetylspiramycin, 24916-51-6; albendazole, 54965-21-8; cotrimoxazole, 8064-90-2; prednisone, 53-03-2; toltrazuril, 69004-03-1</t>
  </si>
  <si>
    <t>Abubakar, S., Teoh, B. T., Sam, S. S., Chang, L. Y., Johari, J., Lakhbeer-Singh, P. S., Italiano, C. M., Tan, C. T., Outbreak of human infection with Sarcocystis nesbitti, Malaysia, 2012 (2013) Emerging Infectious Diseases, 19, pp. 1989-1991; Amairia, S., Amdouni, Y., Rjeibi, M. R., Rouatbi, M., Awadi, S., Gharbi, M., First molecular detection and characterization of Sarcocystis species in slaughtered cattle in North-West Tunisia (2016) Meat Science, 122, pp. 55-59; Andrade, R., Pulido, M., Azumendi, J., Pulido, A., Análisis clínico y paraclínico de bovinos contaminados con Sarcocystis sp (2009) Revista Colombiana Ciencias Pecuarias, 22, pp. 50-60; (2005) Instituto for International Cooperation in Animal Biologics, pp. 1-6. , Sarco-ystosis. The Center Food Security &amp; Public Health Iowa State University; Baldeón Estrada, P. G., (2012) Evaluar la presencia de Sarcocystis sp. por examen microscópico en cerdos faenados en el matadero municipal del cantón Durán, , Undergraduate Thesis, Universidad de Guayaquil, Ecuador; Barrientos, M., Chávez, A., Pacheco, A., Ticona, D., Leyva, V., Efecto del toltrazuril y la combinación de sulfadoxina y pirimetamina en el tratamiento de la sarcocistiosis canina durante el periodo patente (2007) Revista de Investigaciones Veterinarias del Perú, 18, pp. 69-75; Becerril, M., (2011) Parasitología Médica, , 3rd edn, McGraw-Hill, México; Borji, H., Parandeh, S., The abattoir condemnation of meat because of parasitic infection, and its economic importance: results of a retrospective study in north– eastern Iran (2010) Annals of Tropical Medicine &amp;Parasitology, 104, pp. 641-647; Caspari, K., Grimm, F., Kühn, N., Claire Caspari, N., Basso, W., First report of naturally acquired clinical sarcocystosis in a pig breeding stock (2011) Veterinary Parasitology, 177, pp. 175-178; Clavel, A., Doiz, O., Varea, M., Morales, S., Castillo, F. J., Rubio, M. C., Gómez-Lus, R., Molestias abdominales y heces blandas en consumidor habitual de carne de vacuno poco cocinada (2001) Infectious Diseases and Clinical Microbiology, 19, pp. 29-30; Cordero, M., Rojo, F., Martínez, A., Sánchez, M., Hernández, S., Navarrete, I., (1999) Parasitología Veterinaria, , 1st edn, Mc Graw-Hill, Madrid; Dahlgren, S. S., Gjerde, B., Genetic characterisation of six Sarcocystis species from reindeer (Rangifer tarandus tarandus) in Norway based on the small subunit rRNA gene (2007) Veterinary Parasitology, 146, pp. 204-213; Damriyasa, I. M., Bauer, C., Edelhofer, R., Failing, K., Lind, P., Petersen, E., Schares, G., Zahner, H., Cross-sectional survey in pig breed-ing farms in Hesse, Germany: Sero-prevalence and risk factors of infections with Toxoplasma gondii, Sarcocystis spp. and Neospora caninum in sows (2004) Veterinary Parasitology, 126, pp. 271-286; Dubey, J., Speer, C., Fayer, R., (1989) Sarcocystosis of Animals and Man, pp. 1-215. , CRC Press, Boca Raton, FL, USA; Dubey, J. P., Foodborne and waterborne zoonotic sarcocystosis (2015) Food and Waterborne Parasitology, 1, pp. 2-11; Dubey, J., Calero-Bernal, R., Rosenthal, B., Speer, C., Fayer, R., (2015) Sarcocystosis of animals and humans, , 2nd edn, CRC Press; Dubey, J., Vanwilpe, E., Calero-Bernal, R., Verma, S., Fayer, R., Sarcocystis heydorni sp. (Apicomplexa: Protozoa) with cattle (Bos taurus) and human (Homo sapiens) cycle (2015) Parasitology Research, 114, pp. 4143-4147; Dubey, J., Moré, G., Van wilpe, E., Calero-Bernal, R., Verma, S., Schares, G., Sarcocystis rommeli, n. sp. (Apicomplexa: Sarcocystidae) from cattle (Bos taurus) and its differentiation from Sarcocystis hominis (2016) Journal of Eukaryotic Microbiology, 63, pp. 62-68; Dubey, J. P., A’aji, N. N., Mowery, J. D., Verma, S. K., Calero-Bernal, R., Identification of macroscopic sarcocysts of Sarcocystis cameli from one-humped camel (Camelus dromedarius) in Iraq (2017) Journal of Parasitology, 103, pp. 168-169; Esposito, D., Freedman, D., Neumayr, A., Parola, P., Ongoing outbreak of an acute muscular Sarcocystis-like illness among travellers returning from Tioman Island, Malaysia, 2011– 2012 (2015) HHS Public Access, 17, pp. 1-13; Esposito, D. H., Stich, A., Epelboin, L., Malvy, D., Han, P. V., Bottieau, E., da Silva, A., Ko-zarsky, P. E., Acute muscular sarcocystosis: An international investigation among ill travelers returning from Tioman Island, Malaysia, 2011-2012 (2014) Clinical Infectious Diseases, 59, pp. 1401-1410; Falcón, Q. L., Exebio, J., Soto, P., Falcón, I., Fernandez, M., Densidad parasitaria de Sarcocystis spp. en miocardio de bovinos en dos centros de comercialización de carne en Lima Metropolitana, Perú (2010) Revista Peruana de Parasitología, 18, pp. 50-55. , J., D. Esteban M., B., G; Fayer, R., Sarcoccystis spp. in human infections (2004) Clinical Microbiology Reviews, 17, pp. 894-902; Fayer, R., Esposito, D. H., Dubey, J. P., Human infections with Sarcocystis species (2015) Clinical Microbiology Reviews, 28, pp. 295-311; Fischer, S., Odening, K., Characterization of bovine Sarcocystis species by analysis of their 18S ribosomal DNA sequences (1998) The Journal of Parasitology, 84, pp. 50-54; Fraser, C. M., (1993) Manual Merck de Veterinaria, pp. 647-648. , 4th edn; Galvis Galeano, L., Agudelo Garces, L., (2010) Evaluación de la presencia de zoitos de la familia Sarcocystidae en el músculo dorsal ancho de bovinos de la planta de sacrificio y faenado del municipio de Chía, Cundinamarca, , Undergraduate Thesis, Universidad de la Salle, Colombia; Godoy Zegarra, R. B., Saneamiento y detoxificación de carne de llama (Lama glama) infectada con Sarcocystis aucheniae mediante métodos químicos: marinado, ahumado, curado seco y curado (2006) Revista de Investigaciones Veterinarias del Perú, 18, pp. 57-63; Hoeve-Bakker, B. J. A., van der Giessen, J. W. B., Franssen, F. F. J., Molecular identification targeting cox1 and 18S genes confirms the high prevalence of Sarcocystis spp. in cattle in the Netherlands (2019) International Journal for Parasitology, 49, pp. 859-866; Hu, J. J., Liu, T. T., Liu, Q., Esch, G. W., Chen, J. Q., Huang, S., Wen, T., Prevalence, morphology, and molecular characteristics of Sarcocystis spp. in domestic goats (Capra hircus) from Kunming, China (2016) Parasitology Research, 115, pp. 3973-3981; Inga Lozada, M., (2014) Efecto del extracto proteico de macroquistes de Sarcocystis aucheniae sobre la viabilidad y degranulación en los leucocitos de conejo (Oryctolagus cuniculus) in vitro, , del C., Undergraduate Thesis, Universidad Nacional Mayor de San Marcos, Perú; Italiano, C. M., Wong, K. T., Abubakar, S., Lau, Y. L., Ramli, N., Syed Omar, S. F., Kahar Bador, M., Tan, C. T., Sarcocystis nesbitti causes acute, relapsing febrile myositis with a high attack rate: Description of a large outbreak of muscular sarcocystosis in Pangkor Island, Malaysia, 2012 (2014) PLoS Neglected Tropical Diseases, 8; Jauregui Bustamante, Z., (2017) Prevalencia de Sarcocystis spp., en bovinos beneficiados en el camal municipal de Chachapoyas, periodo octubre 2016 a enero 2017, , Undergraduate Thesis, Universidad Nacional Pedro Ruiz Gallo, Perú; Lau, Y. L., Chang, P. Y., Subramaniam, V., Ng, Y. H., Mahmud, R., Ahmad, A. F., Mun Yink, F., Genetic assemblage of Sarcocystis spp. in Malaysian snakes (2013) Parasites and Vectors, 6, pp. 1-6; Lau, Y. L., Chang, P. Y., Tan, C. T., Mun Yink, F., Mahmud, R., Wong, K. T., Short report: Sarcocystis nesbitti infection in human skeletal muscle: Possible transmission from snakes (2014) American Journal of Tropical Medicine and Hygiene, 90, pp. 361-364; Li, J. H., Lin, Z., Du, J. F., Qin, Y. X., Experimental infection of Sarcocystis suihominis in pig and human volunteer in Guangxi (2007) Chinese Journal of Parasitology &amp;Parasitic Diseases, 25, pp. 466-468; Li, Q., Yang, Z., Zuo, Y., Attwood, S., Chen, X., Zhang, Y., A PCR-based RFLP analysis of Sarcocystis cruzi (Protozoa: Sarcocystidae) in Yunnan Province, PR China, reveals the water buffalo (2002) The Journal of Parasitology, 88, pp. 1259-1261; Lindsay, D. S., Weiss, L. M., (2004) Opportunistic Infections: Toxoplasma, Sarcocystis, and Microsporidia, 9, pp. 111-121. , Kluwer Academic Publishers; Lobão-Tello, E. R., Paredes, E., Navarrete-Talloni, M. J., Lobão-Tello, E. R., Paredes, E., Navarrete-Talloni, M. J., Sarcocystis spp. in red deer (Cervus elaphus), fallow deer (Dama dama), and pudu (Pudu pudu) in southern Chile (2017) Pesquisa Veterinária Brasileira, 37, pp. 874-876; Lucas, J. R., Sarcocystis spp. en Perú (2012) Peruvian Journal of Parasitology, 20, pp. 64-73; Luzón, M., Domínguez-González, J., Soto-Carrión, A. M., Alunda, J. M., de la Fuente, C., Sarcocystosis in Cervus elaphus: Comparison of diagnostic methods (2015) International Journal for Parasitology. Parasites and Wildlife, 4, pp. 396-400; Medrano, G., Hung, A., Rubio, N., Detección molecular temprana de Sarcocystis en el animal vivo y su estudio filogenético basado en el análisis del gen SSU rRNA en alpacas en Perú (2006) Mosaico Cientifico, 3, pp. 5-9; Meistro, S., Peletto, S., Pezzolato, M., Varello, K., Botta, M., Richelmi, G., Biglia, C., Bozzetta, E., Sarcocystis spp. prevalence in bovine minced meat: A histological and molecular study (2015) Italian Journal of Food Safety, 4, pp. 85-87; Moré, G., Abrahamovich, P., Jurado, S., Bacigalupe, D., Marin, J. C., Rambeaud, M., Venturini, L., Venturini, M. C., Prevalence of Sarcocystis spp. in Argentinean cattle (2011) Veterinary Parasitology, 177, pp. 162-165; Moré, G., Basso, W., Bacigalupe, D., Venturini, M. C., Venturini, L., Diagnosis of Sarcocystis cruzi, Neospora caninum, and Toxoplasma gondii infections in cattle (2008) Parasitology Research, 102, pp. 671-675; Ortega-Mora, L., Gottstein, B., Conraths, F., Buxton, D., Sacocystosis (2007) Protozoal Abortion in Farm Ruminants, Guidelines for Diagnosis and Control, pp. 172-232. , 1st edm, CABI Publishing; Pena, H. F. D. J., Ogassawara, S., Sinhorini, I. L., Occurence of cattle Sarcocystis species in raw kibbe from arabian food establishments in the city of Sao Paulo, Brazil and experimental transmission to humans (2001) Journal of Parasitology, 87, pp. 1459-1465; Poulsen, C. S., Stensvold, C. R., Current status of epidemiology and diagnosis of human sarcocystosis (2014) Journal of Clinical Microbiology, 52, pp. 3524-3530; Pulido-Medellín, M. O., García-Corredor, D., Andrade-Becerra, R., Seroprevalencia de Sarcocystis spp. en un hato lechero del municipio de Toca, Colombia (2013) Revista Salud Animal, 35, pp. 159-163; Rassouli, M., Ahmadpanahi, J., Alvandi, A., Prevalence of Sarcocystis spp. and Hammondia spp. microcysts in esophagus tissue of sheep and cattle, emphasized on their morphological differences (2014) Parasitology Research, 113, pp. 3801-3805; Romero Jurado, J., (2009) Immune response in rabbits to two sizes of Sarcocystis aucheniae cysts, pp. 1-60. , Undergraduate thesis. Universidad Nacional Mayor de San Marcos, Perú; Rosenthal, B., Sarcocystosis (2015) Hunter’s Tropical and Emerging Infectious Diseases, pp. 821-824. , 10th edn Elsevier; Schnieder, T., Parasitological risks from animal husbandry to food and humans (2003) Deutsche Tierärztliche Wochenschrift, 110, pp. 326-328; Slesak, G., Tappe, D., Keller, C., Cramer, J., Güthoff, W., Zanger, P., Frank, M., Schäfer, J., Muscular sarcocystosis after travel to Malaysia: A case series from Germany (2014) Deutsche Medizinische Wochenschrift, 139, pp. 990-995; Slesak, G., Schäfer, J., Langeheinecke, A., Tappe, D., Prolonged clinical course of muscular sarcocystosis and effectiveness of cotrimoxazole among travelers to Tioman Island, Malaysia, 2011-2014 (2015) Clinical Infectious Diseases, 60, p. 329; Tappe, D., Ernestus, K., Rauthe, S., Schoen, C., Frosch, M., Müller, A., Stich, A., Initial patient cluster and first positive biopsy findings in an outbreak of acute muscular sarcocystis-like infection in travelers returning from Tioman Island, Peninsular Malaysia, in 2011 (2013) Journal of Clinical Microbiology, 51, pp. 725-726; Tappe, D., Stich, A., Langeheinecke, A., Von Sonnenburg, F., Muntau, B., Schäfer, J., Slesak, G., Suspected new wave of muscular Sarcocystosis in travellers returning from Tioman Island, Malaysia, May 2014 (2014) Eurosurveillance, 19, pp. 6-8; Taylor, M., Coop, R., Wall, R., (2007) Veterinary Parasitology, , 3rd edn, Blackwell Publishing; Urquhart, G., Armour, J., Duncan, J., Jennings, F., (2001) Parasitología Veterinaria, p. 355. , Editorial Acribia, S.A; Zaldivar, Q. N., Detection of bovine Sarcocystis cruzi cystis in cardiac muscles: A new tecnique of concentration for diagnostic (2007) Acta Scientiae Veterinariae, 36, pp. 127-129</t>
  </si>
  <si>
    <t>Bulla-Castañeda, D.M.; Médico Veterinario Zootecnista, Colombia; email: dianabullamvz17@gmail.com</t>
  </si>
  <si>
    <t>Trakia University</t>
  </si>
  <si>
    <t>Bulg. J. Vet. Med.</t>
  </si>
  <si>
    <t>2-s2.0-85131683215</t>
  </si>
  <si>
    <t>Martínez L Z., Mejía A D., Soto B V.</t>
  </si>
  <si>
    <t>57722419900;57722740100;57723210000;</t>
  </si>
  <si>
    <t>A Methodological Approach to Mapping Acid Sulfate Soils, the Spatial Variability of Acidity and Salinity, and Hazards at the Field Scale in a Sector of the Sinú River Floodplain, Colombia</t>
  </si>
  <si>
    <t>Water, Air, and Soil Pollution</t>
  </si>
  <si>
    <t>10.1007/s11270-022-05658-x</t>
  </si>
  <si>
    <t>https://www.scopus.com/inward/record.uri?eid=2-s2.0-85131174368&amp;doi=10.1007%2fs11270-022-05658-x&amp;partnerID=40&amp;md5=08097173ac534aecbe4f3968dde99dd5</t>
  </si>
  <si>
    <t>Environmental Engineering Department, University of Córdoba, Córdoba, Colombia</t>
  </si>
  <si>
    <t>Martínez L, Z., Environmental Engineering Department, University of Córdoba, Córdoba, Colombia; Mejía A, D., Environmental Engineering Department, University of Córdoba, Córdoba, Colombia; Soto B, V., Environmental Engineering Department, University of Córdoba, Córdoba, Colombia</t>
  </si>
  <si>
    <t>There is currently no comprehensive acid sulfate soil (ASS) hazard mapping in Colombia. This study aims to create reliable prediction surfaces to estimate the types and subtypes of inland ASS, spatial variability of acidity and salinity, and acidification and salinization hazards. We used a combination of factor analysis, geostatistical tools with ordinary and indicator kriging, and Geographic Information System utilities to design a spatial prediction model. The studied variables were soil reaction, redox potential, and electrical conductivity at the A and B horizons obtained from a detailed systematic sampling in a sector of the Sinú River floodplain, Colombia. Two factors were identified; the first allowed us to delimit the homogeneous behavior of acidity as well as the types and subtypes of inland ASS precisely while the second facilitated the identification of ASS subtypes. Our findings indicate that 82% of the area reports very high and high to moderate acidification hazards in active ASS. A high salinization hazard exists in 26% of active ASS and 74% of both active and post-active ASS. These findings suggest serious acidification and salinization hazards and the need for urgent appropriate economic and environmental management. The approach applied here can be implemented at a field scale to improve understanding of the activity and behavior of ASS based on the acidity and salinity, which can facilitate a more reliable mapping of acidification and salinization hazards. © 2022, The Author(s), under exclusive licence to Springer Nature Switzerland AG.</t>
  </si>
  <si>
    <t>Acidification and salinization hazards; Factor analysis; Inland acid sulfate soils; Kriging; Spatial variability</t>
  </si>
  <si>
    <t>Acidification; Banks (bodies of water); Environmental management; Factor analysis; Floods; Hazards; Mapping; Multivariant analysis; Redox reactions; Soils; Sulfur compounds; Acid sulphate soils; Acidification and salinization hazard; Colombia; Field scale; Flood plains; Hazards mappings; Inland acid sulphate soil; Methodological approach; Salinisation; Spatial variability; Kriging; acid sulfate soil; acidification; factor analysis; hazard assessment; kriging; mapping; salinity; salinization; spatial variation; acidification; acidity; article; Colombia; electric conductivity; environmental management; factor analysis; floodplain; geographic information system; kriging; oxidation reduction potential; prediction; river; salinity; salinization; subsoil; Colombia; Sinu River</t>
  </si>
  <si>
    <t>The authors wish to thank the University of Córdoba for the logistical support and the time assigned to produce this paper and additionally, to the National University of Colombia, Medellín, for providing the necessary training to develop this research.</t>
  </si>
  <si>
    <t xml:space="preserve">Abdennour, M.A., Douaoui, A., Piccini, C., Pulido, M., Bennacer, A., Bradaï, A., Barrena, J., Yahiaoui, I., Predictive mapping of soil electrical conductivity as a Proxy of soil salinity in south-east of Algeria (2020) Environmental and Sustainability Indicators, 8; Variabilidad espacial de propiedades químicas del suelo y su uso en el diseño de experimentos (2008) Terra Latinoamericana, , https://doi.org/10.1016/j.indic.2020.100087; Aguirre, N., (1995) Morphodynamics Analysis of the Northern Sinú River Basin (Master Dissertation). International Institute for Aerospace Survey and Earth Science, , IGAC private document; Ahern, C., McElnea, A., Sullivan, L., Acid sulphate soils (2004) Laboratory Methods Guidelines, , https://www.environment.nsw.gov.au/resources/soils/acid-sulfate-soils-laboratorymethods-guidelines, Retrieved June 2, 2021, from; Alesso, C.A., (2014) Variabilidad Espacial Y Temporal De Rendimientos De maíz (Zea Mays L.) Y Soja [Glycine Max (L.) Merr.] Y De Las Propiedades Del Suelo En Las Condiciones edafoclimáticas De La Pampa Llana Santafesina. (Doctor Dissertation, , https://1library.co/document/q76kdkoy-variabilidad-espacial-rendimientos-glycine-propiedades-condiciones-edafoclimaticas-santafesina.html, Universidad Nacional de Córdoba, Argentina, Retrieved November 7, 2021, from; Anza, M., Garbisu, C., Salazar, O., Epelde, L., Alkorta, I., Martínez-Santos, M., Acidification alters the functionality of metal polluted (2021) Applied Soil Ecology, 163; Arétouyap, Z., Nouck, P.N., Nouayou, R., Kemgang, F.E.G., Toko, A.D.P., Asfahani, J., Lessening the adverse effect of the semivariogram model selection on an interpolative survey using kriging technique (2016) Springerplus, 5 (1), pp. 1-11; Beucher, A., Adhikari, K., Breuning-Madsen, H., Greve, M., Österholm, P., Fröjdö, S., Jensen, N.H., Greve, M., Mapping potential acid sulfate soils in Denmark using legacy data and LiDAR-based derivatives (2017) Geoderma, 308, pp. 363-372. , COI: 1:CAS:528:DC%2BC28XhtVaiurbM; Bui, E.N., High-resolution mapping of acid sulfate soils in Northern Australia through predictive models (2018) Environmental Chemistry Letters, 16 (4), pp. 1449-1455. , COI: 1:CAS:528:DC%2BC1cXhtVKjurfO; Burrough, P., van Mensvoort, M., Bos, J., (1988) Spatial Analysis as a Reconnaissance Survey Technique: An Example from Acid Sulphate Soil Regions of the Mekong Delta, Viet Nam, , https://library.wur.nl/WebQuery/wurpubs/fulltext/74708, Retrieved October 1, 2021, from; Camacho-Tamayo, J.H., Relación espacial entre la conductividad eléctrica y algunas propiedades químicas del suelo (2013) Revista UDCA Actualidad &amp; Divulgación Científica, 16 (2), pp. 401-408; Cambardella, C.A., Moorman, T.B., Parkin, T., Karlen, D., Novak, J., Turco, R., Konopka, A., Field-scale variability of soil properties in central Iowa soils (1994) Soil Science Society of American Journal; Castrogómez, H.M., Suelos sulfatados ácidos (2015) El Caso Del Valle Alto Del río Chicamocha, , https://repositorio.uptc.edu.co/handle/001/3889, Retrieved October 11, 2021, from; Cohen, J., Statistical power analysis (1992) Current Directions in Psychological Science, 1 (3), pp. 98-101; Combatt Caballero, E., Jarma Orozco, A., Palencia Luna, M., Modeling the requirements of agricultural limestone in acid sulfate soils of Brazil and Colombia (2019) Communications in Soil Science and Plant Analysis, 50 (8), pp. 935-947. , COI: 1:CAS:528:DC%2BC1MXmt1yku7Y%3D; Combatt Caballero, E., Mercado Fernández, T., Palencia Severiche, G., Alteración Química de la solución de un suelo sulfatado acido, con encalamiento y lavado en columna disturbadas (2009) Revista UDCA Actualidad &amp; Divulgación Científica, 12 (1), pp. 101-111; Corwin, D., Lesch, S., Characterizing soil spatial variability with apparent soil electrical conductivity: I. Survey protocols (2005) Computers and Electronics in Agriculture, 46 (1-3), pp. 103-133; Creeper, N.L., Hicks, W.S., Shand, P., Fitzpatrick, R.W., Geochemical processes following freshwater reflooding of acidified inland acid sulfate soils: An in situ mesocosm experiment (2015) Chemical Geology, 411, pp. 200-214. , COI: 1:CAS:528:DC%2BC2MXhtFKisLbO; Cutillas, P.P., Barberá, G.G., García, C.C., Efectos de las variables ambientales en la estimación de materia orgánica del suelo a escala regional en un ambiente semiarido (Región de Murcia, España). Boletín de La Asociación de Geógrafos Españoles. Retrieved June 2, 2021 (2017) From, , https://bage.age-geografia.es/ojs/index.php/bage/article/view/2497/2353; Delbari, M., Amiri, M., Motlagh, M.B., Assessing groundwater quality for irrigation using indicator kriging method (2016) Applied Water Science, 6 (4), pp. 371-381. , COI: 1:CAS:528:DC%2BC2cXhsFerurvF; What is the ArcGIS Geostatistical Analyst extension? Retrieved June 5, 2021 (2016) From, , https://desktop.arcgis.com/es/arcmap/104/extensions/geostatistical-analyst/what-is-arcgis-geostatistical-analyst-.htm; Estévez Nuño, V., Machine Learning methods for classification of Acid Sulfate soils in Virolahti. (Master dissertation). Arcada University of Applied Science. Finland. Retrieved June 2, 2021 (2020) From, , https://www.theseus.fi/bitstream/handle/10024/341151/Estevez_VirginiaN.pdf?sequence=5&amp;isAllowed=y; Estévez, V., Beucher, A., Mattbäck, S., Boman, A., Auri, J., Björk, K.-M., Österholm, P., Machine learning techniques for acid sulfate soil mapping in southeastern Finland (2022) Geoderma, 406; Fanning, D.S., Acid sulfate soils (2013) Encyclopedia of environmental management, pp. 26-30. , Jorgensen SE, (ed), CRC Press; Ferchichi, H., Farhat, B., Ben-Hamouda, M.F., Ben-Mammou, A., Understanding groundwater chemistry in Mediterranean semi-arid system using multivariate statistics techniques and GIS methods: Case of Manouba aquifer (Northeastern Tunisia) (2017) Arabian Journal of Geosciences, 10 (23), pp. 1-15. , COI: 1:CAS:528:DC%2BC2sXhvFGns77O; Fernández-Herrera, C., Combatt-Caballero, E., Rivera-Jiménez, H., Algunas características de la entomofauna de suelos sulfatados ácidos en Córdoba (2011) Colombia. Revista Mexicana De Ciencias Agrícolas, 2 (3), pp. 461-470; Fitzpatrick, R., Grealish, G., Chappell, A., Marvanek, S., Shand, P., Spatial variability of subaqueous and terrestrial acid sulfate soils and their properties, for the Lower Lakes South Australia. Retrieved June 4, 2021 (2010) From, , https://publications.csiro.au/rpr/download?pid=csiro:EP104644&amp;dsid=DS6; (2008) Acid Sulfate Soil Maps of the River Murray below Blanchetown (Lock 1) and Lakes Alexandrina and Albert When Water Levels were at Pre-Drought and Current Drought Conditions, , https://publications.csiro.au/rpr/download?pid=procite:dab940bd-8ada-41bf-b4cf-f1d4e4f1ecd2&amp;dsid=DS1, Retrieved June 4, 2021, from; Fitzpatrick, R., Powell, B., Marvanek, S., Atlas of Australian acid sulfate soils. Retrieved June 4, 2021 (2008) From, , https://www.researchgate.net/publication/284686754_Atlas_of_Australian_acid_sulfate_soils/link/5832a0c708ae004f74c2b2cf/download, (b); Fitzpatrick, R., Shand, P., Mosley, L., Acid sulfate soil evolution models and pedogenic pathways during drought and reflooding cycles in irrigated areas and adjacent natural wetlands (2017) Geoderma, 308, pp. 270-290. , COI: 1:CAS:528:DC%2BC2sXhtlCqu7bM; Gotway, C.A., Hartford, A.H., Geostatistical methods for incorporating auxiliary information in the prediction of spatial variables (1996) Journal of Agricultural, Biological, and Environmental Statistics.; Grealish, G., Fitzpatrick, R., Shand, P., Regional distribution trends and properties of acid sulfate soils during severe drought in wetlands along the lower River Murray, South Australia: Supporting hazard assessment (2014) Geoderma Regional, 2, pp. 60-71; Huang, Y., Li, Z., Ye, H., Zhang, S., Zhuo, Z., Xing, A., Huang, Y., Mapping soil electrical conductivity using Ordinary Kriging combined with Back-propagation network (2019) Chinese Geographical Science, 29 (2), pp. 270-282; Husson, O., Spatio-temporal variability of acid sulphate soils in the plain of reeds, Vietnam: Impact of soil properties, water management and crop husbandry on the growth and yield of rice in relation to microtopography. (Doctor dissertation). Wageningen University and Research. Retrieved June 4, 2021 (1998) From, , https://edepot.wur.nl/206281; Husson, O., Redox potential (Eh) and pH as drivers of soil/plant/microorganism systems: A transdisciplinary overview pointing to integrative opportunities for agronomy (2013) Plant and Soil, 362 (1), pp. 389-417. , COI: 1:CAS:528:DC%2BC38XhvV2ks7bM; Husson, O., Verburg, P., Phung, M.T., Van Mensvoort, M., Spatial variability of acid sulphate soils in the Plain of Reeds, Mekong delta (2000) Vietnam. Geoderma, 97 (1-2), pp. 1-19. , COI: 1:CAS:528:DC%2BD3cXktlCmtr4%3D; Ihl, T., Bautista, F., Cejudo Ruíz, F.R., Delgado, M., Quintana Owen, P., Aguilar, D., Goguitchaichvili, A., Concentration of toxic elements in topsoils of the metropolitan area of Mexico City: A spatial analysis using Ordinary kriging and Indicator kriging (2015) Revista Internacional De Contaminación Ambiental, 31 (1), pp. 47-62. , COI: 1:CAS:528:DC%2BC1cXhsVCkurzK; Codazzi, I.G.A., Producción agropecuaria en los grandes distritos de riego de Colombia ha sido Improvisada. Retrieved July 12,2021 (2017) From, , https://www.igac.gov.co/es/noticias/produccion-agropecuaria-en-los-grandes-distritos-de-riego-de-colombia-ha-sido-improvisada, (, March 20); Iñigo, V., Andrades, M., Alonso-Martirena, J., Marín, A., Jiménez-Ballesta, R., Multivariate statistical and GIS-based approach for the identification of Mn and Ni concentrations and spatial variability in soils of a humid Mediterranean environment: La Rioja, Spain (2011) Water, Air, &amp; Soil Pollution, 222 (1), pp. 271-284; Jamieson, P., Porter, J., Wilson, D., A test of the computer simulation model ARCWHEAT1 on wheat crops grown in New Zealand (1991) Field Crops Research, 27 (4), pp. 337-350; Jaramillo, D.F., Definition of homogeneous fertility areas through factorial and geostatistical analysis (2016) Boletín De Ciencias De La Tierra, 39, pp. 5-11; Jayalath, N., Mosley, L., Fitzpatrick, R., Marschner, P., Addition of organic matter influences pH changes in reduced and oxidised acid sulfate soils (2016) Geoderma, 262, pp. 125-132. , COI: 1:CAS:528:DC%2BC2MXhsVCnt77P; John, K., Afu, S., Isong, I., Aki, E., Kebonye, N., Ayito, E., Chapman, P., Penížek, V., Mapping soil properties with soil-environmental covariates using geostatistics and multivariate statistics (2021) International Journal of Environmental Science and Technology; Johnston, K., Ver Hoef, J.M., Krivoruchko, K., Lucas, N., Using ArcGIS geostatistical analyst. Retrieved June 3, 2021 (2001) From, , http://downloads2.esri.com/support/documentation/ao_/Using_ArcGIS_Geostatistical_Analyst.pdf; López, L.E.G., Protocolo para realizar análisis factorial en variables que afectan las condiciones laborales (2019) Ingeniare, 26, pp. 13-33; Machado, R.M.A., Serralheiro, R.P., Soil salinity: Effect on vegetable crop growth. Management practices to prevent and mitigate soil salinization (2017) Horticulturae, 3 (2), p. 30. , &amp;; Martínez, Z., Influencia de los niveles freáticos en la manifestación de la acidez por sulfuros en un área piloto del Bajo Sinú (2008) Córdoba; Martínez, Z., Zapata, R., Características hidrodinámicas en suelos sulfatados ácidos de un sector de la parte baja de la cuenca del río Sinú (2009) Suelos Ecuatoriales, 39 (2), pp. 126-131; Mendonça, S.K.G., de Moraes, E.M.V., Otero, X.L., Ferreira, T.O., Correa, M.M., de Sousa, J.E.S., do Nascimento, V.S., Occurrence and pedogenesis of acid sulfate soils in northeastern Brazil (2021) CATENA, 196. , C. W. A., Neves, L. V. de M. W., &amp; de Souza Junior, V; Murillo, D., Ortega, I., Carrillo, J.D., Pardo, A., Rendón, J., Comparación de métodos de interpolación para la generación de mapas de ruido en entornos urbanos (2012) Ingenierías USBMed, 3 (1), pp. 62-68; Montoya, O., Aplicación del análisis factorial a la investigación de mercados (2007) Scientia Et Technica, 1 (35), p. 286; Piccini, C., Marchetti, A., Farina, R., Francaviglia, R., Application of indicator kriging to evaluate the probability of exceeding nitrate contamination thresholds (2012) International Journal of Environmental Research, 6 (4), pp. 853-862. , COI: 1:CAS:528:DC%2BC3sXntFSrsg%3D%3D; Reza, S., Baruah, U., Singh, S., Das, T., Geostatistical and multivariate analysis of soil heavy metal contamination near coal mining area (2015) Northeastern India. Environmental Earth Sciences, 73 (9), pp. 5425-5433. , COI: 1:CAS:528:DC%2BC2cXhvVCnurnK; Roberts, R.C., McConchie, J., Preliminary assessment of the acid sulphate soils hazard in the Auckland region. Proceedings of the 20th NZGS Geotechnical Symposium (2017) Napier; Shan, Y., Tysklind, M., Hao, F., Ouyang, W., Chen, S., Lin, C., Identification of sources of heavy metals in agricultural soils using multivariate analysis and GIS (2013) Journal of Soils and Sediments, 13 (4), pp. 720-729. , COI: 1:CAS:528:DC%2BC3sXktleqt7o%3D; Soares, M.F., Centeno, L.N., Timm, L.C., Mello, C.R., Kaiser, D.R., Beskow, S., Identifying covariates to assess the spatial variability of saturated soil hydraulic conductivity using robust cokriging at the watershed scale (2020) Journal of Soil Science and Plant Nutrition, 20 (3), pp. 1491-1502. , COI: 1:CAS:528:DC%2BB3cXot1ajsbw%3D; Sukitprapanon, T., Suddhiprakarn, A., Kheoruenromne, I., Anusontpornperm, S., Gilkes, R.J., A comparison of potential, active and post-active acid sulfate soils in Thailand (2016) Geoderma Regional, 7 (3), pp. 346-356; Sun, X.L., Wu, Y.J., Zhang, C., Wang, H.L., Performance of median kriging with robust estimators of the variogram in outlier identification and spatial prediction for soil pollution at a field scale (2019) Science of the Total Environment, 666, pp. 902-914. , COI: 1:CAS:528:DC%2BC1MXjslOlu7w%3D; Uusi-Kämppä, J., Keskinen, R., Heikkinen, J., Guagliardi, I., Nuutinen, V., A map-based comparison of chemical characteristics in the surface horizon of arable acid and non-acid sulfate soils in coastal areas of Finland (2019) Journal of Geochemical Exploration, 200, pp. 193-200; Viloria, J., La economía del departamento de Córdoba: Ganadería y minería como sectores claves. Retrieved August 12, 2021 (2004) From, , https://www.banrep.gov.co/sites/default/files/publicaciones/archivos/DTSER-51.pdf; Vithana, C.L., Ulapane, P.A., Chandrajith, R., Sullivan, L.A., Bundschuh, J., Toppler, N., Ward, N.J., Senaratne, A., Acid sulfate soils on the west coast of Sri Lanka: A review (2021) Geoderma Regional, e00382. , https://doi.org/10.1016/j.geodrs.2021.e00382; Wani, M.A., Wani, J., Bhat, M., Kirmani, N., Wani, Z.M., Bhat, S.N., Mapping of soil micronutrients in Kashmir agricultural landscape using ordinary kriging and indicator approach (2013) Journal of the Indian Society of Remote Sensing, 41 (2), pp. 319-329; Webster, R., Oliver, M.A., (2007) Geostatistics for environmental scientists, , John Wiley &amp; Sons; </t>
  </si>
  <si>
    <t>Martínez L, Z.; Environmental Engineering Department, Colombia; email: zymartinezlara@correo.unicordoba.edu.co</t>
  </si>
  <si>
    <t>WAPLA</t>
  </si>
  <si>
    <t>Water Air Soil Pollut.</t>
  </si>
  <si>
    <t>2-s2.0-85131174368</t>
  </si>
  <si>
    <t>Vélez-Guerrero M.A., Callejas-Cuervo M., Álvarez J.C., Mazzoleni S.</t>
  </si>
  <si>
    <t>57194044803;57189839504;57209074060;56213350800;</t>
  </si>
  <si>
    <t>https://www.scopus.com/inward/record.uri?eid=2-s2.0-85130820226&amp;doi=10.3390%2fs22113999&amp;partnerID=40&amp;md5=ae277f7661a61789d9cb0a78b1c16b11</t>
  </si>
  <si>
    <t>Software Research Group, Universidad Pedagógica y Tecnológica de Colombia, Tunja, 150002, Colombia; Multisensor Systems and Robotics Group (SiMuR), Department of Electrical, Electronic, Computer and Systems Engineering, University of Oviedo, C/Pedro Puig Adam, Gijón, 33203, Spain; Department of Electrical and Information Engineering, Polytechnic University of Bari, Bari, 70126, Italy</t>
  </si>
  <si>
    <t>Vélez-Guerrero, M.A., Software Research Group, Universidad Pedagógica y Tecnológica de Colombia, Tunja, 150002, Colombia; Callejas-Cuervo, M., Software Research Group, Universidad Pedagógica y Tecnológica de Colombia, Tunja, 150002, Colombia; Álvarez, J.C., Multisensor Systems and Robotics Group (SiMuR), Department of Electrical, Electronic, Computer and Systems Engineering, University of Oviedo, C/Pedro Puig Adam, Gijón, 33203, Spain; Mazzoleni, S., Department of Electrical and Information Engineering, Polytechnic University of Bari, Bari, 70126, Italy</t>
  </si>
  <si>
    <t>Robotic exoskeletons are active devices that assist or counteract the movements of the body limbs in a variety of tasks, including in industrial environments or rehabilitation processes. With the introduction of textile and soft materials in these devices, the effective motion transmission, mechanical support of the limbs, and resistance to physical disturbances are some of the most desirable structural features. This paper proposes an evaluation protocol and assesses the mechanical support properties of a servo-controlled robotic exoskeleton prototype for rehabilitation in upper limbs. Since this prototype was built from soft materials, it is necessary to evaluate the mechanical behavior in the areas that support the arm. Some of the rehabilitation-supporting movements such as elbow flexion and extension, as well as increased muscle tone (spasticity), are emulated. Measurements are taken using the reference supplied to the system’s control stage and then compared with an external high-precision optical tracking system. As a result, it is evidenced that the use of soft materials provides satisfactory outcomes in the motion transfer and support to the limb. In addition, this study lays the groundwork for a future assessment of the prototype in a controlled laboratory environment using human test subjects. © 2022 by the authors. Licensee MDPI, Basel, Switzerland.</t>
  </si>
  <si>
    <t>device testing; mechanical support; optical motion capture; optical tracking; rehabilitation; robotic exoskeletons; soft materials; upper limbs; wearable devices</t>
  </si>
  <si>
    <t>Exoskeleton (Robotics); Motion analysis; Device testing; Mechanical support; Optical motion capture; Optical tracking; Robotic exoskeletons; Softer materials; Upper limbs; Upper-limb rehabilitation; Wearable devices; Wearable robotics; Wearable technology; elbow; electronic device; exoskeleton (rehabilitation); human; movement (physiology); physiology; procedures; stroke rehabilitation; upper limb; Elbow; Exoskeleton Device; Humans; Movement; Stroke Rehabilitation; Upper Extremity; Wearable Electronic Devices</t>
  </si>
  <si>
    <t>Universidad Pedagógica y Tecnológica de Colombia, UPTC: SGI 3161</t>
  </si>
  <si>
    <t>Funding: This research was funded by Universidad Pedagógica y Tecnológica de Colombia (project number SGI 3161) and the APC was funded by the same institution.</t>
  </si>
  <si>
    <t>Bai, S., Virk, G.S., Sugar, T.G., (2018) Wearable Exoskeleton Systems: Design, Control and Applications, , Bai, S.P., Virk, G.S., Sugar, T., Eds.; Institution of Engineering and Technology: London, UK; Gull, M.A., Bai, S., Bak, T., A Review on Design of Upper Limb Exoskeletons (2020) Robotics, 9, p. 16. , [CrossRef]; Ruiz-Olaya, A., Lopez-Delis, A., Ferreira da Rocha, A., Upper and Lower Extremity Exoskeletons (2019) Handbook of Biomechatronics, , Segil, J., Ed.; Elsevier: London, UK; Gopura, R.A.R.C., Kiguchi, K., Bandara, D.S.V., A Brief Review on Upper Extremity Robotic Exoskeleton Systems (2011) Proceedings of the 2011 6th International Conference on Industrial and Information Systems, 8502, pp. 346-351. , Kandy, Sri Lanka, 16–19 August; Qassim, H.M., Wan Hasan, W.Z., A Review on Upper Limb Rehabilitation Robots (2018) Appl. Sci, 10, p. 6976. , [CrossRef]; Vélez-Guerrero, M.A., Callejas-Cuervo, M., Mazzoleni, S., Artificial Intelligence-based Wearable Robotic Exoskeletons for Upper Limb Rehabilitation: A Review (2021) Sensors, 21, p. 2146. , [CrossRef] [PubMed]; Farzaneh, M.M., A Review Study on the Design of an Exoskeleton Robot (2021) Int. J. Sci. Tech. Res. Eng, 6, pp. 10-17; Zhu, M., Sun, Z., Chen, T., Lee, C., Low Cost Exoskeleton Manipulator Using Bidirectional Triboelectric Sensors Enhanced Multiple Degree of Freedom Sensory System (2021) Nat. Commun, 12, p. 2692. , [CrossRef] [PubMed]; Sanchez-Villamañan, M.D.C., Gonzalez-Vargas, J., Torricelli, D., Moreno, J.C., Pons, J.L., Compliant Lower Limb Exoskeletons: A Comprehensive Review on Mechanical Design Principles (2019) J. Neuroeng. Rehabil, 16, p. 55. , [CrossRef] [PubMed]; Stewart, A.M., Pretty, C.G., Adams, M., Chen, X.Q., Review of Upper Limb Hybrid Exoskeletons (2017) IFAC-PapersOnLine, 50, pp. 15169-15178. , [CrossRef]; Shahid, T., Gouwanda, D., Nurzaman, S.G., Gopalai, A.A., Moving toward Soft Robotics: A Decade Review of the Design of Hand Exoskeletons (2018) Biomimetics, 3, p. 17. , [CrossRef]; Jain, A., Jain, K., Soft Exosuit—A Review (2020) Int. Robot. Autom. J, 6, pp. 99-101. , [CrossRef]; Wei, W., Qu, Z., Wang, W., Zhang, P., Hao, F., Design on the Bowden Cable-Driven Upper Limb Soft Exoskeleton (2018) Appl. Bionics Biomech, 2018, p. 1925694. , [CrossRef]; Ilami, M., Bagheri, H., Ahmed, R., Skowronek, E.O., Marvi, H., Materials, Actuators, and Sensors for Soft Bioinspired Robots (2021) Adv. Mater, 33, pp. 1-47. , [CrossRef] [PubMed]; Majidi Fard Vatan, H., Nefti-Meziani, S., Davis, S., Saffari, Z., El-Hussieny, H., A Review: A Comprehensive Review of Soft and Rigid Wearable Rehabilitation and Assistive Devices with a Focus on the Shoulder Joint (2021) J. Intell. Robot. Syst, 102, p. 9. , [CrossRef]; He, T., Lee, C., Evolving Flexible Sensors, Wearable and Implantable Technologies Towards BodyNET for Advanced Healthcare and Reinforced Life Quality (2021) IEEE Open J. Circuits Syst, 2, pp. 702-720. , [CrossRef]; Baniqued, P.D.E., Baldovino, R.G., Bugtai, N.T., Design Considerations in Manufacturing Cost-Effective Robotic Exoskeletons for Upper Extremity Rehabilitation (2015) Proceedings of the 2015 International Conference on Humanoid, Nanotechnology, Information Technology, Communication and Control, Environment and Management (HNICEM), , Cebu, Philippines, 9–12 December; O’Sullivan, L., Nugent, R., van der Vorm, J., Standards for the Safety of Exoskeletons Used by Industrial Workers Performing Manual Handling Activities: A Contribution from the Robo-Mate Project to Their Future Development (2015) Procedia Manuf, 3, pp. 1418-1425. , [CrossRef]; Steinhilber, B., Luger, T., Schwenkreis, P., Middeldorf, S., Bork, H., Mann, B., von Glinski, A., Schmauder, M., The Use of Exoskeletons in the Occupational Context for Primary, Secondary, and Tertiary Prevention of Work-Related Musculoskeletal Complaints (2020) IISE Trans. Occup. Ergon. Hum. Factors, 8, pp. 132-144. , [CrossRef]; Lee, S., Karavas, N., Quinlivan, B.T., Louiseryan, D., Perry, D., Eckert-Erdheim, A., Murphy, P., Athanassiu, M., Autonomous Multi-Joint Soft Exosuit for Assistance with Walking Overground (2018) Proceedings of the 2018 IEEE International Conference on Robotics and Automation (ICRA), , Brisbane, Australia, 21–25 May; Bessler, J., Prange-Lasonder, G.B., Schaake, L., Saenz, J.F., Bidard, C., Fassi, I., Valori, M., Buurke, J.H., Safety Assessment of Rehabilitation Robots: A Review Identifying Safety Skills and Current Knowledge Gaps (2021) Front. Robot. AI, 8, p. 33. , [CrossRef]; Lee, D.J., Bae, S.J., Jang, S.H., Chang, P.H., Design of a Clinically Relevant Upper-Limb Exoskeleton Robot for Stroke Patients with Spasticity (2017) Proceedings of the 2017 International Conference on Rehabilitation Robotics, , ICORR, London, UK, 17–20 July; Sposito, M., Di Natali, C., Toxiri, S., Caldwell, D.G., De Momi, E., Ortiz, J., Exoskeleton Kinematic Design Robustness: An Assessment Method to Account for Human Variability (2020) Wearable Technol, 1, pp. 1-26. , [CrossRef]; Choi, H., Seo, K., Hyung, S., Shim, Y., Lim, S.C., Compact Hip-Force Sensor for a Gait-Assistance Exoskeleton System (2018) Sensors, 18, p. 566. , [CrossRef]; Sorriento, A., Porfido, M.B., Mazzoleni, S., Calvosa, G., Tenucci, M., Ciuti, G., Dario, P., Optical and Electromagnetic Tracking Systems for Biomedical Applications: A Critical Review on Potentialities and Limitations (2020) IEEE Rev. Biomed. Eng, 13, pp. 212-232. , [CrossRef]; Tiboni, M., Borboni, A., Vérité, F., Bregoli, C., Amici, C., Sensors and Actuation Technologies in Exoskeletons: A Review (2022) Sensors, 22, p. 884. , [CrossRef]; Martinez-Hernandez, U., Metcalfe, B., Assaf, T., Jabban, L., Male, J., Zhang, D., Wearable Assistive Robotics: A Perspective on Current Challenges and Future Trends (2021) Sensors, 21, p. 6751. , [CrossRef] [PubMed]; Khan, M.A., Saibene, M., Das, R., Brunner, I., Puthusserypady, S., Emergence of Flexible Technology in Developing Advanced Systems for Post-Stroke Rehabilitation: A Comprehensive Review (2021) J. Neural Eng, 18, p. 061003. , [CrossRef] [PubMed]; Alguacil-Diego, I.M., Cuesta-Gómez, A., Contreras-González, A.F., Pont-Esteban, D., Cantalejo-Escobar, D., Sánchez-Urán, M.Á., Ferre, M., Validation of a Hybrid Exoskeleton for Upper Limb Rehabilitation. A Preliminary Study (2021) Sensors, 21, p. 7342. , [CrossRef] [PubMed]; Veneva, I., Chakarov, D., Tsveov, M., Exoskeleton with Soft Actuation and Haptic Interface (2016) Proceedings of the 2nd International Symposium on Wearable Robotics, , WeRob2016, Segovia, Spain, 18–21 October; Sui, D., Fan, J., Jin, H., Cai, X., Zhao, J., Zhu, Y., Design of a Wearable Upper-Limb Exoskeleton for Activities Assistance of Daily Living (2017) Proceedings of the 2017 IEEE International Conference on Advanced Intelligent Mechatronics (AIM), , Munich, Germany, 3–7 July; Seth, D., Vardhan Varma, V.K.H., Anirudh, P., Kalyan, P., Preliminary Design of Soft Exo-Suit for Arm Rehabilitation (2019) Digital Human Modeling and Applications in Health, Safety, Ergonomics and Risk Management, Healthcare Applications, Proceedings of the International Conference on Human-Computer Interaction HCII 2019, , Orlando, FL, USA, 26–31 July Lecture Notes in Computer Science; Duffy, Ed.; Springer: Cham, Switzerland, 2019; O’Neill, C.T., McCann, C.M., Hohimer, C.J., Bertoldi, K., Walsh, C.J., Unfolding Textile-Based Pneumatic Actuators for Wearable Applications (2022) Soft Robot, 9, pp. 163-172. , [CrossRef] [PubMed]; Pérez Vidal, A.F., Rumbo Morales, J.Y., Ortiz Torres, G., Sorcia Vázquez, F.D.J., Cruz Rojas, A., Brizuela Mendoza, J.A., Rodríguez Cerda, J.C., Soft Exoskeletons: Development, Requirements, and Challenges of the Last Decade (2021) Actuators, 10, p. 166. , [CrossRef]; Planas-Lara, A.E., Ducun-Lecumberri, M., Tomás-Royo, J.A., Marín, J., Marín, J.J., Objective Techniques to Measure the Effect of an Exoskeleton (2022) Biosyst. Biorobot, 27, pp. 577-581; Yahya, M., Shah, J.A., Kadir, K.A., Yusof, Z.M., Khan, S., Warsi, A., Motion Capture Sensing Techniques Used in Human Upper Limb Motion: A Review (2019) Sens. Rev, 39, pp. 504-511. , [CrossRef]; Colyer, S.L., Evans, M., Cosker, D.P., Salo, A.I.T., A Review of the Evolution of Vision-Based Motion Analysis and the Integration of Advanced Computer Vision Methods Towards Developing a Markerless System (2018) Sports Med. Open, 4, p. 24. , [CrossRef]; Nagymáté, G., Kiss, R.M., Application of OptiTrack Motion Capture Systems in Human Movement Analysis. A Systematic Literature Review (2018) Recent Innov. Mechatron, 5, pp. 1-9; Alarcón-Aldana, A.C., Callejas-Cuervo, M., Bo, A.P.L., Upper Limb Physical Rehabilitation Using Serious Videogames and Motion Capture Systems: A Systematic Review (2020) Sensors, 20, p. 5989. , [CrossRef]; Pasinetti, S., Nuzzi, C., Covre, N., Luchetti, A., Maule, L., Serpelloni, M., Lancini, M., Validation of Marker-Less System for the Assessment of Upper Joints Reaction Forces in Exoskeleton Users (2020) Sensors, 20, p. 3899. , [CrossRef] [PubMed]; Pacifico, I., Molteni, F., Giovacchini, F., Vitiello, N., Crea, S., Scano, A., Guanziroli, E., Chiavenna, A., An Experimental Evaluation of the Proto-Mate: A Novel Ergonomic Upper-Limb Exoskeleton to Reduce Workers’ Physical Strain (2020) IEEE Robot. Autom. Mag, 27, pp. 54-65. , [CrossRef]; Li, X., Li, W., Li, Q., Method, Design, and Evaluation of an Exoskeleton for Lifting a Load in Situ (2021) Appl. Bionics Biomech, 2021, p. 5513013. , [CrossRef] [PubMed]; Samper-Escudero, J.L., Contreras-Gonzalez, A.F., Pont-Esteban, D., Saez-Saez, F.J., Sanchez-Uran, M.A., Ferre, M., Assessment of an Upper Limb Exosuit with Textile Coupling (2020) Proceedings of the 2020 IEEE International Conference on Human-Machine Systems (ICHMS), , Rome, Italy, 7–9 September; Samper-Escudero, J.L., Coloma, S., Olivares-Mendez, M.A., Sanchez-Uran, M.A., Ferre, M., Assessment of a Textile Portable Exoskeleton for the Upper Limbs’ Flexion (2021) Proceedings of the 2nd IEEE International Conference on Human-Machine Systems ICHMS 2021, , Magdeburg, Germany, 8–10 September; Piña-Martínez, E., Roberts, R., Leal-Merlo, S., Rodriguez-Leal, E., Vision System-Based Design and Assessment of a Novel Shoulder Joint Mechanism for an Enhanced Workspace Upper Limb Exoskeleton (2018) Appl. Bionics Biomech, 2018, p. 6019381. , [CrossRef] [PubMed]; Huysamen, K., Bosch, T., de Looze, M., Stadler, K.S., Graf, E., O’Sullivan, L.W., Evaluation of a Passive Exoskeleton for Static Upper Limb Activities (2018) Appl. Ergon, 70, pp. 148-155. , [CrossRef]; Vélez-Guerrero, M.A., Callejas-Cuervo, M., Mazzoleni, S., Design, Development, and Testing of an Intelligent Wearable Robotic Exoskeleton Prototype for Upper Limb Rehabilitation (2021) Sensors, 21, p. 5411. , [CrossRef]; Vélez-Guerrero, M.A., Callejas-Cuervo, M., Mazzoleni, S., Integration and Testing of a High-Torque Servo-Driven Joint and Its Electronic Controller with Application in a Prototype Upper Limb Exoskeleton (2021) Sensors, 21, p. 7720. , [CrossRef]; OptiTrack OptiTrack—Motion Capture Systems, , https://optitrack.com/, (accessed on 26 April 2022); Bi, S., Gu, Y., Zou, J., Wang, L., Zhai, C., Gong, M., High Precision Optical Tracking System Based on near Infrared Trinocular Stereo Vision (2021) Sensors, 21, p. 2528. , [CrossRef]; van der Kruk, E., Reijne, M.M., Accuracy of Human Motion Capture Systems for Sport Applications; State-of-the-Art Review (2018) Eur. J. Sport Sci, 18, pp. 806-819. , [CrossRef]; Dudzik, S., Application of the Motion Capture System to Estimate the Accuracy of a Wheeled Mobile Robot Localization (2020) Energies, 13, p. 6437. , [CrossRef]; Ceseracciu, E., Sawacha, Z., Cobelli, C., Comparison of Markerless and Marker-Based Motion Capture Technologies through Simultaneous Data Collection during Gait: Proof of Concept (2014) PLoS ONE, 9, p. e87640. , [CrossRef] [PubMed]; Vélez-Guerrero, M.A., Callejas-Cuervo, M., Álvarez, J.C., Mazzoleni, S., López, A.M., Álvarez, D., Gonzalez, L., Protocol Proposal for the Mechanical Evaluation of a Soft Robotic Exoskeleton Using an Optical Motion Capture System (2022) Proceedings of the 2022 Global Medical Engineering Physics Exchanges/Pan American Health Care Exchanges (GMEPE/PAHCE), , Panamá City, Panamá, 21–26 March; Plagenhoef, S., Evans, F.G., Abdelnour, T., Anatomical Data for Analyzing Human Motion (1983) Res. Q. Exerc. Sport, 54, pp. 169-178. , [CrossRef]; De Leva, P., Adjustments to Zatsiorsky-Seluyanov’s Segment Inertia Parameters (1996) J. Biomech, 29, pp. 1223-1230. , [CrossRef]; Walpole, S.C., Prieto-Merino, D., Edwards, P., Cleland, J., Stevens, G., Roberts, I., The Weight of Nations: An Estimation of Adult Human Biomass (2012) BMC Public Health, 12, p. 439. , [CrossRef] [PubMed]; Wu, Y.N., Park, H.S., Chen, J.J., Ren, Y., Roth, E.J., Zhang, L.Q., Position as Well as Velocity Dependence of Spasticity-Four-Dimensional Characterizations of Catch Angle (2018) Front. Neurol, 9, p. 863. , [CrossRef] [PubMed]; Schmit, B.D., Dhaher, Y., Dewald, J.P.A., Zev Rymer, W., Reflex Torque Response to Movement of the Spastic Elbow: Theoretical Analyses and Implications for Quantification of Spasticity (1999) Ann. Biomed. Eng, 27, pp. 815-829. , [CrossRef] [PubMed]; McGibbon, C.A., Sexton, A., Jones, M., O’Connell, C., Quantification of Elbow Muscle Tone from an Instrumented Manual Stretch-Reflex Test (2016) Phys. Med. Rehabil. Res, 1, pp. 1-11. , [CrossRef]; Katz, R.T., Rovai, G.P., Brait, C., Rymer, W.Z., Objective Quantification of Spastic Hypertonia (1992) Arch. Med. Rehabil, 73, pp. 339-347. , [CrossRef]</t>
  </si>
  <si>
    <t>Vélez-Guerrero, M.A.; Software Research Group, Colombia; email: manuel.velez@uptc.edu.co</t>
  </si>
  <si>
    <t>2-s2.0-85130820226</t>
  </si>
  <si>
    <t>Galeano-Peñaloza J., Casas-Sánchez O.F., Chacón-Cortés L.F.</t>
  </si>
  <si>
    <t>44760966100;56623140200;55945369600;</t>
  </si>
  <si>
    <t>P-Adic Numbers, Ultrametric Analysis, and Applications</t>
  </si>
  <si>
    <t>https://www.scopus.com/inward/record.uri?eid=2-s2.0-85130310208&amp;doi=10.1134%2fS2070046622020029&amp;partnerID=40&amp;md5=e6d39e1cbd387402492e9579ce0969e8</t>
  </si>
  <si>
    <t>Departamento de Matemáticas, Universidad Nacional de Colombia, Bogotá, Colombia; Escuela de Matemáticas y Estadística, Universidad Pedagógica y Tecnológica de Colombia, Tunja, Colombia; Departamento de Matemáticas, Pontificia Universidad Javeriana, Bogotá, Colombia</t>
  </si>
  <si>
    <t>Galeano-Peñaloza, J., Departamento de Matemáticas, Universidad Nacional de Colombia, Bogotá, Colombia; Casas-Sánchez, O.F., Escuela de Matemáticas y Estadística, Universidad Pedagógica y Tecnológica de Colombia, Tunja, Colombia; Chacón-Cortés, L.F., Departamento de Matemáticas, Pontificia Universidad Javeriana, Bogotá, Colombia</t>
  </si>
  <si>
    <t>Abstract: There are several techniques in the classical case for some integro-differential equations involving the concept of entropy to show some properties of the solution. In this work, we deal with the p-adic scattering equation. We adapt these methods to investigate the convergence of the solutions and their qualitative properties, including mass conservation, regularity and stability. Most of these results follow from the General Relative Entropy Inequality. We also show the existence of Feller processes attached to the p-adic scattering equations. © 2022, Pleiades Publishing, Ltd.</t>
  </si>
  <si>
    <t>entropy methods; Feller process; general relative entropy inequality; p-adic numbers; scattering equation</t>
  </si>
  <si>
    <t>The authors thank the referee for carefully reading the original manuscript.</t>
  </si>
  <si>
    <t>Albeverio, S., Khrennikov, A.Y., Shelkovich, V.K., (2010) Theory of p-Adic Distributions. Linear and Nonlinear Models, 370. , London Mathematical Society Lecture Note Series, Cambridge Univ. Press; Avetisov, V.A., Bikulov, A.K., Osipov, V.A., p-Adic description of characteristic relaxation in complex systems (2003) J. Phys. A., 36 (15), pp. 4239-4246; Applebaum, D., (2019) Semigroups of Linear Operators with Applications to Analysis, Probability and Physics, , London Mathematical Society Student Texts, Cambridge Univ. Press; Brézis, H., (1984) Análisis Funcional Teoria y Aplicaciones, , Alianza Editorial, España; Jacob, N., (2001) Pseudodifferential Operators and Markov Processes, , Imperial College Press, London; Michel, P., Mischler, S., Perthame, B., General entropy equations for structured population models and scattering (2004) C. R. Acad. Sc. Paris, Sér., 338 (I), pp. 697-702; Michel, P., Mischler, S., Perthame, B., General relative entropy inequality: an illustration on growth models (2005) J. Math. Pures Appl., 84 (9), pp. 1235-1260; Mischler, S., Perthame, B., Ryzhik, L., Stability in a nonlinear population maturation model (2002) Math. Models Meth. Appl. Sci., 12 (12), pp. 1751-1772; Othmer, H.G., Dunbar, S.R., Alt, W., Models of dispersal in biological systems (1988) J. Math. Biol., 26, pp. 263-298; Perthame, B., (2015) Parabolic equations in biology, growth, reaction, movement and diffusion, , Lecture Notes on Mathematical Modelling the Life Sciences, Springer, Paris, France; Perthame, B., (2007) Transport Equations in Biology, , Frontiers Mathematics, Birkhäuser Verlag, Switzerland; Smoller, J., (1994) Shock Waves and Reaction-Diffusion Equations, , Springer, New York; Ethier, S.N., Kurtz, T.G., (2005) Markov Processes: Characterization and Convergence, , Wiley Series Probability and Statistics, John Wiley &amp; Sons, Inc; Torresblanca-Badillo, A., Zúñiga-Galindo, W.A., Ultrametric diffusion, exponential landscapes, and the first passage time problem (2018) Acta Appl. Math., 157, pp. 93-116; Zamponi, N., (2017) Entropy Methods for Diffusive PDEs, , Lecture Notes From a Lecture Series, Vienna Univ. of Technology</t>
  </si>
  <si>
    <t>Galeano-Peñaloza, J.; Departamento de Matemáticas, Colombia; email: jgaleanop@unal.edu.co</t>
  </si>
  <si>
    <t>Casas-Sánchez</t>
  </si>
  <si>
    <t>Chacón-Cortés</t>
  </si>
  <si>
    <t>Pleiades journals</t>
  </si>
  <si>
    <t>P-adic Numbers Ultrametr. Anal. Appl.</t>
  </si>
  <si>
    <t>2-s2.0-85130310208</t>
  </si>
  <si>
    <t>Vega-Useche L., Vega-Useche C.</t>
  </si>
  <si>
    <t>57193829738;57682801100;</t>
  </si>
  <si>
    <t>How long should the pre-surgical fasting time be in patients with enteral tube nutrition?</t>
  </si>
  <si>
    <t>International Journal of Surgery Open</t>
  </si>
  <si>
    <t>https://www.scopus.com/inward/record.uri?eid=2-s2.0-85129945206&amp;doi=10.1016%2fj.ijso.2022.100477&amp;partnerID=40&amp;md5=698401eb8d966e4fef1aa12433d23ed7</t>
  </si>
  <si>
    <t>Department of Anesthesiology and Perioperative Medicine, Fundación Universitaria Sanitas, Bogotá, Colombia; Grupo de Investigación ACEMED UPTC, Tunja, Colombia; Medical Student, Universidad Pedagógica y Tecnológica de Colombia, Tunja, Colombia</t>
  </si>
  <si>
    <t>Vega-Useche, L., Department of Anesthesiology and Perioperative Medicine, Fundación Universitaria Sanitas, Bogotá, Colombia, Grupo de Investigación ACEMED UPTC, Tunja, Colombia; Vega-Useche, C., Medical Student, Universidad Pedagógica y Tecnológica de Colombia, Tunja, Colombia</t>
  </si>
  <si>
    <t>Enteral feeding; Enteral nutrition; Fasting</t>
  </si>
  <si>
    <t>enteric feeding; fasting; human; Letter; preoperative period; stomach content</t>
  </si>
  <si>
    <t>Practice guidelines for preoperative fasting and the use of pharmacologic agents to reduce the risk of pulmonary aspiration: application to healthy patients undergoing elective procedures: an updated report by the American Society of Anesthesiologists Task Force on preoperative fasting and the use of pharmacologic agents to reduce the risk of pulmonary aspiration (2017) Anesthesiology, 126, pp. 376-393; Jenkins, B., Calder, P.C., Marino, L.V., Evaluation of implementation of fasting guidelines for enterally fed critical care patients (2018) Clin Nutr; Gonik, N., Tassler, A., Ow, T.J., Smith, R.V., Shuaib, S., Cohen, H.W., Randomized controlled trial assessing the feasibility of shortened fasts in intubated ICU patients undergoing tracheotomy (2016) Otolaryngol Head Neck Surg, 154 (1), pp. 87-93; Segaran, E., Barker, I., Hartle, A., Optimising enteral nutrition in critically ill patients by reducing fasting times (2015) J Intensive Care Soc; Jiyong, J., Tiancha, H., Huiqin, W., Jingfen, J., Effect of gastric versus post-pyloric feeding on the incidence of pneumonia in critically ill patients: observations from traditional and Bayesian random-effects meta-analysis (2013) Clin Nutr, 32 (1), pp. 8-15</t>
  </si>
  <si>
    <t>Vega-Useche, L.; Department of Anesthesiology and Perioperative Medicine, Colombia; email: ls.vegaus@unisanitas.edu.co</t>
  </si>
  <si>
    <t>Intl. J. Surg.</t>
  </si>
  <si>
    <t>2-s2.0-85129945206</t>
  </si>
  <si>
    <t>Evaluation of rare earth substitution in the structural and magnetic properties of the REBa1-xSrxCuFeO5 (x = 0.0, 0.25 and 0.5) system</t>
  </si>
  <si>
    <t>https://www.scopus.com/inward/record.uri?eid=2-s2.0-85127805406&amp;doi=10.1016%2fj.mseb.2022.115719&amp;partnerID=40&amp;md5=415f6806f5e4277f6ebad14cb0d0d3db</t>
  </si>
  <si>
    <t>Grupo Física de Materiales, Universidad Pedagógica y Tecnológica de Colombia, Avenida Central Del Norte 39-115, Boyacá, Tunja, 150003, Colombia; Centro de Ciências Naturais e Humanas (CCNH), Universidade Federal Do ABC (UFABC), SP, Santo André, 09210-580, Brazil</t>
  </si>
  <si>
    <t>Saavedra Gaona, I.M., Grupo Física de Materiales, Universidad Pedagógica y Tecnológica de Colombia, Avenida Central Del Norte 39-115, Boyacá, Tunja, 150003, Colombia; Munevar, J., Centro de Ciências Naturais e Humanas (CCNH), Universidade Federal Do ABC (UFABC), SP, Santo André, 09210-580, Brazil; Parra Vargas, C.A., Centro de Ciências Naturais e Humanas (CCNH), Universidade Federal Do ABC (UFABC), SP, Santo André, 09210-580, Brazil</t>
  </si>
  <si>
    <t>YBaCuFeO5 double perovskite has received attention because it is one of the few materials with the possibility to be multiferroic at room temperature. It is possible to explore such properties by partially replacing yttrium (Y) with rare earth elements (RE) or varying the chemical pressure of the system by replacing Ba with Sr. The synthesis and characterization of the new materials with the formula REBa1-xSrxCuFeO5, using the solid-state reaction method is reported. The results show that RE substitution allows the growth of single-phase materials, with tetragonal structure and symmetry P4mm. The morphological results evidence a consistent morphology by using the synthesis method. The magnetization curves in a temperature range of 50 to 380 K show, for the RE = Y system, a magnetic phase transitions at high temperature (&amp;lt;250 K). However, no magnetic transition was observed for compounds doped with RE = Ho, Dy, and Gd. © 2022 Elsevier B.V.</t>
  </si>
  <si>
    <t>Multiferroic; SEM; Solid-state; VSM; XRD</t>
  </si>
  <si>
    <t>Barium compounds; Iron compounds; Magnetism; Perovskite; Rare earths; Solid state reactions; Strontium compounds; X ray diffraction; Chemical pressures; Double perovskites; Multiferroics; Property; Rare-earth substitution; Solid-state; Structural and magnetic properties; Synthesis and characterizations; VSM; XRD; Copper compounds</t>
  </si>
  <si>
    <t>We want to thank the administrative UPTC Directorate of Investigations in Colombia for financing this work.</t>
  </si>
  <si>
    <t>Lal Surender, C.S., Yadav, K.M., (2019) J. Appl. Phys., 126-14, p. 144101; Cheong, S.-W., Mostovoy, M., Multiferroics: a magnetic twist for ferroelectricity (2007) Nat. Mater., 6 (1), pp. 13-20; Suescun, L., Jones, C.Y., Cardoso, C.A., Lynn, J.W., Toby, B.H., Araújo-Moreira, F.M., de Lima, O.F., Mombru, A.W., (2005) Phys. Rev. B., 7 (14), p. 44405; Morin, M., Scaramucci, A., Bartkowiak, M., Pomjakushina, E., Deng, G., Sheptyakov, D., Keller, L., Medarde, M., (2015) Phys. Rev. B., 91 (6), p. 064408; Liang, X., Matyushov, A., Hayes, P., Schell, V., Dong, C., Chen, H., Sort, J., (2021) IEEE Trans. Magn., 57 (8), pp. 1-57; Mu, S., Wysocky, A.L., Belaschenko, K., (2013) Phys. Rev. B., 87, p. 054435; Lebeugle, D., Colson, D., Forget, A., Viret, M., (2007) Appl. Phys. Lett., 91 (2), p. 022907; Pullar, R.C., (2012) Prog. Mater. Sci., 57 (7), pp. 1191-1334; Er- Rakho, L., Michael, C., Lacorre, P.H., Raveau, B., (1988) J. Solid-State Chem., 73 (2), pp. 531-535; Zhou, W., (1994) Chem. Mater., 6 (4), pp. 441-447; Chapman, J.P., Attfield, J.P., Molgg, M., Friend, C.M., Beales, T.P., (1996) Angewandte Chemie Int. Edition in English, 35 (21), pp. 2482-2484; Kundys, B., Maignan, A., Simon, C., (2009) Appl. Phys. Lett., 94 (7), p. 072506; Kimura, T., Goto, T., Shintani, H., Ishizaka, K., Arima, T.H., Tokura, Y., (2003), pp. 55-58. , nature. 426(6962); Morin, M., Canévet, E., Raynaud, A., Bartkowiak, M., Sheptyakov, D., Ban, V., Medarde, M., (2016) Nat. Commun., 7 (1), pp. 1-7; Dey, D., Nandy, S., Maitra, T., Yadav, C.S., Taraphder, A., (2018) Sci. Rep., 8 (1), pp. 1-9; Surender, L., Upadhyay, S.K., Mukherjee, K., Yadav, C.S., (2017) Europhysics Letters., 117 (6), p. 67006; Zhou, Q., He, T., He, Q., Ji, Y., (2009) Electrochem. Commun., 11 (1), pp. 80-83; Ling, Y., lin, B., Zhao, L., Zhang, X., Yu, J., Peng, R., Meng, G., Liu, X., (2010) J. Alloy. Compd., 493, pp. 252-255; Rentschler, T., (1996) Thermochemical acta., 284 (2), pp. 367-378; Scaramucci, A., (2018) Phys. Rev. X., 8 (1), p. 011005; Scaramucci, A., Shinaoka, H., Mostovoy, M.V., Lin, R., Mudry, C., Muller, M., (2020) Phys. Rev. Res., 2 (1), p. 013273; Shang, T., Canévet, E., Morin, M., Sheptyakov, D., Fernández-Díaz, M.T., Pomjakushina, E., Medarde, M., (2018) Sci. Adv.,5(10), p. eaau6386; Toby, B.H., (2001) J. Appl. Crystallogr., 34 (2), pp. 210-213; Dey, D., Nandy, S., Maitra, T., Yadav, C.S., Taraphder, A., (2017), arXiv preprint. arXiv:1703.07311; Surender, L., Mukherjee, K., Yadav, C.S., (2019) Physica. B: Condensed Matter., 570, pp. 191-193; Caignaert, V., Mirebeau, I., Bourée, F., Nguyen, N., Ducouret, A., Greneche, J.M., Raveau, B., (1995) J. Solid-State Chem., 114 (1), pp. 24-35; Pissas, M., (2017) J. Magn. Magn. Mater., 432, pp. 224-230; Zhang, X., Romaguera, A., Fabelo, O., Fauth, F., Herrero-Martín, J., García-Muñoz, J.L., (2021) Acta. Materialia.116608, 206; Pissas, M., Mitros, C., Kallias, G., Psycharis, V., Simopoulos, A., Kostikas, A., Niarchos, D., (1992) Physica. C: Superconductivity., 192, pp. 5-40; Suematsu, H., Linden, J., Nagase, M., Tomokiyo, Y., Karppinen, M., Yamauchi, H., (2004) J. Solid State Chem., 177 (6), pp. 1958-1964; Shannon, R.D., (1976) Acta crystallographica section A: crystal phys. diffraction, theoretical and general crystallography., 32 (5), pp. 751-767; Routray, K.L., Behera, D., (2015) Orissa J. Phys., 22, pp. 197-204; Khorsand Zak, A., Abd, W.H., Majid, M.E., Abrishami, R.Y., (2011) Solid State Sci., 13, pp. 251-256; Saavedra Gaona, I.M., Caro Anzola, E.W., Turatti, A.M., Pimentel, J.L., Mesquita, F., Moran, O., Parra Vargas, C.A., (2021) Ceram. Int., 47 (7), pp. 9984-9989; Cuervo Farfán, J.A., Benavides Lara, J.P., Parra Vargas, C.A., Landínez Téllez, D.A., Roa Rojas, J., (2021) J Low Temp Phys., 202, pp. 128-144; Luo, Z.P., Koo, J.H., (2007) J. Microsc., 225 (2), pp. 118-125; J. A. Cuervo Farfán, J. Roa Rojas, Universidad Nacional de Colombia. 2021 2021209 (accessed 28 january 2022); Chu, Y.H., Martin, L.W., Holcomb, M.B., Ramesh, R., (2007) Mater. Today, 10, pp. 16-23; Morin, M., Canévet, E., Raynaud, A., Bartkowiak, M., Sheptyakov, D., Ban, V., Medarde, M., (2016) Nat. Commun., 7, pp. 1-7; Lal Surender, K., Mukherjee, C.S.Y., (2018) Solid State Commun., 270, pp. 130-134; Surender, L., Mukherjee, K., Yadav, C.S., (2019) Physica. B: Condensed Matter., 570, pp. 35-40</t>
  </si>
  <si>
    <t>Retracted</t>
  </si>
  <si>
    <t>2-s2.0-85127805406</t>
  </si>
  <si>
    <t>Da Silva A.B., Farias E.</t>
  </si>
  <si>
    <t>57457772100;35190233600;</t>
  </si>
  <si>
    <t>Contributions of an inland carnival to the perspective of post-abolitionist historiographic memory in the 20th and 21st centuries [Contribuições de um carnaval do interior para a perspectiva da memória historiográfica pós-abolicionista nos séculos XX e XXI]</t>
  </si>
  <si>
    <t>10.19053/20275137.n24.2022.10781</t>
  </si>
  <si>
    <t>https://www.scopus.com/inward/record.uri?eid=2-s2.0-85124846838&amp;doi=10.19053%2f20275137.n24.2022.10781&amp;partnerID=40&amp;md5=40419cb1001d53840e185d2903773eba</t>
  </si>
  <si>
    <t>Universidad de Brasilia (UNB), Brazil</t>
  </si>
  <si>
    <t>Da Silva, A.B., Universidad de Brasilia (UNB), Brazil; Farias, E., Universidad de Brasilia (UNB), Brazil</t>
  </si>
  <si>
    <t>The objective of this paper is to reflect upon what is conventionally referred to as the post-abolitionist period. It is an analysis derived from studies on the associations of black and mestizo people in the city of Vitória da Conquista (Brazil), amid the political and cultural transitions in the carnivalization process in the second half of the 20th century. The methodology consisted of the interpretation of the iconography, especially photographs of the carnival, and the analysis of the first-hand accounts of the people whose formation of the memory was linked to those groups which held the street carnival, from the predicates of oral history, articulating postulates from history and other fundamental social disciplines in order to approach the memory. With this investigation, it can be inferred that it is possible to alter the academic use of the post-abolitionist category in the epistemological field of history, substracting its sense of periodization, and inverting the thematic meaning conferred by the inscription of the memory of the struggles for liberty and citizenship of black and mestizo people, making use of a new category: Historiographic memory. © 2022 Universidad Pedagogica y Tecnologica de Colombia, Instituto de Investigaciones y Formacion Avanzada. All rights reserved.</t>
  </si>
  <si>
    <t>Black associations; Carnivalization; History; Memory; Post-abolition</t>
  </si>
  <si>
    <t>Albuquerque, Wlamyra R., (2009) O jogo da dissimulação: Abolição e cidadania negra no Brasil, , de. São Paulo: Cia das Letras; Bakhtin, Mikhail Mikhailovicht, (2013) Cultura popular na idade média e no renascimento: O contexto de François Rabelais, , São Paulo: Hucitec; Bergson, Henri, (1999) Matéria e memória: Ensaio sobre a relação do corpo com o espírito, , São Paulo: Martins Fontes; Lei Complementar no 150/2015, de 1a de junho, , http://www.planalto.gov.br/ccivil_03/leis/LCP/Lcp150.htm, Acesso em 08 de julho de 2020; Lei Imperial no 3.353/1888, de 13 de maio, Lei Áurea, , http://www.planalto.gov.br/ccivil_03/leis/lim/LIM3353.htm, Acesso em 08 de junho de 2020; Bourdieu, Pierre, (1980) Le sens pratique, , Paris: Minuit; Cunha, Olivia Maria Gomes da, dos Santos Gomes, Flávio, (2007) Quase cidadãos: Histórias e antropologia da pós-emancipação no Brasil, , (Rio de Janeiro: Editora FGV); Carvalho, José Murilo de, (2013) Cidadania no Brasil: O longo caminho, , Rio de Janeiro: Civilização Brasileira; Domingues, Petrônio, Um "TEMPLO DE LUZ": Frente Negra Brasileira (1931-1937) e a questão da educação (2016) A história da educação dos negros no Brasil, pp. 329-362. , organizado por Marcus Vinícius Fonseca, Surya Aaronovich Pombo de Barros, Niterói: EdUFF; Engels, Friedrich, (1984) A origem da família, da propriedade privada e do Estado, , Trabalho relacionado com as investigações de L. H. Morgan, traduzido por Leandro Konder. Rio de Janeiro: Civilização brasileira; Faoro, Raymundo, (2012) Os donos do poder: Formação do patrimônio político brasileiro, , São Paulo Globo; Farias, Edson, Multimodalidade da Memória e a Sociologia dos a Priori Sociais (2016) Arquivos do CMD, 4 (1), pp. 112-155; Fonseca, Marcus Vinícius, Barros, Surya Aaronovich Pombo de, (2016) A história da educação dos negros no Brasil, , orgs. Niterói: EdUFF; Foucault, Michel, (2013) A arqueologia do saber, , Rio de Janeiro: Forense Universitária; Foucault, Michel, (1996) A ordem do discurso, , São Paulo: Edições Loyola; Gomes, Flávio dos Santos, Domingues, Petrônio, (2013) Da nitidez e invisibilidade: Legados do pós-emancipação no Brasil, , Belo Horizonte: Fino Traço; Halbwachs, Maurice, (2006) A memória coletiva, , São Paulo: Editora Centauro; Kuhn, Thomas S., (1998) A estrutura das revoluções científicas, , São Paulo: Perspectiva; Le Goff, Jacques, (2003) História e Memória, , 7ed. São Paulo: Unicamp; Lemos, Rosalvo, (2001) As batucadas em Vitória da Conquista: Identidades culturais, ritmos e representações, , Dissertação de Mestrado Unirio/Uesb; Mattos, Hebe, (2013) Das Cores do silêncio. Os significados da liberdade no Sudeste escravista - Brasil, século XIX, , São Paulo: Editora da Unicamp; Medeiros, Ruy Hermam, Fônseca, Humberto J., (1996) O município da Vitória, , Vitória da Conquista: Museu Regional de Vitória da conquista/Universidade Estadual do Sudoeste da Bahia; Medeiros, Ruy Hermann Araújo, História Compartilhada e Memória: Entre Alienação e Ideologia (2015), Tese Doutorado, Programa de Pós-Graduação em Memória: Linguagem e Sociedade, Universidade Estadual do Sudoeste da Bahia; Moura, Milton Araújo, A Música como Eixo de Integração Diferencial no Carnaval de Salvador (1996) CADERNO CRH, (25), pp. 171-192. , no24; Nora, Pierre, Entre Memória e História: A problemática dos lugares (1993) Projeto História, 10. , São Paulo: PUC; Passos, Flávio José dos, (2012) Beco de (vò) Dola: Territorialidade e ancestralidade negra em Vitória da Conquista, , Dissertação de mestrado em Ciências Sociais apresentado à PUC de São Paulo; Possenti, Sírio, (2004) Os Limites do Discurso: Ensaios sobre discurso e sujeito, , Curitiba: Criar edições; Pereira, Amílcar Araújo, "O mundo negro": A constituição do movimento negro contemporâneo no Brasil (1970-1995) (2010), Tese Doutorado em História, Instituto de Ciências Humanas e Filosofia, Departamento de História, Universidade Federal Fluminense, Niterói; Ricoeur, Paul, (2007) A memória, a história, o esquecimento, , Campinas, Unicamp; Schwarcz, Lilian Moritz, dos Santos Gomes, Flávio, (2018) Dicionário da escravidão e liberdade, , São Paulo: Cia das Letras; Schwarcz, Lilian Moritz, (1993) O espetáculo das raças: Cientistas, instituições, e a questão racial no Brasil 1870-1930, , São Paulo: Companhia das Letras; Schwarcz, Lilian Moritz, Starling, Heloisa Murgel, (2015) Brasil: Uma biografia, , São Paulo: Cia das Letras; Silva, Alberto Bomfim, Os Agentes de Pastoral Negros (APNs) de Vitória da Conquista (1986-2010) (2015), Dissertação mestrado, Programa de Pós-graduação em Letras: Cultura, Educação e Linguagens, Universidade Estadual do Sudoeste da Bahia, Vitória da Conquista; Silva, Jonatan dos Santos, "Capoeira não pede bênção a coronel": Os Mestres e a Memória da disseminação da Capoeira em Vitória da Conquista-BA (1950-2000) (2018), Dissertação de Mestrado apresentado ao Programa de Pós-Graduação em Memória: Linguagem e Sociedade, Universidade Estadual do Sudoeste da Bahia UESB; Sousa, Maria Aparecida de, (2001) A Conquista do Sertão da Ressaca: Povoamento e posse da terra no interior da Bahia, , Vitória da Conquista: Edições UESB; Santos, Boaventura de, (2010) Um discurso sobre as ciências, , Sousa 7 ed. São Paulo: Cortez; Tanajura, Mozart, (1992) Histórias da Conquista: Crônicas de uma cidade, , Vitória da Conquista: Gráfica Brasil; Viana, Aníbal Lopes, (1982) Revista Histórica de Conquista, 2. , [Cópia Impressa Museu Regional de Vitória da Conquista]; (2019) 075. História e Culturas Políticas no Brasil Republicano, , https://www.snh2019.anpuh.org/simposio/view?ID_SIMPOSIO=198, Websites 30 Simpósio Nacional de História. Acessado em 4 de março de; (2018) BRASIL. Ministério da Educação, , http://basenacionalcomum.mec.gov.br/wp-content/uploads/2018/02/bncc-20dez-site.pdf, Acesso em 01 de novembro de</t>
  </si>
  <si>
    <t>Universidad Pedagogica y Tecnologica de Colombia, Instituto de Investigaciones y Formacion Avanzada</t>
  </si>
  <si>
    <t>2-s2.0-85124846838</t>
  </si>
  <si>
    <t>Espinel L.A.N.</t>
  </si>
  <si>
    <t>57457771600;</t>
  </si>
  <si>
    <t>What is the socialists' nation? Proposals and dilemmas of the Liga de Acción Política as a left-wing nationalist project in Colombia [¿Cuál es la nación de los socialistas? Propuestas y dilemas de la Liga de Acción Política como proyecto nacionalista de izquierda en Colombia]</t>
  </si>
  <si>
    <t>10.19053/20275137.n24.2022.12008</t>
  </si>
  <si>
    <t>https://www.scopus.com/inward/record.uri?eid=2-s2.0-85124845004&amp;doi=10.19053%2f20275137.n24.2022.12008&amp;partnerID=40&amp;md5=3f392f364bc3edc8781be86071adf081</t>
  </si>
  <si>
    <t>Universidad Colegio Mayor de Cundinamarca, Bogotá, Colombia</t>
  </si>
  <si>
    <t>Espinel, L.A.N., Universidad Colegio Mayor de Cundinamarca, Bogotá, Colombia</t>
  </si>
  <si>
    <t>This article analyses how the Colombian socialists of the Liga de Acción Política (LAP) tried to justify their existence in the national political sphere, as a Marxist and nationalist party; an exercise that requires a convergent rereading of these two ideological currents. The documental corpus analysed is drawn mainly, but not exclusively, from the newspaper Acción Política, which was the means of expression of the LAP. It is argued that the effort to «nationalize socialism temporarily enhanced the left and implied an attempt to symbolically dispute nationalism, which the Conservative Party had constructed on the basis of Hispanist values. However, the process of inventing a historic tradition between left and nation ended up favoring the dependence of socialism on liberalism, not only as an ideology, but also as a party. © 2022 Universidad Pedagogica y Tecnologica de Colombia, Instituto de Investigaciones y Formacion Avanzada. All rights reserved.</t>
  </si>
  <si>
    <t>20th-century Colombian history; Intellectual history; Left wing; Marxism; Nationalism; Political ideologies</t>
  </si>
  <si>
    <t>(1944), Archivo Central Histórico Universidad Nacional de Colombia (ACHUN), Bogotá-Colombia. Fondo Legaciones y consulado. Rectoría y Secretaria. Extensión Cultural. Archivo. «A pesar del sabotaje se impusieron las fuerzas democráticas en la manifestación pro Gran-Colombia del 24 de mayo Acción Política, 15 de junio; Pareja, Carlos H., Qué es y qué persigue la Liga de Acción Política? C. H. P. Acción Política, 6 de diciembre de 1943. «La Revolución de los Comuneros Acción Política, 15 de marzo de 1944. «Labores de la Liga Acción Política, 30 de abril de 1944. «Los Comuneros. Gloria y martirio de José Antonio Galán Acción Política, 15 de marzo de 1944; García, Antonio, Bolívar, general revolucionario Problemas de la nación colombiana, pp. 109-116. , En Antonio García, Bogotá: Editorial Nuevo Mundo, s.f; García, Antonio, El indigenismo en Colombia. Génesis y evolución (1945) Boletín de arqueología, 1 (1), pp. 63-64; García, Antonio, (1956) Problemas colombianos. Proceso histórico, , Bucaramanga: Fondo socialista de publicaciones de Santander «José Antonio Galán; de la Torre, Víctor Raúl, ¿Estamos seguros de nuestra independencia? (1939) Acción Liberal, 61, p. 1112. , Haya; Neruda, Pablo, Un Canto para Bolívar (1943) Acción Política, , 6 de diciembre de; Latino, Simón, (1930) Vida de Bolívar para niños, , [seudónimo de Carlos H. Pareja]. Bogotá: Editorial Cromos; Tejera, Humberto, Tesis internacionales de Bolívar (1944) Acción Política, , 15 de abril de; Omar, Acha, (2006) La nación futura. Rodolfo Puiggrós en las encrucijadas argentinas del siglo XX, , Buenos Aires: Eudeba; Altamirano, Carlos, (2011) Peronismo y cultura de izquierda, , Buenos Aires: Siglo XXI editores; Dosse, François, (2007) La marcha de las ideas. Historia de los intelectuales, historia intelectual, , Valencia: Universitat de València; Fernández Sebastián, Javier, Conceptos y metáforas en la política moderna. Algunas propuestas para una historia político-intelectual (2009) Historia cultural de la política contemporánea, pp. 11-19. , En editado por Jordí Canal y Javier Moreno, Madrid: Centro de estudios políticos y constitucionales; Gallón, Gustavo, (1989) Entre Movimientos y Caudillos. 50 años de bipartidismo, izquierda y alternativas populares en Colombia, , comp. Bogotá: Cinep/Cerec; Green, John, (2013) Gaitanismo, liberalismo de izquierda y movilización popular, , Medellín: Universidad EAFIT/Banco de la República; Hobsbawm, Eric, (2000) Naciones y nacionalismo desde 1780, , Barcelona: Editorial Crítica; Hobsbawm, Eric, Introducción (2002) La invención de la tradición, pp. 7-21. , En editado por Eric Hobsbawm y Terence Ranger, Barcelona: Crítica [1983]; Tarcus, Horacio, (2018) La biblia del proletariado, traductores y editores de El Capital, , Buenos Aires: Siglo XXI; Koselleck, Reinhart, (1993) Futuro Pasado. Para una semántica de los tiempos históricos, , Barcelona: Paidós, [1979]; Löwy, Michael, (1997) Redención y utopía, , Buenos Aires: Ediciones El Cielo por Asalto; Medina, Medófilo, Terceros Partidos en Colombia (1930-1940) (1979) Estudios Marxistas, 18, pp. 12-18; Medina, Medófilo, (1980) Historia del Partido Comunista de Colombia, , tomo I. Bogotá: CEIS; Melgar Bao, Ricardo, Un neobolivarianismo antiimperialista: La Unión Centro Sud Américana de las Antillas (UCSAYA) (2006) Políticas de la memoria, 6-7, pp. 149-163. , (-2007); Merle, Marcel, El anticolonialismo (2005) El libro negro del colonialismo. Siglos XVI al XXI: Del exterminio al arrepentimiento, pp. 759-760. , En dirigido por Marc Ferro, Madrid: La Esfera de los Libros; Molina, Gerardo, (1987) Las ideas socialistas en Colombia, , Bogotá: Tercer Mundo; Muñoz, Catalina, (2009) To colombianize Colombia: Cultural politics, modernization and nationalism in Colombia, 1930-1946, , Dissertation in History, University of Pensilvania; Núñez, Luz Angela, Obreros e intelectuales en Colombia: El caso del Partido Socialista Democrático (2018) El movimiento obrero y las izquierdas en América Latina. Experiencias de lucha, inserción y organización, II, pp. 25-49. , en editado por Hernán Camarero y Martín Mangiantini, Raleig: Editorial A Contracorriente; Núñez, Luz Angela, Entre la inquietud analítica y la voluntad militante: El indigenismo de Antonio García (2014) Izquierdas: Definiciones, movimientos y proyectos en Colombia y América Latina, pp. 63-74. , En editado por Mónica Zuleta Pardo y Miguel Angel Urrego, Bogotá: Ediciones Universidad Central; Pécaut, Daniel, (1987) Orden y violencia: Colombia 1930-1954, 2. , Tomo Bogotá: Cerec/Siglo XXI; Pineda, Roberto, El Congreso Indigenista de Pátzcuaro (1940), una nueva apertura en la política indigenista de las Américas (2012) Baukara. Bitácoras de Antropología e Historia de la Antropología en América Latina, 2, pp. 10-28. , http://www.humanas.unal.edu.co/colantropos/baukara/sites/default/files/Baukara%232.pdf; Sierra Mejía, Rubén, La lectura conservadora de Simón Bolívar (2012) La restauración conservadora 19461957, pp. 79-104. , En editado por Rubén Sierra Mejía, Bogotá: Universidad Nacional; Tarcus, Horacio, (2007) Marx en la Argentina. Sus primeros lectores obreros, intelectuales y científicos, , Buenos Aires: Siglo XXI; Tarcus, Horacio, (2018) La biblia del proletariado, traductores y editores de El Capital, , Buenos Aires: Siglo XXI; Urrego, Miguel Ángel, Mitos fundacionales, reforma política y nación en Colombia (1998) Nómadas, 8, pp. 10-19</t>
  </si>
  <si>
    <t>Espinel, L.A.N.; Universidad Colegio Mayor de CundinamarcaColombia; email: lanunez@unicolmayor.edu.co</t>
  </si>
  <si>
    <t>2-s2.0-85124845004</t>
  </si>
  <si>
    <t>Rueda F.M.</t>
  </si>
  <si>
    <t>55939704500;</t>
  </si>
  <si>
    <t>The memory of the Spanish Civil War in Basque nationalism (1937-1960) [La memoria de la Guerra Civil Española en el nacionalismo vasco (1937-1960)]</t>
  </si>
  <si>
    <t>10.19053/20275137.n24.2022.12806</t>
  </si>
  <si>
    <t>https://www.scopus.com/inward/record.uri?eid=2-s2.0-85124840206&amp;doi=10.19053%2f20275137.n24.2022.12806&amp;partnerID=40&amp;md5=a26e19a4bad3cafdbd3abc09649990f1</t>
  </si>
  <si>
    <t>Universidad del País Vasco (UPV/EHU), Spain</t>
  </si>
  <si>
    <t>Rueda, F.M., Universidad del País Vasco (UPV/EHU), Spain</t>
  </si>
  <si>
    <t>In the Basque Country, during the post-war period, an unequal combat between two opposing memories of the Civil Spanish War began: The official Franquista memory and the clandestine nationalist memory. This article studies the elaboration and transmission process of this clandestine memory formulated by the Basque nationalist community between 1937 and 1960. We analyzed which were the elements of the nationalist account and identified the main agents that made its spread possible. For this, we studied a wide range of documental sources: Speeches of the political authorities in exile, writings of the Basque clergy, testimonials from veterans, nationalist press, literary works and historiographic works. The article concludes that by 1960, the battle between the official Franquista memory and the nationalist clandestine memory was resolved in favor of the latter. The patriotic and epic narrative of the warlike past elaborated by the nationalist community was assumed by the new nationalist generations socialized in the post-war era. This situation contrasts with what happened around Spain, where the defeated did not manage to spread an alternative unitary memory to the narration of the crusade and the new generations tended to repudiate the memory of the Civil War, monopolized by the Franquista regime. This particular memory of the war which was rooted in the political culture of Basque nationalism was one of the factors that explained the singular historical evolution of the Basque Country during the late Franquismo and the transition to democracy. © 2022 Universidad Pedagogica y Tecnologica de Colombia, Instituto de Investigaciones y Formacion Avanzada. All rights reserved.</t>
  </si>
  <si>
    <t>Casque nationalism; Civil War; Franquismo; Memory; Post-war</t>
  </si>
  <si>
    <t>Aguirre, José Antonio, (1981) Obras completas de José Antonio Aguirre y Lecube, , Donostia: Sendoa; Altube, Sebero, Laztantxu eta Betargi (1957) Espetxean, (6), p. 1938. , Bayona: S.n., «Apuntes; Aralar, J., (1937) La rebelión militar española y el pueblo vasco, , [Gabino Garriga]. Buenos Aires: Sebastián de Amorrortu e Hijos; (1955) Historia documental de la guerra en Euzkadi, , México: Editorial Vasca; El clero vasco y la Guerra Civil. IV (1943) La Voz de los Vascos en América [Argentina], (140). , Astilarra [Andoni Astigarraga Larrañaga]: Euzko Deya, 20-3; Aurrera, El nacionalismo vasco y la sublevación franquista (1946), (1). , Aberr México, junio de; Azpiazu, Iñaki, (1958) Los vascos somos víctimas de un genocidio. Conferencia pronunciada el 6 de diciembre de 1958, , Buenos Aires: Argi eta Garbi; Arteche, José, (1970) El abrazo de los muertos, , Zarauz: Icharopena; Basajaun, Unión (1948) Euzko Gaztedi, (7). , Caracas, noviembre de; Beurko, Sancho, (1956) Gudaris. Recuerdos de una guerra, , de [Luis Ruiz de Aguirre]. Buenos Aires: Ekin; Duhalde, Pierre, (1937) Policarpo Larrañaga] Le nationalisme basque et la guerre civile en Espagne, , [París, [edición en francés y castellano]; Editorial (1954) Euzko Gaztedi, (33). , Caracas, septiembre de; Eizagirre, José, Ekaitzpean (1948), (3), pp. 31-33. , Buenos Aires: Ekin, «El 18 de julio Egiz 5, julio de 1950. «En tal día como hoy comenzó la ofensiva franquista contra Euzkadi Euzko Deya, La voz de los vascos en México (1943); Talde, Eusko Apaiz, (1977) En la persecución. Archivos del clero vasco, (3). , Pamplona: Clero Vasco, «Eusko Gudaria Argia Caracas-Nueva York, junio de 1946; Gama, Yazarpen aintzagarria (1939) Anayak, (5). , marzo de; Garat, Paul, Para los vascos. La palabra libertad se escribe con sangre (1959) Euzko Gaztedi, , abril de; Hiriartia, J., (1939) Iñaki de Azpiazu] El caso de los católicos vascos, , [Buenos Aires: Egi-Alde, [reed. 1964]; Injusticia sacrílega (1950) Egiz, (8). , octubre de; Iramuno, Xabier, (1946) Policarpo de Larrañaga] Perseguido, difamado, abandonado, el clero vasco defendiendo la justicia y la fraternidad sirve a la Iglesia de Cristo, , [Bayona: S.e; Iturralde, Juan, (1978) La guerra de Franco, los vascos y la Iglesia, , [Usabiaga Irazustabarrena, Juan José] San Sebastián: Idatz Ekintza, [1960]; Jemein, Ceferino, (1988) Euskadi en guerra (1936-37), , Bilbao: Alderdi; Landaburu, Javier, (1956) La Causa del Pueblo Vasco, , París: Société Parisienne d'Impressions; Lasarte, José María, Un mensaje de lucha (1947) Azkatasuna, (35-36). , Mitxelena, Salbatore. Beste olerkiak (1933-1955). s.l., s.e., 1977; Acceso el 1 de octubre de 2020, , https://klasikoak.armiarma.eus/idazlanak/M/MitxelenaSOlerkiak.htm; Monzón, Telesforo, (1945) Urrundik, , México: S.e; Monzón, Telesforo, Gudarien eginak, (8). , Biarritz: Imprimerie moderne, 1947. «Oda a un gudari Euzko Deya (México) 1943, 15-6 Onaindía Alberto. Ayer como hoy. Documentos del clero vasco. San Juan de Luz: Axular, 1975; Onaindía, Alberto, (1980) Obras Completas, (1). , Bilbao: Editorial la Gran Enciclopedia Vasca, «Por todos nuestros muertos Egiz 2-3, abril-mayo de 1950. «Presentación Irrintzi, Caracas 1958; Sierra Bustamante, Ramón, (1941) Euzkadi, de Sabino Arana a José Antonio Aguirre. Notas para la historia del nacionalismo vasco, , Madrid: Editora Nacional; Suinaga, Andrés, Difícil pero urgente y necesario , (8). , Egiz 4, junio de 1950, Txinparta. «¿Podemos entrar en Euzkadi Aberri (México) 10, 1947. «Uztaillaren18'garreneko Kruzada Egi Bila julio de 1955; Urarte, Agapito, (1956) Los últimos días del batallón Amaiur, , Caracas: S.e; Zumeta, Ángel de, (1937) Un cardenal español y los católicos vascos. La conciencia cristiana ante la guerra de la Península Ibérica, , Bilbao: Publicaciones Minerva; Aguilar, Paloma, La Guerra Civil española en el discurso nacionalista vasco. Memorias peculiares, lecciones diferentes (1998) La transición en el País Vasco y España: Historia y memoria, pp. 121-154. , En editado por J. Ugarte, Bilbao: UPV/EHU; Aguilar, Paloma, (2008) Políticas de la memoria y memorias de la política, , Madrid: Alianza; Alday, J. M., (1986) La voz del clero vasco en defensa de su pueblo, , Bilbao: Idatz Ekintza; Alonso Carballés, Jesús, (2017) Memorias de piedra y acero. Los monumentos a las víctimas de la Guerra Civil y del franquismo en Euskadi (1936-2017), , Gernika: Fundación Museo de la Paz de Gernika; Aróstegui, Julio, Godicheau, Francois, (2006) Guerra Civil. Mito y memoria, , eds. Madrid: Marcial Pons-Casa de Velázquez; Arregi, Joseba, (2015) El terror de ETA. La narrativa de las víctimas, , Madrid: Tecnos; Barroso, Anabella, (1995) Sacerdotes bajo la atenta mirada del régimen franquista, , Bilbao: Instituto Diocesano de Teología y Pastoral; Barroso, Anabella, Iglesia vasca, una Iglesia de vencedores y vencidos. La represión del clero vasco durante el franquismo (2001) Ayer, (43), pp. 87-110; Barruso, Pedro, Memoria e historia de la Guerra Civil. Los lugares de la memoria en San Sebastián (2014) Boletín de estudios históricos sobre San Sebastián, (47), pp. 411-510; Aróstegui, Julio, (2004) La historia vivida. Sobre la historia del presente, , Madrid: Alianza; Bernecker, Walter, Brinkamann, S., (2009) Memorias divididas. Guerra Civil y franquismo en la sociedad y política españolas (1936-2008), , Madrid: Abada editores; Casquete, Jesús, (2009) En el nombre de Euskal Herria. La religión política del nacionalismo radical, , Madrid: Tecnos; Castells, Luis, Rivera, Antonio, Las víctimas. Del victimismo construido a las víctimas reales (2015) El peso de la identidad. Mitos y ritos de la historia vasca, pp. 265-305. , En editado por Fernando Molina y José A. Pérez, Madrid: Marcial Pons; Cuesta, Josefina, (2008) La odisea de la memoria. Historia de la memoria en España, siglo XX, , Madrid: Alianza; De Pablo, Santiago, Mees, Ludger, Antonio Rodríguez Ranz, José, (2001) El péndulo patriótico. Historia del Partido Nacionalista Vasco, II: 1936-1979, , Barcelona: Crítica; De, Pablo. Santiago, La guerra civil en el País Vasco: ¿un conflicto diferente? (2003) Ayer, (50), pp. 115-141; De Pablo, Santiago, Guerra Civil (2012) Diccionario ilustrado de símbolos del nacionalismo vasco, pp. 444-467. , En editado por De Pablo et al, Madrid: Tecnos; Erice, Francisco, (2009) Guerras de la memoria y fantasmas del pasado. Usos y abusos de la memoria colectiva, , Oviedo: Eikasia; Espinosa, Francisco, Sobre la represión franquista en el País Vasco (2009) Historia Social, (63), pp. 58-76; Ferreiro, Anxo, Consejo de Guerra contra el clero vasco (1936-1944) (2013) La Iglesia vasca vencida, , Oñati: Intxorta Kultur Elkartea; Fernández Soldevilla, Gaizca, (2016) La voluntad del gudari. Génesis y metástasis de la violencia de ETA, , Madrid: Tecnos; Fernández Soldevilla, Gaizca, Ecos de la guerra civil. La glorificación del gudari en la génesis de la violencia de ETA (1938-1968) (2014) Bulletin d'Histoire Contemporaine de l'Espagne, (49), pp. 247-262; Gómez Calvo, Javier, (2014) Matar, purgar, sanar: La represión franquista en Álava, 1939-1945, , Madrid: Tecnos; Granja, José Luis de la, (1990) República y Guerra Civil en Euskadi (Del Pacto de San Sebastián al de Santoña), , Oñati: IVAP-HABE; Granja, José Luis de la, Sabino Arana: La invención de la historia vasca (1995) El nacionalismo vasco: Un siglo de historia, pp. 49-87. , En Madrid: Técnos; Gurruchaga, Ander, (1985) El código nacionalista vasco durante el franquismo, , Barcelona: Anthropos; Izquierdo Martín, Jesús, León, Pablo Sánchez, (2017) La guerra que nos han contado y la que no, , Madrid: Postmetropolis; Jedlowski, Paolo, La sociología y la memoria colectiva (2000) Memoria colectiva e identidad nacional, pp. 123-131. , En editado por A. Rosa, G. Bellelli y D. Bakhurst, Madrid: Biblioteca Nueva; Jelin, Elizabeth, (2002) Los trabajos de la memoria, , Madrid: Siglo XXI; Juliá, Santos, Echar al olvido. Memoria y amnistía en la transición a la democracia (2003) Claves de la razón práctica, (129), pp. 104-125; Juliá, Santos, (2006) Memoria de la guerra y del franquismo, , ed. Madrid: Taurus; Juliá, Santos, (2017) Transición. Historia de una política española (1937-2017), , Barcelona: Galaxia Gutenberg; Lavabre, Marie-Claire, Sociología de la memoria y acontecimientos traumáticos (2006) Guerra Civil. Mito y memoria, pp. 32-55. , En editado por J. Aróstegui y F. Godicheau, Madrid: Marcial Pons-Casa de Velázquez; Martínez Rueda, Fernando, Telesforo Monzón, el nacionalismo vasco y la Guerra Civil: Historia y Memoria (2018) Revista Universitaria de Historia Militar, (13), pp. 375-400; Marvin, C., Ingle, D. W., (1999) Blood sacrifice and the Nation: Tótem, rituals and the American flag, , Cambridge: Cambridge University Press; Meer, Fernando de, (1992) El Partido Nacionalista Vasco ante la guerra de España, , Pamplona: EUNSA; Mees, Ludger, La invención del pasado en las identidades modernas: El nacionalismo vasco (2007) Historia e identidades nacionales: Hacia un pacto entre la ciudadanía vasca, pp. 109-119. , En editado por M. Arbaiza y P. Pérez Fuentes, Bilbao: Aldaketa; Mees, Ludger, Gernika (2012) Diccionario ilustrado de símbolos del nacionalismo vasco, , En coordinado por S. de Pablo y otros. Madrid: Tecnos; Mees, Ludger, (2014) La política como pasión. El lehendakari José Antonio Aguirre (1904-1960), , y otros. Madrid: Tecnos; Mees, Ludger, Gerra euskal nazionalisten memorian (2015) Oroimenaren lekuak eta lekukoak. Gerra Zibilaren errepresentazio artistikoak vs. kontaera historiko-politikoa, pp. 51-69. , En editado por Izaro Arroita, I. y Otaegi, L, Bilbo: UPV-EHU; Molina, Fernando, Intersección de procesos nacionales. Nacionalización y violencia política en el País Vasco, 1937- 1978 (2013) Cuadernos de Historia Contemporánea, (35), pp. 63-87; Molina, Fernando, El resentimiento trágico de la guerra. Memoria, violencia y cultura de la derrota en el País Vasco, 1937-1977 (2018) Passés Futurs, (3). , https://www.politika.io/en/notice/el-resentimiento-tragico-guerra-memoria-violencia-y-culturaderrota-el-pais-vasco-19371977; Molinero, Carme, La política de reconciliación nacional. Su contenido durante el tardofranquismo, su lectura en la Transición (2007) Ayer, (66), pp. 201-225; Mosse, George L., (1991) Fallen soldiers. Reshaping the memory of World Wars, , Oxford: Oxford University Press; Muñoz Soro, Javier, Entre la memoria y la reconciliación. El recuerdo de la República y la guerra en la generación de 1968 (2003) Historia del Presente, (12), pp. 83-100; Muro, Diego, The politics of war memory in radical Basque nationalism (2009) Ethnic and Racial Studies, (32), pp. 659-678; Núñez-Seixas, Xosé M., (2006) Fuera el invasor! Nacionalismos y movilización bélica durante la guerra civil española, , Madrid: Marcial Pons; Núñez Seixas, Xosé, Los nacionalistas vascos durante la guerra civil (1936-1939): Una cultura de guerra diferente (2007) Historia Contemporánea, (35), pp. 559-599. , M; Reig Tapia, Alberto, (1999) Memoria de la Guerra Civil. Los mitos de la tribu, , Madrid: Alianza; Rodrigo, Javier, (2013) Cruzada, Paz, Memoria. La Guerra Civil en sus relatos, , Granada: Comares; Smith, Anthony D., (2003) Chosen peoples. Sacred sources of National Identity, , Oxford: Oxford University Press; Todorov, Tzvetan, (2002) Memoria del mal, tentación del bien. Indagación sobre el siglo XX, , Barcelona: Península; Traverso, Enzo, (2007) El pasado, instrucciones de uso. Historia, Memoria, Política, , Madrid: Marcial Pons; Vezzeti, Hugo, (2002) Pasado y presente. Guerra, dictadura y sociedad en la Argentina, , Buenos Aires: Siglo XXI; Zubiaga, Erik, (2017) La huella del terror franquista en Bizkaia: Jurisdicción militar, políticas de captación y actitudes sociales, 1937-1945, , Bilbao: Servicio Editorial Universidad del País Vasco</t>
  </si>
  <si>
    <t>Rueda, F.M.; Universidad del País Vasco (UPV/EHU)Spain; email: fernando.martinez@ehu.eus</t>
  </si>
  <si>
    <t>2-s2.0-85124840206</t>
  </si>
  <si>
    <t>González M.X.</t>
  </si>
  <si>
    <t>57201289224;</t>
  </si>
  <si>
    <t>Socialism in its place. The «social organization of the nation and the intersocial origins of the first Mexican socialism towards 1850 [El socialismo en su lugar. La «organización social de la nación y los orígenes intersociales del primer socialismo mexicano hacia 1850]</t>
  </si>
  <si>
    <t>10.19053/20275137.n24.2022.13537</t>
  </si>
  <si>
    <t>https://www.scopus.com/inward/record.uri?eid=2-s2.0-85124839371&amp;doi=10.19053%2f20275137.n24.2022.13537&amp;partnerID=40&amp;md5=52a1a95f846f0c375903e96c62071bb6</t>
  </si>
  <si>
    <t>Università degli studi di Torino, Torino, Italy</t>
  </si>
  <si>
    <t>González, M.X., Università degli studi di Torino, Torino, Italy</t>
  </si>
  <si>
    <t>The objective of this article is to problematize the hypotheses that have structured the study of the world of labor in Mexico in the mid-19th century and its relationship with the political language of the nation, in particular, the liberal. The complicated hypothesis of the «impossible reception of socialism in the Mexican world of labor in the 19th-century will be the starting point for the development of an interconnection between the historiography of the world of Mexican labor and the conceptual history of the last decades. Through a discussion with the proposal of the «slip of citizenship , this article seeks to deepen the historical ridge carved out by the concepts of nation which interpose the hegemonic vision supported by the language of state nationality of the mid-19th century. In fact, with the creation of the Mexican «language of labor other slips of the language of the nation took place, which debunk it from the homogenous view underpinned by the liberal language of the nation. As it is the product of an interaction that constituted an «intersocial milieux , through which the Mexican language of labor and French socialism communicated, it is also a fundamental condition for our understanding of the modern hybrid dimension of the Mexican nation leading up to 1850. © 2022 Universidad Pedagogica y Tecnologica de Colombia, Instituto de Investigaciones y Formacion Avanzada. All rights reserved.</t>
  </si>
  <si>
    <t>Intersocial history; Nation; Nationality; Socialism; State; World of labor</t>
  </si>
  <si>
    <t>Abramson, Pierre-Luc, (2014) Mondes nouveaux et Nouveau monde: Les utopies sociales en Amérique latine au XIXe siècle, , 2a ed. Dijon: Les Presses du réel; Annino, Antonio, Ciudadanía 'versus' gobernabilidad republicana en México. Los orígenes de un dilema (1999) Ciudadanía política y formación de las naciones: Perspectivas históricas de América Latina, pp. 62-93. , En editado por Hilda Sábato, México: Colegio de México/Fideicomiso Historia de las Américas Fondo de Cultura Económica; Annino, Antonio, Pueblos, liberalismo y nación en México (2003) Inventando la nación: Iberoamérica siglo XIX, pp. 399-430. , En editado por François-Xavier Guerra y Antonio Annino, Obras de historia. México: Fondo de Cultura Económica; Annino, Antonio, Guerra, François-Xavier, (2003) Inventando la nación: Iberoamérica siglo XIX. Obras de historia, , eds. México: Fondo de Cultura Económica; Bouchet, Thomas, Bourdeau, Vincent, Castleton, Edward, Frobert, Ludovic, Jarrige, François, Quand les socialistes inventaient l'avenir (2015) Presse, théories et expériences, 1825-1860, , https://doi.org/10.3917/dec.bouch.2015.01, Paris: La Découverte; Callegaro, Francesco, Une réaction à la Réaction. Les sciences sociales et l'héritage révolutionnaire (2019) Conceptos Históricos, 4 (6), pp. 190-214; Callegaro, Francesco, Lanza, Andrea, Le sens du socialisme: Histoire et actualité d'un problème sociologique, 11. , eds; (2015) Incidence. Philosophie, littérature, sciences humaines et sociales, , Paris: Le Félin; Cárdenas Ayala, Elisa, NACIÓN. México (2009) Diccionario político y social del mundo iberoamericano: La era de las revoluciones, 1750-1850, 1, pp. 929-940. , En editado por Fabio Wasserman, Iberconceptos. Madrid: Fundación Carolina; Chávez Orozco, Luis, (1936) Prehistoria del socialismo en México, , México: Publicaciones del Departamento de Bibliotecas de la Secretaría de Educación Pública; Connaughton, Brian, El difícil juego de 'tres dados: La ley, la opinión y las armas' en la construcción del Estado mexicano, 1835-1850 (2003) Poder y legitimidad en México en el siglo XIX: Instituciones y cultura política, pp. 339-378. , En de Brian Connaughton, México: Universidad Autónoma Metropolitana-Unidad Iztapalapa; Connaughton, Brian, Voces europeas en la temprana labor editorial mexicana 1820-1860 (2006) Historia Mexicana, 55 (3), pp. 895-946; De la Torre, Federico, Ciencia, industrialización y utopía social: notas sobre Vicente Ortigosa de los Ríos, 1817-1877 (2012) Letras Históricas, (5), pp. 53-79; De la Torre, Federico, Les idées socialistes au Mexique au milieu du XIXe siècle. Guadalajara et ses liens avec le fouriérisme de Victor Considerant (2008) Cahiers Charles Fourier, (19), pp. 61-74. , http://www.charlesfourier.fr/spip.php?article568; Dumont, Louis, Collective Identities and Universalist Ideology: The Actual Interplay (1986) Theory, Culture &amp; Society, 3 (3), pp. 25-33. , https://doi.org/10.1177/026327686003003004 Dumont, Louis. Ensayos sobre el individualismo: Una perspectiva antropológica sobre la ideología moderna. Madrid: Alianza Editorial, 1987; Dumont, Louis, (1994) German ideology: From France to Germany and back, , Chicago: University of Chicago Press; Durkheim, Emile, Mauss, Marcel, Note on the notion of civilization». Traducido por Benjamin Nelson (1971) Social Research, 38 (4), pp. 808-813; Duso, Giuseppe, El Ganzes Haus de Brunner y la práctica de la historia conceptual (2018) Conceptos Históricos, 4 (5), pp. 72-98. , Editado por Francesco Callegaro, Damián Rosanovich, y Diego de Zavalía. Traducido por Matias X. Gonzalez; Duso, Giuseppe, (2007) El poder: Para una historia de la filosofía política moderna, , ed. México: Siglo Veintiuno; Duso, Giuseppe, El poder y el nacimiento de los conceptos políticos modernos (2009) Historia de los conceptos y filosofía política, pp. 197-242. , En de Sandro Chignola y Giuseppe Duso, Madrid: Biblioteca Nueva; Duso, Giuseppe, Historia conceptual como filosofía política (2009) Historia de los conceptos y filosofía política, pp. 157-196. , En de Sandro Chignola y Giuseppe Duso, Madrid: Biblioteca Nueva; Fernández-Sebastián, Javier, (2009) Diccionario político y social del mundo iberoamericano: La era de las revoluciones, 1750-1850, 1. , Iberconceptos 1. Madrid: Fundación Carolina; Fernández-Sebastián, Javier, El concepto de orden en Iberoamérica. El orden entre dos voluntades: Divina y humana (2014) Diccionario político y social del mundo iberoamericano: Conceptos políticos fundamentales, 1770-1870, 6, pp. 15-51. , En editado por Carol Leal Curiel, Iberconceptos 2. Madrid: Universidad del País Vasco; Fernández-Sebastián, Javier, Liberalismos nacientes en el Atlántico iberoamericano: «Liberal» como concepto y como identidad política, 1750-1850 (2009) Diccionario político y social del mundo iberoamericano: La era de las revoluciones, 1750-1850, 1, pp. 695-731. , En editado por Javier Fernández-Sebastián, Iberconceptos 1. Madrid: Fundación Carolina; Fernández-Sebastián, Javier, Tiempos de transición en el Atlántico ibérico. Conceptos políticos en revolución (2014) Diccionario político y social del mundo iberoamericano: Conceptos políticos fundamentales, 1770-1870, 1, pp. 25-72. , En editado por Joao Feres Junior, Iberconceptos 2. Madrid: Universidad del País Vasco; Melo, Fátima Sá, Entre viejos y nuevos sentidos: «Pueblo» y «pueblos» en el mundo iberoamericano entre 1750 y 1850 (2009) Diccionario político y social del mundo iberoamericano: La era de las revoluciones, 1750-1850, 1, pp. 1117-1138. , Ferreira En editado por Melo Ferreira y Fátima Sá, Iberconceptos 1. Madrid: Fundación Carolina; Fourier, Charles, (1829) Le Nouveau monde industriel et sociétaire, ou Invention du procédé d'industrie attrayante et naturelle distribuée en séries passionnées, , Paris: Bossange Père/P. Mongie Ainé; García Cantú, Gastón, De la República de los Trabajadores (Una utopía mexicana del siglo XIX) (1967) Revista Mexicana de Sociología, 29 (2), p. 347. , https://doi.org/10.2307/3539009; García Cantú, Gastón, (1969) El socialismo en México, siglo XIX, , México: Era; García Cantú, Gastón, (1991) Idea de México. El socialismo, 2. , 1. ed. 7 Vida y pensamiento de México. México: Consejo Nacional para la Cultura y las Artes/Fondo de Cultura Económica; González, Héctor Oscar, Dos proyectos de sociedades de artesanos: Guadalajara, 1850 (1982) Relaciones. Estudios de Historia y Sociedad, 10, pp. 97-139; Gonzalez, Matias X., Desde el Sozialismus hacia el socialisme, ida y vuelta. Por una historia conceptual inter-conectada del socialismo (2021) Conceptos Históricos, 6 (10), pp. 122-153; Gribaudi, Maurizio, (2014) Paris, ville ouvrière: Une histoire occultée, 1789-1848, , Paris: La Découverte; Illades, Carlos, De los gremios a las sociedades de socorros mutuos: El artesanado mexicano. 1814-1853 (1990) Historia Social, (8), pp. 73-87; Illades, Carlos, (2019) En los márgenes. Rhodakanaty en México, , México: Fondo de Cultura Económica; Illades, Carlos, (2016) Hacia la república del trabajo: El mutualismo artesanal del siglo XIX, , 2a ed. México: Gedisa/Universidad Autónoma Metropolitana; Illades, Carlos, (2008) Las otras ideas: Estudio sobre el primer socialismo en México, 1850-1935, , México: Ediciones Era, Universidad Autónoma Metropolitana Cuajimalpa; Illades, Carlos, Kuri, Ariel Rodríguez, (2001) Ciencia, filosofía y sociedad en cinco intelectuales del México liberal, , México, D.F.: Universidad Autónoma Metropolitana, Unidad Iztapalapa, Miguel Angel Porrúa; Illades, Carlos, Schelchkov, Andrey, (2014) Mundos posibles: El primer socialismo en Europa y América Latina. Colección «Ambas orillas», , eds. México: El Colegio de México/Universidad Autónoma Metropolitana, Unidad Cuajimalpa; Lanza, Andrea, All'abolizione del proletariato! il discorso socialista fraternitario, Parigi 1839-1847 (2010), Studi e ricerche storiche 387. Milán: FrancoAngeli; Lanza, Andrea, Prime espressioni di un'identità della classe operaia. Contributo al ripensamento di una categoria (2007) Studi Storici: Rivista trimestrale dell'Istituto Gramsci, 48 (3), pp. 761-778; Lempérière, Annick, El Estado en los espacios ibéricos: ¿orden natural o máquina performativa? (2014) Diccionario político y social del mundo iberoamericano: Conceptos políticos fundamentales, 1770-1870, 2, pp. 15-35. , En editado por Annick Lempérière, Iberconceptos 2. Madrid: Universidad del País Vasco; Lempérière, Annick, MÉXICO/NUEVA ESPAÑA (2014) Diccionario político y social del mundo iberoamericano: Conceptos políticos fundamentales, 1770-1870, 2, pp. 143-158. , En editado por Annick Lempérière, Iberconceptos 2. Madrid: Universidad del País Vasco; Lida, Clara E., Trabajo, organización y protesta artesanal: México, Chile y Cuba en el siglo XIX (1998) Historia Social, (31), pp. 66-75; López Caballero, Paula, (2017) Indígenas de la nación. Etnografía histórica de la alteridad en México (Milpa Alta, siglos XVII-XXI), , México: Fondo de Cultura Económica; Mannheim, Karl, (1954) Ideology and utopia: An introduction to the sociology of knowledge, , New York/London: Harcourt, Brace &amp; Co./Routledge &amp; Kegan Paul Ltd; Mauss, Marcel, (2018) La nation, ou le sens du social, , editado por Jean Terrier y Marcel Fournier. 2a ed. París: Presses Universitaires de France-PUF; Mauss, Marcel, Symposium: The Problem of Nationality (1920) Proceedings of the Aristotelian Society, 20 (1), pp. 237-265. , https://doi.org/10.1093/aristotelian/20.1.237, (de 1919); Meglio, Gabriel Di, Guzmán, Tomás, Katz, Mariana, Artesanos hispanoamericanos del siglo XIX: Identidades, organizaciones y acción política (2019) Almanack, (23), pp. 275-315. , https://doi.org/10.1590/2236-463320192310, (diciembre de); Moreno Toscano, Alejandra, Los trabajadores y el proyecto de industrialización, 1810-1867 (1980) La clase obrera en la historia de México. T. 1: De la colonia al imperio, 1, pp. 302-349. , En editado por Pablo González Casanova, 1 ed., México: Siglo Veintiuno Ed; Muñoz, María del Socorro Guzmán, Sotero Prieto Olasagarre. Un Visionario Decimonónico (2008) Relaciones. Estudios de Historia y Sociedad XXlX, (116), pp. 117-132; Orduña Carson, Miguel, Artesanos de la ciudad de México en la segunda mitad del siglo XIX: Luchas de resistencia en el marco de la hegemonía (2009) Travesía, (10-11), pp. 101-120. , (de 2008); Orduña Carson, Miguel, Historiografía social sobre el artesanado de la ciudad de México en el siglo XIX (2013) Trashumante. Revista Americana de Historia Social, (1), pp. 32-48; Orduña Carson, Miguel, Los artesanos en la prensa decimonónica de la Ciudad de México. Liberalismo, opinión pública e identidad nacional (2014) El Taller de la Historia, 6 (6), pp. 217-245. , https://doi.org/10.32997/2382-4794-vol.6-num.6-2014-739; Orduña Carson, Miguel, Sobre Carlos Illades, Hacia la república del trabajo. El mutualismo artesanal del siglo XIX (2019) Historia Mexicana, 68 (4), pp. 1899-1902. , https://doi.org/10.24201/hm.v68i4.3631; Palti, Elías José, ¿De la tradición a la modernidad?. Revisionismo e historia político-conceptual de las revoluciones de Independencia (2010) Independencia y revolución: Pasado, presente y futuro, pp. 174-190. , En editado por Gustavo Leyva, Brian Connaughton, Carlos Illades, Néstor García Canclini, y Rodrigo Díaz, México: Universidad Autónoma Metropolitana/Fondo de Cultura Económica; Palti, Elías José, (2007) El tiempo de la política: El siglo XIX reconsiderado, , Metamorfosis. Buenos Aires: Siglo Veintiuno Editores Argentina; Palti, Elías José, (2007) La invención de una legitimidad: Razón y retórica en el pensamiento mexicano del siglo XIX ; (un estudio sobre las formas del discurso político), , 2a ed. Buenos Aires: Fondo de Cultura Económica; Pani, Erika, Dreaming of a Mexican Empire: The Political Projects of the 'Imperialistas' (2002) Hispanic American Historical Review, 82 (1), pp. 1-32. , https://doi.org/10.1215/00182168-82-1-1, (el 1 de febrero de); Pani, Erika, Entre transformar y gobernar: La Constitución de 1857 (2004) Historia y política: Ideas, procesos y movimientos sociales, (11), pp. 65-86; Pani, Erika, Law, Allegiance, and Sovereignty in Civil War Mexico, 1857-1867 (2017) The Journal of the Civil War Era, 7 (4), pp. 570-596. , https://doi.org/10.1353/cwe.2017.0083; Pérez Siller, Javier, (2015) México Francia: Memoria de una sensibilidad común siglos XIX-XX, , Tomo I. México: Centro de estudios mexicanos y centroamericanos; Pérez Toledo, Sonia, (1996) Los hijos del trabajo: Los artesanos de la ciudad de México, 1780-1853, , 1. ed. México, D.F: Colegio de México, Centro de Estudios Históricos/Universidad Autónoma Metropolitana Iztapalapa; Pérez Toledo, Sonia, Una organización alternativa de artesanos: La Sociedad Mexicana Protectora de Artes y Oficios, 1843-1844 (2003) Signos Históricos, 5 (9), pp. 73-100; Pernau, Margrit, Wodzicki, Luc, Entanglements, Political Communication, and Shared Temporal Layers (2018) Cromohs. Cyber Review of Modern Historiography, 21, pp. 1-17. , de 2017); Piguet, Marie-France, Individualisme: Origine et réception initiale du mot (2008) Oeuvres et Critiques, XXXIII (1), pp. 39-60; Rancière, Jacques, (2012) El desacuerdo: Política y filosofía, traducido por Horacio Pons, , Buenos Aires: Nueva Visión; Rougerie, Jacques, Le mouvement associatif populaire comme facteur d'acculturation politique à Paris de la révolution aux années 1840: Continuité, discontinuités (1994) Annales historiques de la Révolution française, 297 (1), pp. 493-516. , https://doi.org/10.3406/ahrf.1994.1855; Sewell, William H., (1992) Trabajo y Revolución en Francia. El lenguaje del movimiento obrero desde el antiguo régimen hasta 1848, , Madrid: Taurus Ediciones; Sewell, William H., (1997) Work and revolution in France: The language of labor from the Old Regime to 1848, , Cambridge: New York: Cambridge University Press; Shawcross, Edward, (2018) France, Mexico and informal empire in Latin America, 1820-1867, , https://doi.org/10.1007/978-3-319-70464-7, New York, NY: Springer Berlin Heidelberg; Suárez, Rodolfo, Illades, Carlos, (2012) México como problema: Esbozo de una historia intelectual, , eds. Siglo Veintiuno Editores Universidad Autónoma Metropolitana-Cuajimalpa; Tarcus, Horacio, Aportes para una historia conceptual del socialismo en el espacio rioplatense (1837-1899) (2018) Conceptos Históricos, 4 (5), pp. 122-178; Teitelbaum, Vanesa E., (2008) Entre el control y la movilización: Honor, trabajo y solidaridades artesanales en la Ciudad de México a mediados del siglo XIX, , México: Colegio de México; Teitelbaum, Vanesa, Gutiérrez, Florencia, Sociedades de artesanos y poder público. Ciudad de México, segunda mitad del siglo XIX (2008) Estudios de historia moderna y contemporánea de México, (36), pp. 127-158. , https://doi.org; Uribe Salas, José Alfredo, La industrialización de la seda en Michoacán: Un proyecto nacional (2015) Tzintzun. Revista de Estudios Históricos, (9), pp. 239-277; Valadés, José C., Cartilla socialista de Plotino C. Rhodakanaty. Noticia sobre el socialismo en México durante el siglo XIX (1970) Estudios de Historia Moderna y Contemporánea de México, (3), pp. 9-66. , https://doi.org/10.22201/iih.24485004e.1970.03.69249; Valadés, José C., El nacimiento de una industria mexicana (1979) Estudios de Historia Moderna y Contemporánea de México, 4 (4), pp. 95-103. , https://doi.org/10.22201/iih.24485004e.1972.04.69227; Valadés, José C., (2013) El socialismo libertario (siglo XIX), , editado por Paco Ignacio Taibo II. México: Rosa Luxemburg Stiftung/Para Leer en Libertad A.C; Wasserman, Fabio, El concepto de Nación y las transformaciones del orden político en Iberoamérica, 1750-1850 (2009) Diccionario político y social del mundo iberoamericano: La era de las revoluciones, 1750-1850, 1, pp. 851-869. , En Iberconceptos. Madrid: Fundación Carolina</t>
  </si>
  <si>
    <t>González, M.X.; Università degli studi di TorinoItaly; email: matias.gonzalezfield@edu.unito.it</t>
  </si>
  <si>
    <t>2-s2.0-85124839371</t>
  </si>
  <si>
    <t>Palti E.</t>
  </si>
  <si>
    <t>12139364800;</t>
  </si>
  <si>
    <t>Editorial. "Problems of Latin American political-intellectual history: Democracy, nation, representation. Latin America, 19th and 20th centuries" [Editorial. «Problemas de historia político-intelectual latinoamericana: Democracia, Nación, Representación. América Latina, siglos XIX y XX]</t>
  </si>
  <si>
    <t>10.19053/20275137.n24.2022.13539</t>
  </si>
  <si>
    <t>https://www.scopus.com/inward/record.uri?eid=2-s2.0-85124835759&amp;doi=10.19053%2f20275137.n24.2022.13539&amp;partnerID=40&amp;md5=067cb819177020abbcceb6e2e4ab629a</t>
  </si>
  <si>
    <t>UBA, UNQ, CONICET, Argentina</t>
  </si>
  <si>
    <t>Palti, E., UBA, UNQ, CONICET, Argentina</t>
  </si>
  <si>
    <t>2-s2.0-85124835759</t>
  </si>
  <si>
    <t>Nieto M.E.</t>
  </si>
  <si>
    <t>57457405100;</t>
  </si>
  <si>
    <t>From the house to the plaza? Agency and politicization in the trajectories of Adelina Dematti and Aída Bogo before joining the Mothers of Plaza de Mayo [¿De la casa a la plaza? Agencia y politicidad en las trayectorias de Adelina Dematti y Aída Bogo antes de su constitución en Madres de Plaza de Mayo]</t>
  </si>
  <si>
    <t>10.19053/20275137.n24.2022.10842</t>
  </si>
  <si>
    <t>https://www.scopus.com/inward/record.uri?eid=2-s2.0-85124829214&amp;doi=10.19053%2f20275137.n24.2022.10842&amp;partnerID=40&amp;md5=2190eb70d0e430db2952d171b09c0f84</t>
  </si>
  <si>
    <t>Instituto de Investigaciones en Humanidades y Ciencias Sociales (IdIHCS UNLP-CONICET), Argentina</t>
  </si>
  <si>
    <t>Nieto, M.E., Instituto de Investigaciones en Humanidades y Ciencias Sociales (IdIHCS UNLP-CONICET), Argentina</t>
  </si>
  <si>
    <t>The objective of this work is to reflect upon the trajectories and experiences of political participation of the women who were part of the Mothers of Plaza de Mayo movement, focusing on the period prior to their incorporation into the organization, based on the cases of two of their members: Adelina Dematti and Aída Bogo. Their experiences of participation in different areas of the public sphere were recovered and the politicization of their trajectories linked to the private spheres and the world of labor were analyzed. How they narrate the experience of their incorporation into the organization was identified. This approach will help to highlight that even when these women have been recognized as central agents and protagonists of the resistance to the dictatorship, their trajectories of prior political participation were invisibilized. It will also give account of the political dimensions of the spheres socially denominated as «private . A qualitative approach was adopted to enquire into the meanings that both women built around the events they went through, based on carrying out and analyzing interviews. The Adelina Dematti de Alaye Documental fund, a member of the Mothers of Plaza de Mayo-La Plata, was also consulted. © 2022 Universidad Pedagogica y Tecnologica de Colombia, Instituto de Investigaciones y Formacion Avanzada. All rights reserved.</t>
  </si>
  <si>
    <t>Memories; Mothers of Plaza de Mayo; Political agency; Politicization; Public- private spheres; Trajectories</t>
  </si>
  <si>
    <t>La plata- Argentina. Sección Historia Reciente, Fondo documental de Adelina Dematti de Alaye, integrante de Madres de Plaza de Mayo-La Plata Bogo de Sarti, Aída (2016), Archivo Histórico de Protocolos de Barcelona (AHPB), Entrevista por Patricia Flier; Bogo de Sarti, Aída, (2017) Entrevista por María Emilia Nieto, , Abril de; Dematti de Alaye, Adelina, Entrevista por Pablo Palomino. 1 de agosto de 2005, , Disponible en Memoria Abierta. Dematti de Alaye, Adelina. Entrevista por Alessandro Portelli. 2014. Disponible en el Archivo Sonoro «Franco Coggiola del Circolo Gianni Bosio, Roma; Alliaud, Andrea, (1993) Los maestros y su historia: Los orígenes del magisterio argentino/1, , Buenos Aires: Centro editor de América Latina; Alonso, Luciano, (2011) Luchas en plazas vacías de sueños. Movimiento de derechos humanos, orden local y acción antisistémica en Santa Fe, , Rosario: Prohistoria; Alonso, Luciano, Terror de Estado y luchas proderechos humanos en Argentina: Las dimensiones ocluidas (2017) Revista Ayer, 107 (3), pp. 99-124; Andújar, Andrea, (2014) Rutas Argentinas hasta el fin. Mujeres, política y piquetes (1996-2001), , Buenos Aires: Ediciones Luxemburg; Arrosagaray, Enrique, (2014) Biografía de Azucena Villaflor. Creadora del movimiento Madres de Plaza de Mayo, , Ituzaingó: Editorial Cienflores; Barrancos, Dora, (2008) Mujeres, entre la casa y la plaza, , Buenos Aires: Sudamericana; Béjar, Dolores, La construcción del fraude y los partidos políticos en la Argentina de los años treinta (2004) Sociohistórica, (15-16), pp. 65-97; Bousquet, Jean Pierre, (1983) Las locas de la Plaza, , Buenos Aires: El Cid Editor; Caldo, Paula, Maestras y mercado editorial (2017) La historia argentina en perspectiva local y regional: nuevas miradas para viejos problemas, 2, pp. 53-77. , En Tomo coordinado por Susana Bandieri y Sandra Fernández, Buenos Aires: Teseo; Caldo, Paula, Tizas y Apuntes: Costumbres en común. Maestras, libros y prácticas de enseñanza en la Argentina de 1930 (2018) Intelectuales de la educación y el Estado: Maestros, médicos y arquitectos, pp. 115-139. , En compilado por Flavia Fiorucci y Laura Graciela Rodríguez, Bernal: Universidad Nacional de Quilmes; Carnovale, Vera, (2009) Los combatientes. Historia del PRT-ERP, , Buenos Aires: Siglo XXI; Casas, Luis Saúl, (2007) La guerra civil española y la lucha antifascista en Argentina 1939-1941, , España: Libros Electrónicos Colección Veracruz de la Fundación Cátedra Iberoamericana; Copello, David, El discurso de la víctima militante en la temprana posdictadura: Madres de Plaza de Mayo, actores paraorganizacionales y redes informales en la construcción discursiva de la lucha por los derechos humanos en la Argentina (2018) Revista Nuevo Mundo, Mundos Nuevos, , https://doi.org/10.4000/nuevomundo.74622, S/p; Crenzel, Emilio, (2008) La historia política del Nunca Más. La memoria de las desapariciones en la Argentina, , Buenos Aires: Siglo XXI; Cueto Rúa, Santiago, Hijos de víctimas del terrorismo de Estado: Justicia, identidad y memoria en el movimiento de derechos humanos en Argentina, 1995-2008 (2010) Historia crítica, (40), pp. 122-145. , https://doi.org/10.7440/histcrit40.2010.08; Cueto Rúa, Santiago, Apuntes para pensar el campo de los derechos humanos y la memoria (2018) Memoria y violencia en el siglo XX: Horizontes de un proyecto de investigación, 65, pp. 89-114. , http://www.memoria.fahce.unlp.edu.ar/libros/pm.613/pm.613.pdf, En coordinado por Emmanuel Kahan, Santiago Cueto Rúa, Laura Graciela Rodríguez, La Plata: Universidad Nacional de La Plata. Facultad de Humanidades y Ciencias de la Educación. Estudios-Investigaciones; Acceso el 25 de febrero de 2018; D'Antonio, Débora C., Las Madres de Plaza de Mayo y la apertura de un camino de resistencias. Argentina, última dictadura Militar. 1976-1983 (2006) Nuestra América. Revista de Estudios sobre la Cultura Latinoamericana, (2), pp. 29-40; D'Antonio, Débora C., (2015) Deseo y represión. Sexualidad, género y Estado en la historia argentina reciente, , comp. Buenos Aires: Imago Mundi; D'Antonio, Débora C., Redes de denuncias políticas y jurídicas por violaciones a los derechos humanos en el plano internacional: El rol de las Madres de Plaza de Mayo (Argentina, 1976-1983) (2018) Travesía, 20 (2), pp. 15-44. , https://doi.org/10.31050/1852.1568.n38.19126; De Lauretis, Teresa, La tecnología del género (1996) Revista Mora, (2), pp. 6-34. , http://www.caladona.org/grups/uploads/2012/01/teconologias-del-generoteresa-de-lauretis.pdf, Acceso el 3 de marzo de 2018; Feijoó, María del Carmen, Gogna, Mónica, Las mujeres en la transición a la democracia (1985) Los nuevos movimientos sociales/2 - Derechos Humanos, pp. 41-82. , En Obreros. Barrios, compilado por Elizabeth Jelin, Buenos Aires: CEAL; Filc, Judith, (1997) Entre el parentesco y la política. Familia y dictadura, 1976-1983, , Buenos Aires: Biblos; Fiorucci, Flavia, El campo escolar bajo el peronismo (1946-1955) (2012) Revista Historia de la Educación Latinoamericana, 14 (18), pp. 139-154; Franco, Marina, (2018) El final del silencio: Dictadura, sociedad y derechos humanos en la transición (Argentina, 1979-1983), , Buenos Aires: Fondo de Cultura Económica; Gorini, Ulises, (2006) La rebelión de las Madres. Historia de las madres de Plaza de Mayo, , Buenos Aires: Grupo Editorial Norma; Jelin, Elizabeth, (1985) Los nuevos movimientos sociales/2 - Derechos Humanos, , Obreros. Barrios. Buenos Aires: CEAL; Jelin, Elizabeth, (2017) La Lucha por el pasado: Cómo construimos la memoria social, , Buenos Aires: Siglo XXI; Jensen, Silvina, Los exiliados argentinos y las luchas por la justicia (1976-1981) (2017) Estudios, (38), pp. 13-30; Kotler, Rubén, (2006) Los Movimientos Sociales: Formas de resistencia a la dictadura. Madres de Detenidos Desaparecidos de Tucumán, , Tesis de doctorado, Universidad de Buenos Aires; Kotler, Rubén, Mujeres militantes en el movimiento de Derechos Humanos de Argentina. El caso Tucumán (2008) Revista Amnis, 8. , https://doi.org/10.4000/amnis.573, Sp; Lastra, Soledad, ¿Víctimas de primera o de segunda categoría?. La compleja construcción social de una "jerarquía de las víctimas" en la Argentina posdictadura (1983-1987) (2019) Revista Páginas, 11 (27). , http://dx.doi.org/10.35305/rp.v11i27.370, Sp; Merbilhaá, Margarita, Ramírez, Ana Julia, (2015) Memorias del BIM: Biografías. Las víctimas de la Fuerza de Tareas 5 en La Plata, Berisso y Ensenada, , La Plata: Universidad Nacional de La Plata; Morales, Virginia, La subversión del grito. Repensando la emergencia de las Madres de Plaza de Mayo (2010) Revista Mora, 21 (1), pp. 37-61. , https://doi.org; Nari, Marcela, (2004) Políticas de maternidad y maternalismo político. Buenos Aires, 1890-1940, , Buenos Aires: Biblos; Nieto, María Emilia, (2017) Y también "Madres": Un acercamiento a las memorias y experiencias políticas de Aída Bogo de Sarti y Adelina Dematti de Alaye, Madres de Plaza de Mayo, , http://www.memoria.fahce.unlp.edu.ar/tesis/te.1468/te.1468.pdf, Tesis de grado, UNLP; Oberti, Alejandra, (2015) Las revolucionarias. Militancia, vida cotidiana y afectividad en los setenta, , Buenos Aires: Edhasa; Plotkin, Mariano, (1993) Mañana es San Perón. Propaganda, rituales políticos y educación en el régimen peronista (1946-1955), , Buenos Aires: Editorial Ariel; Portelli, Alessandro, (2016) Historias Orales. Narración, Imaginación y diálogo, , Rosario: Prohistoria/UNLP; Puiggrós, Adriana, (1993) Peronismo: Cultura política y educación (1945-1955), , Buenos Aires: Editorial Galerna; Richard, Nelly, (2008) Feminismo, género y diferencia(s), , Santiago de Chile: Palinodia; Scocco, Marianela, (2016) El viento sigue soplando. Los orígenes de Madres de Plaza 25 de Mayo de Rosario (1977-1985), , Rosario: Último Recurso; Viano, Cristina, Mujeres y movimientos sociales: Un acercamiento a Madres de Plaza de Mayo desde una historia de vida (2008) En Historia oral y militancia política en México y en Argentina, pp. 61-82. , et al., Gerardo Necoechea Gracia. Buenos Aires: El Colectivo FFyL-UBA; Zarranz, Luis, (2018) El mundo es un pañuelo: Viajes al exterior de las Madres de Plaza de Mayo: Tomo I, 1978-1990 / Luis Zarranz, , 1a. ed. La Plata: EDULP</t>
  </si>
  <si>
    <t>Nieto, M.E.; Instituto de Investigaciones en Humanidades y Ciencias Sociales (IdIHCS UNLP-CONICET)Argentina; email: mariaemilianieto@gmail.com</t>
  </si>
  <si>
    <t>2-s2.0-85124829214</t>
  </si>
  <si>
    <t>Garategaray M.</t>
  </si>
  <si>
    <t>55570054900;</t>
  </si>
  <si>
    <t>«The restoring democracydemocracy» History and politics in Uruguay's democratic transition (1980-1989) [«La democracia restauradora» Historia y política en la transición democrática de Uruguay (1980-1989)]</t>
  </si>
  <si>
    <t>10.19053/20275137.n24.2022.13534</t>
  </si>
  <si>
    <t>https://www.scopus.com/inward/record.uri?eid=2-s2.0-85124827413&amp;doi=10.19053%2f20275137.n24.2022.13534&amp;partnerID=40&amp;md5=42a99ea69f0fdb4d0695edd1e9845892</t>
  </si>
  <si>
    <t>CHI-UNQ, CONICET, UBA, Argentina</t>
  </si>
  <si>
    <t>Garategaray, M., CHI-UNQ, CONICET, UBA, Argentina</t>
  </si>
  <si>
    <t>This article focuses, firstly, on the revision of the readings made by politicians, intellectuals and academics of the transition to democracy in Uruguay, commonly understood as the period between 1980 and 1989. An analysis is made of the type of frameworks of meanings and imaginaries on which re-democratization was structured, and what recurrent and hegemonic readings -from history and political science- were installed in those years. It is possible to conclude that in Uruguay an interpretation of transitional democracy as normative or institutional democracy prevailed and that because it took pride in its institutionalist tradition and the «uniqueness of the country», it found its legitimating roots in the past. In the interpretations of the time, betting on a continuist outlook, the post-dictatorial future retreated in a naturalized manner to a known, predictable and, fundamentally, exceptional past. For this reason, in a second part, the article discusses these canonic points of view. From a perspective focused on political language, it is proposed to problematize the modeling of the transition towards democracy to reinstate the complex and central position of the political change in the democratic conceptualization. Thus, it is sought to review the years of the return to democracy in Uruguay with new questions which can shed light on little explored elements of the process, as well as to start a dialog about the Uruguayan experience with the transitions of the region as a kind of circulation and exchange of ideas among the intellectuals of the time. © 2022 Universidad Pedagogica y Tecnologica de Colombia, Instituto de Investigaciones y Formacion Avanzada. All rights reserved.</t>
  </si>
  <si>
    <t>Democracy; Intellectual history; Political languages; Transition; Uruguay</t>
  </si>
  <si>
    <t>Arismendi, Rodney, Unidad y Convergencia para imponer ahora una real apertura democrática (1982) Revista Estudios, (81), pp. 2-5. , (enero de); Arocena, Rodrigo, Ganon, Víctor, Bengochea, Pablo Martínez, García, Antonio Pérez, Saráchaga, Darío, Vera, Tabaré, (2000) El futuro: ¿destino o tarea?, , Montevideo: Ediciones FESUR, Colección Uruguay 1989; Beisso, María del Rosario, Castagnola, José Luis, Identidades sociales y cultura política en Uruguay. Discusión de una hipótesis (1987) Cuadernos del CLAEH, (44), pp. 9-18; Boletín del Frente Amplio del Uruguay (1980) Nueva Sociedad, 2 (48). , S/A no (junio): Sp; Caetano, Gerardo, Rilla, José Pedro, (1987) Breve historia de la dictadura 1973-1985, , Montevideo: Grupo Editor; Caetano, Gerardo, La partidocracia uruguaya: Tradición y agenda reciente (1995) Secuencia, (32), pp. 103-134; Caetano, Gerardo, Notas para una revisión histórica sobre la cuestión nacional en el Uruguay (1990) Cuadernos del CLAEH, pp. 59-78. , no49; Caetano, Gerardo, Rilla, José Pedro, Pérez, Romeo, La partidocracia Uruguaya (1987) Cuadernos del CLAEH, (44), pp. 37-61; (1987) Cuadernos del Claeh, 12 (42). , V/A. año segunda serie (octubre de /2); De Riz, Liliana, Uruguay: La transición desde una perspectiva comparada (1985) Revista Mexicana de Sociología, 47 (2), pp. 5-20. , (abril-junio de); De Sierra, Gerónimo, La izquierda en la transición (1985) Revista Mexicana de Sociología, 47, pp. 111-121. , (abril-junio de); Demasi, Carlos, La partidocracia uruguaya: Aportes para la discusión de una hipótesis (2012) Contemporánea, no3, pp. 267-282; Demasi, Carlos, Los partidos más antiguos del mundo: El uso político del pasado uruguayo (2008) Revista Encuentros Uruguayos, 1 (1), pp. 67-81. , año; Dutrenit Bielous, Silvia, Del consenso transpartidario al acuerdo blanquicolorado (1985-1989) (1999) Secuencia, 44, pp. 73-96. , (mayo-agosto de); Espeche, Ximena, (2016) La paradoja uruguaya. Intelectuales, latinoamericanismo y nación a mediados de siglo XX, , Buenos Aires: Universidad Nacional de Quilmes; Garategaray, Martina, Intelectuales y democracia. Notas a propósito de los encuentros de Maryland (2019) Intellèctus, XVIII (2), pp. 127-146. , https://www.e-publicacoes.uerj.br/index.php/intellectus/article/view/47129, Ano; Garategaray, Martina, Reano, Ariana, El pacto democrático en el lenguaje político de la transición en Argentina y Chile en los años ochenta (2019) Revista Contemporánea, Historia y problemas del siglo XX, Año 10, 10, pp. 19-36. , http://revistacontemporanea.fhuce.edu.uy/index.php/Contemporanea/article/view/121/107; Garategaray, Martina, Reano, Ariana, La democracia como lenguaje político de la transición. Avances en la construcción de una perspectiva de análisis (2018) Prismas Revista de historia intelectual, (22), pp. 31-50; Garategaray, Martina, Reano, Ariana, Transiciones democráticas. Una revisión crítica en la intersección de la historia intelectual y la teoría política contemporánea (2020) Izquierdas, 62 (49), pp. 706-724. , http://www.izquierdas.cl/images/pdf/2020/n49/art38_706_724.pdf; Garategaray, Martina, Reano, Ariana, Apuntes para una historia intelectual de la transición democrática (2017) A Contracorriente, 14 (2), pp. 256-272. , https://acontracorriente.chass.ncsu.edu/index.php/acontracorriente/article/view/1580; Garcé, Adolfo, Los politólogos en el espejo (2004) Revista Dosmil30, , https://www.montevideo.com.uy/ZZZ-No-se-usa/Por-Adolfo-Garce-uc17516, Sp; Garcé, Adolfo, Yaffé, Jaime, La izquierda uruguaya (1971-2004): Ideología, estrategia y programa (2006) América Latina Hoy, 44, pp. 87-114; Garcé, Adolfo, La ciencia política en Uruguay: Un desarrollo tardío, intenso y asimétrico (2005) Revista de Ciencia Política, 25 (1), pp. 232-244; González, Luis Eduardo, Transición y restauración democrática (1985) Uruguay y la democracia, , En Tomo III, editado por Guillespie, Charles, Louis Goodman, Juan Rial y Peter Winn, sp. Montevideo: Ediciones de la Banda Oriental; Finch, Henry, Uruguay: La carga del pasado (1989) Cuadernos de Marcha, (48), pp. 3-14. , (octubre de); Kaufman, Edy, El rol de los partidos políticos en la redemocratización del Uruguay (1987) La cultura uruguaya: Represión, exilio y democracia, , En editado por Saúl Sosnowski. Montevideo: Ediciones de la Banda Oriental; Lechner, Nortbert, (1990) Los patios interiores de la democracia. Subjetividad y política, , Santiago de Chile: FCE; Lefort, Claude, El problema de la democracia (1985) Opciones, (6), pp. 73-86; Aldo, Marchesi, Bardazano, Gianella, de Giorgi, Alvaro, de Giorgi, Ana Laura, Sempol, Diego, (2013) Ley de caducidad: Un tema inconcluso, momentos, actores y argumentos (1986-2013), , Montevideo: Trilce; Marchesi, Aldo, Markarian, Vania, Cinco décadas de estudios sobre la crisis, la democracia y el autoritarismo en Uruguay (2012) Contemporánea, 3, pp. 213-242; Marchesi, Aldo, (2019) Hacer la revolución. Guerrillas latinoamericanas de los años sesenta a la caída del Muro, , Argentina: Editorial Siglo XXI; Marchesi, Aldo, Markarian, Vania, Rico, Álvaro, Yaffé, Jaimé, Introducción: Pensar el pasado reciente: Antecedentes y perspectivas (2004) En El presente de la dictadura: Estudios y reflexiones a 30 años del golpe de Estado en Uruguay, , Montevideo: Trilce; Markarian, Vania, De la lógica revolucionaria a las razones humanitarias: La izquierda uruguaya en el exilio y las redes transnacionales de derechos humanos (1972-1976) (2004) Cuadernos del CLAEH, (89), pp. 85-108; Palti, Elías, Temporalidad y refutabilidad de los conceptos políticos (2005) Revista Prismas, (9), pp. 19-34; Palti, Elías, (2007) El tiempo de la política. El siglo XIX reconsiderado, , Buenos Aires: Siglo Veintiuno Editores; Francisco, Panizza, Pérez Riera, A., (1988) Estado y Sociedad. Colección Uruguay 2000, , Montevideo: Fesur; Perelli, Carina, El poder de la memoria, la memoria del poder (1987) La cultura uruguaya: Represión, exilio y democracia, pp. 321-322. , En editado por Saúl Sosnowski, Montevideo: Ediciones de la Banda Oriental; Perelli, Carina, Rial, Juan, (1986) De mitos y memorias políticas. La represión, el miedo y después, , Montevideo: Ediciones de la Banda Oriental; Real de Azúa, Carlos, (1984) Uruguay, ¿una sociedad amortiguadora?, , Montevideo: Centro de Informaciones y Estudios del Uruguay, Ediciones de la Banda Oriental, Edición en PDF; Rial, Juan, El imaginario social. Los mitos políticos y utopías en el Uruguay. Cambios y permanencias durante y después del autoritarismo (1987) La cultura uruguaya: Represión, exilio y democracia, pp. 63-89. , En editado por Saul Sosonowski, Montevideo: Ediciones de la Banda Oriental; Rial, Juan, Transición a la democracia y restauración en el Uruguay 1985-1989 (1991) Transición política y consolidación democrática en el Cono Sur latinoamericano, , En editado por Juan Rial, Angel M. López y López y Carlos Vargas Quiroz. Madrid: FES; Rico, Álvaro, La reforma de la democracia como reestructura del Estado en el Uruguay (1989) Revista Uruguaya de Ciencia Política, (3), pp. 133-152. , http://rucp.cienciassociales.edu.uy/index.php/rucp/article/view/279; Rico, Álvaro, La Dictadura, hoy (2004) El presente de la dictadura: Estudios y reflexiones a 30 años del golpe de Estado en Uruguay, , En editado por Aldo Marchesi, Vania Markarian, Álvaro Rico y Jaimé Yaffé. Montevideo: Trilce; Rico, Álvaro, Los politólogos en el espejo (II) (2004) Revista Dosmil30, , https://www.montevideo.com.uy/ZZZ-No-se-usa/Por-Alvaro-Rico-uc17505, Sp; Rico, Álvaro, (2005) Cómo nos domina la clase gobernante: Orden político y obediencia social en la democracia posdictadura. Uruguay (1985-2005), , Montevideo: Ediciones Trilce; Rilla, José, Uruguay 1980. Transición y democracia plebiscitaria (1997) Nueva Sociedad, (150), pp. 77-83; Roniger, Luis, Sznajder, Mario, La reconstrucción de la identidad colectiva del Uruguay tras las violaciones a los derechos humanos por la dictadura militar (2003) Araucaria, (9), pp. 45-69; Rosanvallón, Pierre, (2003) Por una historia conceptual de lo político, , Buenos Aires: Fondo de Cultura Económica; Sosa, Álvaro, Concertando la democracia. La experiencia de la Conapro en la transición uruguaya (1984-1985) (2019) Contemporánea, Año 10, 10, pp. 37-55; Tamburini, Mauricio Daniel Bruno, Usos y sentidos del concepto de democracia en Uruguay (1958-1989) (2018) Políticas de la Memoria, (18), pp. 209-221. , (-2019); Visacovsky, Sergio Eduardo, Guber, Rosana, ¿Crisis o transición?. Caracterizaciones intelectuales del dualismo argentino en la apertura democrática (2005) Anuario de Estudios Americanos, (62), pp. 55-85; Weinstein, Martin, Decadencia y caída de la democracia en Uruguay. Lecciones para el futuro (1987) La cultura uruguaya: Represión, exilio y democracia, pp. 91-106. , En editado por Saúl Sosnowski, Montevideo: Ediciones de la Banda Oriental; Acosta, Yamandú, La construcción de la democracia en la transición. El pensamiento de las ciencias jurídicas, políticas y sociales. Uruguay 1985-1989 (2007) Polis, Revista de la Universidad Bolivariana, 5 (16), pp. 1-17; Zubillaga, Carlos, Renovación historiográfica en el Uruguay de la dictadura y la reinstitucionalización democrática (1973-1995) (1997) Revista de Indias, LVII (210), pp. 511-537</t>
  </si>
  <si>
    <t>Garategaray, M.; CHI-UNQ, Argentina; email: martina.garategaray@gmail.com</t>
  </si>
  <si>
    <t>2-s2.0-85124827413</t>
  </si>
  <si>
    <t>Cucchi L.</t>
  </si>
  <si>
    <t>56293990300;</t>
  </si>
  <si>
    <t>Popular juries in Argentina (1868-1874). The problem of democracy as the participation of the people in the government [Los jurados populares en Argentina (1868- 1874). El problema de la democracia como participación del pueblo en el gobierno]</t>
  </si>
  <si>
    <t>10.19053/20275137.n24.2022.13536</t>
  </si>
  <si>
    <t>https://www.scopus.com/inward/record.uri?eid=2-s2.0-85124822628&amp;doi=10.19053%2f20275137.n24.2022.13536&amp;partnerID=40&amp;md5=8c76c94671b50103121faf8878ca2f91</t>
  </si>
  <si>
    <t>Universidad de Buenos Aires, Buenos Aires, Argentina</t>
  </si>
  <si>
    <t>Cucchi, L., Universidad de Buenos Aires, Buenos Aires, Argentina</t>
  </si>
  <si>
    <t>This article analyzes some doctrinal and political disputes that took place over how the exercising of popular sovereignty should assume the construction of the Argentinian state. The focus is on the controversies brought about by the legislation of popular juries for the administration of justice. With those objectives, and from a perspective of political-intellectual history, the article approaches the forum of controversies that was constituted around academic production in the University of Buenos Aires and the legislative debates that took place in the National Congress. It also takes into consideration articles published in cultural and legal journals which articulated, fed and amplified the spread of those discussions. The main argument is that the dissidences that gave way to that form of popular sovereign exercise went back to the disputes over what the place of the people was in the government of the republic, and that its lack of implementation was linked to the triumph of a form of republican functioning which privileged popular demobilization as a means to secure political stability. © 2022 Universidad Pedagogica y Tecnologica de Colombia, Instituto de Investigaciones y Formacion Avanzada. All rights reserved.</t>
  </si>
  <si>
    <t>Argentina; Democracy; People; Popular sovereignty; Trial by jury</t>
  </si>
  <si>
    <t>Barreneche, Osvaldo, ¿Lega o letrada?. Discusiones sobre la participación ciudadana en la justicia de la ciudad de Buenos Aires durante las primeras décadas de independencia y experiencia republicana (2007) Justicia, política y derechos en América Latina, pp. 181-202. , En editado por Juan Manuel Palacio y Magdalena Candioti, Buenos Aires: Prometeo; Bonaudo, Marta, Aires gaditanos en el mundo rioplatense. La experiencia de los jefes políticos y el juicio por jurados en tierras santafesinas (segunda mitad del siglo XIX) (2008) Revista de Indias, LXVIII (242), pp. 273-274; Botana, Natalio, (1984) La tradición republicana. Alberdi, Sarmiento y las ideas políticas de su tiempo, , Buenos Aires: Sudamericana; Botana, Natalio, Sarmiento and Political Order. Liberty, Power, and Virtue (1994) Sarmiento. Author of a Nation, pp. 101-113. , En editado por Tulio Halperin Donghi, Berkeley: University of California Press; Campobassi, José S., (1975) Sarmiento y su época, 2. , Buenos Aires: Losada; De la Fuente, Ariel, (2000) Children of Facundo. Caudillo and Gaucho Insurgency During the Argentine State-Formation Process (La Rioja, 1853-1870), , https://doi.org/10.1215/9780822380191, Durham: Duke University Press; De Marco, Miguel Ángel, (2016) Sarmiento. Maestro de América. Constructor de la Nación, , Buenos Aires: Emecé; Candioti, Magdalena, Fueros, jueces y jurados: El debate público en torno a la reforma judicial rivadaviana (2008) Papeles de Trabajo. Revista Electrónica del IDAES, 3, pp. 1-19; Candioti, Magdalena, Ley, justicia y revolución en Buenos Aires, 1810-1830. Una historia política (2015) Las Tesis del Ravignani, 4. , En Buenos Aires: Universidad de Buenos Aires; Codesido, Lucas, (2016) La Nacionalización de las fuerzas armadas en la Argentina y su vinculación con el proceso de construcción del Estado argentino entre 1862 y 1880, , Tesis de Doctorado inédita, Universidad Nacional de La Plata; Corva, María Angélica, (2014) Constituir el gobierno, afianzar la justicia. El poder judicial de la provincia de Buenos Aires (1853-1881), , Rosario: Prohistoria; Gálvez, Manuel, (1945) Vida de Sarmiento, , Buenos Aires: Emecé; Greco de Álvarez, Andrea, Juicio por Jurados. Debate periodístico post- independencia (2019) Revista de Historia del Derecho, (57), pp. 29-70; Halperin Donghi, Tulio, (1980) Proyecto y construcción de una nación. Argentina, 1846-1880, , Caracas: Biblioteca Ayacucho; Halperin Donghi, Tulio, (1985) Tradición política española e ideología revolucionaria de Mayo, , Buenos Aires: CEAL; Heim, Andrés, Juicio por Jurados. Una paciente espera (2012) Revista Derecho Penal. Año, 1 (3), pp. 151-170; Lettieri, Alberto, (2008) La República de las Instituciones. Proyecto, desarrollo y crisis del régimen político liberal en la Argentina en tiempos de la organización nacional (1852-1880), , Buenos Aires: Prometeo; Levaggi, Abelardo, (1978) Historia del Derecho Penal Argentino, , Buenos Aires: Perrot; Levaggi, Abelardo, El juicio por jurados en la Argentina durante el siglo XIX (1982) Revista de Estudios Histórico Jurídicos, 7, pp. 175-218; Tamayo, Londoño, Andrés, A., El Jurado popular en Colombia en el juicio criminal ordinario. Participación ciudadana y justicia penal en Medellín (1821-1886) (2016) Revista De Indias, LXXVI (266), pp. 203-232. , https://doi.org/10.3989/revindias.2016.007; Navajas, María José, Las controversias por la reforma electoral. Argentina, 1873 (2014) Estudios de historia moderna y contemporánea de México, (48), pp. 39-67. , https://doi.org/10.1016/S0185-2620(14)71427-6; Macías, Flavia, Entre la revolución, la política y la organización nacional: Las fuerzas militares del norte argentino durante la presidencia de Domingo Faustino Sarmiento (1868-1874) (2011) Sangre de Ley. Violencia y justicia en la institucionalización del Estado. América Latina, siglo XIX, pp. 277-299. , En editado por Marta Irurozqui Victoriano y Mirian Galante, Madrid: Polifemo; Padilla Arroyo, Antonio, Los jurados populares en la administración de justicia en México del siglo XIX (2000) Secuencia, (47), pp. 137-170. , https://doi.org/10.18234/secuencia.v0i47.692; Palti, Elías, (2018) Una arqueología de lo político. Regímenes de poder desde el siglo XVII, , Buenos Aires: Fondo de Cultura Económica; Palti, Elías, Democracia (2021) Lenguaje y política. Conceptos claves en el Río de la Plata (1780-1870), pp. 29-41. , En editado por Noemí Goldman, Buenos Aires: Prometeo; Piccato, Pablo, (2010) The Tyranny of Opinion. Honor in the Construction of the Mexican Public Sphere, , https://doi.org/10.1215/9780822391753, Durham y London: Duke University Press; Roldán, Darío, Sufragio, representación y soberanía en la democracia contemporánea (2002) Prismas. Revista de Historia Intelectual, 6, pp. 137-147. , no1; Rosanvallon, Pierre, (2000) La Démocratie inachevée. Histoire de la souveraineté du peuple en France, , París: Gallimard; Rosanvallon, Pierre, La historia de la palabra "democracia" en la época moderna (2006) Estudios Políticos, 28, pp. 9-28; Sábato, Hilda, (1998) La política en las calles. Entre el voto y la movilización, 1862-1880, , Buenos Aires: Sudamericana; Sábato, Hilda, (2012) Historia de la Argentina, 1852-1890, , Buenos Aires: Siglo XXI; Sábato, Hilda, Los desafíos de la república. Notas sobre la política en la Argentina pos Caseros (2014) Estudios Sociales, 47 (1), pp. 77-117. , https://doi.org/10.14409/es.v46i1.4472; Scarsini, Adriana, Juicio por Jurados (2004) Estudio e Investigaciones Parlamentarias, (13), pp. 1-98; Sommariva, Luis, (1931) Historia de las intervenciones federales en las provincias, 2. , Buenos Aires: El Ateneo; Tuck, Richard, (2016) The Sleeping Sovereign. The Invention of Modern Democracy, , https://doi.org/10.1017/CBO9781316417782, Cambridge: Cambridge University Press; Zimmermann, Eduardo, Historia global y cultura constitucional: Una nota sobre la traducción y circulación de doctrina juridical en la Argentina del siglo diecinueve (2014) Nuevo Mundo/Mundos nuevos, , http://nuevomundo.revues.org/66772, [En línea]. Puesto en línea el 30 mayo Acceso el 11 de julio de 2020. https://doi.org/10.4000/nuevomundo.66772</t>
  </si>
  <si>
    <t>Cucchi, L.; Universidad de Buenos AiresArgentina; email: lcucchi@filo.uba.ar</t>
  </si>
  <si>
    <t>2-s2.0-85124822628</t>
  </si>
  <si>
    <t>Mora J.C.B.</t>
  </si>
  <si>
    <t>57355320800;</t>
  </si>
  <si>
    <t>Colombian publicists before the 1848 French Revolution, during the second half of the 19th century [Los publicistas colombianos ante la Revolución Francesa de 1848, durante la segunda mitad del siglo XIX]</t>
  </si>
  <si>
    <t>https://www.scopus.com/inward/record.uri?eid=2-s2.0-85124821443&amp;doi=10.19053%2f20275137.n24.2022.11483&amp;partnerID=40&amp;md5=6ce85707b17e69cfaefb9fbc37f41017</t>
  </si>
  <si>
    <t>Grupo de Investigaciones Históricas, Universidad Pedagógica y Tecnológica de Colombia, Colombia</t>
  </si>
  <si>
    <t>Mora, J.C.B., Grupo de Investigaciones Históricas, Universidad Pedagógica y Tecnológica de Colombia, Colombia</t>
  </si>
  <si>
    <t>In the mid-19th century, Nueva Granada started a new phase of its democratic experience characterized by the appearance of the Liberal and Conservative parties. Faced with this new political scenario, the public writers of Nueva Granada who were linked to those parties sought to enrich their political interventions through the reading of foreign political events. It was also through this means that they sought to structure their partisan identities. This article studies different readings regarding the French Revolution of 1848 in the Colombian political scenario of the second half of the 19th-century. Through the analysis of the newspapers and other printed media, such as books, brochures and leaflets, the different notions of the French Revolution were reconstructed in Colombia during the second half of the 19th-century. The text is divided into three sections. The first section examines the attention paid to the Revolution by the Nueva Granada press during 1848. The second section reconstructs the conservative arguments about the link between the Nueva Granada Liberals and the French socialists. In the third section, Liberal interpretations of French socialist thinking are explored. This analysis has shown the richness and originality of Colombian political thinking in the 19th century, not yet widely explored in various aspects. © 2022 Universidad Pedagogica y Tecnologica de Colombia, Instituto de Investigaciones y Formacion Avanzada. All rights reserved.</t>
  </si>
  <si>
    <t>1848 French Revolution; Nueva Granada; Political parties; Political thinking; Public writers</t>
  </si>
  <si>
    <t>Abramson, Pierre-Luc, (1999) Las utopías sociales en América Latina en el siglo XIX, , México: Fondo de Cultura Económica; Acevedo, Darío, Consideraciones críticas sobre la historiografía de los artesanos del siglo XIX (1991) Anuario Colombiano de Historia Social y de la Cultura, (18-19), pp. 125-144; Agulhon, Maurice, (1983) The Republican Experiment. 1848-1852, , Cambridge: Cambridge University Press; Becerra Mora, José Camilo, Escritores Públicos y Prensa en la Nueva Granada, 1848-1853 (2021) Historia Caribe, 16 (38). , https://doi.org/10.15648/hc.38.2021.2820, Sp; Beecher, Jonathan, Lamartine, The Girondins, and 1848 (2018) The 1848 Revolution and European Political Thought, pp. 14-38. , En editado por Douglas Moggach y Gareth Stedman Jones, Cambridge: Cambridge University Press; Gazmuri, Cristián, (1998) El '48' chileno, igualitarios, reformistas radicales, masones y bomberos, , Santiago de Chile: Editorial Universitaria; Gilmore, Robert, Nueva Granada's Socialist Mirage (1956) The Hispanic American Review, 36 (2), pp. 190-210; Grusin, Jay, (1978) The Revolution of 1848 in Colombia, , Tesis de Doctorado en Historia, Universidad de Arizona; Guerra, François Xavier, Hacía una nueva historia política. Actores sociales y actores políticos (1989) Anuario del IEHS, IV, pp. 243-264; Gutiérrez Ardila, Daniel, (2012) El reconocimiento de Colombia: Diplomacia y propaganda en la coyuntura de las restauraciones, 1819-1831, , Bogotá: Universidad Externado de Colombia; Hernández, Gonzalo, (1989) Los árboles de la libertad, , Bogotá: Planeta Editorial; Jaramillo Uribe, Jaime, (1994) La personalidad histórica de Colombia y otros ensayos, , Bogotá: El Áncora Editores; Jones, Thomas, French Republicanism after 1848 (2018) The 1848 Revolutions and European Political Thought, pp. 70-93. , En editado por Douglas Moggach y Gareth Stedman Jones, Cambridge: Cambridge University Press; Martínez, Frederic, El nacionalismo cosmopolita, La referencia europea en la construcción nacional en Colombia, 1845-1900; (2001), Bogotá: Banco de la República, Instituto francés de estudios andinos; Montoya, Paula, Ramírez, Juan Guillermo, Ángel, Claudia, Una investigación en historia de la traducción: Cuatro traductores colombianos del siglo XIX (2006) Ikala, revista de lenguaje y cultura, 11 (17), pp. 13-30; Orozco, Wilson, La traducción en el siglo XIX en Colombia (2000) Ikala, revista de lenguaje y cultura, 5 (9-10), pp. 73-88; Palacios, Marco, (1999) Parábola del liberalismo, , Bogotá: Grupo editorial norma; Pocock, J.G.A., (2011) Pensamiento político e historia, , Madrid: Ediciones Akal; Posada Carbó, Eduardo, New Granada and the European Revolutions of 1848 (2002) The European Revolutions of 1848 and the Americas, pp. 217-240. , En editado por Guy Thomson, Londres: Institute of Latin American Studies; Rosanvallon, Pierre, (1999) La consagración del ciudadano: Historia del sufragio universal en Francia, , México: Instituto de Investigación Históricas Dr. José María Luis Mora</t>
  </si>
  <si>
    <t>Mora, J.C.B.; Grupo de Investigaciones Históricas, Colombia; email: josecamilo.becerra@uptc.edu.co</t>
  </si>
  <si>
    <t>2-s2.0-85124821443</t>
  </si>
  <si>
    <t>Baratta M.V.</t>
  </si>
  <si>
    <t>56192853000;</t>
  </si>
  <si>
    <t>Representations of the concept of independence at the beginnings of the Paraguayan press (1845-1852) [Representaciones en torno al concepto Independencia en los inicios de la prensa paraguaya (1845-1852)]</t>
  </si>
  <si>
    <t>10.19053/20275137.n24.2022.12692</t>
  </si>
  <si>
    <t>https://www.scopus.com/inward/record.uri?eid=2-s2.0-85124818429&amp;doi=10.19053%2f20275137.n24.2022.12692&amp;partnerID=40&amp;md5=ecf86def7064e33b07e17bb5c0b36392</t>
  </si>
  <si>
    <t>UBA, CONICET, Argentina</t>
  </si>
  <si>
    <t>Baratta, M.V., UBA, CONICET, Argentina</t>
  </si>
  <si>
    <t>The present work proposes to analyze the political concepts and representations deployed around the search for recognition of the Independence of Paraguay by the Argentinian Confederation. The chosen source is the press, a privileged environment of the political debate. The focus was put on the study of El Paraguayo Independiente, the first newspaper of Paraguay which was created during the government of Carlos Antonio López in 1845. Its principal writer was the Paraguayan president himself. The initial difficulty of defining the concept of Independence in Paraguay was a relevant part of the diplomatic conflicts with its neighbors and of the antecedents to the great war. © 2022 Universidad Pedagogica y Tecnologica de Colombia, Instituto de Investigaciones y Formacion Avanzada. All rights reserved.</t>
  </si>
  <si>
    <t>Argentinian Confederation; Independence; Nation; Paraguay; Political concepts; Sovereignty</t>
  </si>
  <si>
    <t>Alonso, Paula, Construcciones impresas. Panfletos, diarios y revistas en la formación de los Estados nacionales en América Latina, 1820-1920 (2004), comp. Buenos Aires: FCE, Areces, Nidia. «De la Independencia a la Guerra de la Triple Alianza (1811-1870) En Historia del Paraguay, coordinado por Telesca, I. Asunción: Taurus, 2010; Benítez, Justo Pastor, (1949) Carlos Antonio López: Estructuración del estado paraguayo, , Asunción: Carlos Schauman; Bouvet, Nora, (2009) Poder y escritura. El doctor Francia y la construcción del estado paraguayo, , Buenos Aires: Eudeba; Cardozo, Efraim, (1987) Paraguay independiente, , Asunción: Carlos Schaumann Editor; Chávez, Julio César, (1959) Historia de las relaciones entre el Paraguay y Buenos Aires 1810-1813, , Buenos Aires: Nizza; Cooney, Jerry, (2012) El proceso de la Independencia del Paraguay. 1807-1814, , Asunción: Intercontinental Editora; Cooney, Jerry, Thomas, Whigham, (1994) El Paraguay bajo los López. Algunos ensayos de historia social y política, , comps. Asunción: CPES; Fernández Sebastián, Javier, (2014) Diccionario político y social del mundo iberoamericano, , dir. Madrid: Universidad del País Vasco-Iberconceptos-Centro de Estudios Políticos y Constitucionales; Goldman, Noemí, (2008) Lenguaje y Revolución. Conceptos políticos clave en el Río de la Plata (1780-1850), , dir. Buenos Aires: Prometeo; Koselleck, Reinhart, (1993) Futuro pasado, , Barcelona: Paidós; Moreno, Fulgencio, (1985) Estudio sobre la Independencia del Paraguay, , Asunción: Carlos Schauman Editor; Palti, Elías, (2007) El tiempo de la política. El siglo XIX reconsiderado, , Buenos Aires: Siglo XXI editores; Potthast, Bárbara, Telesca, Ignacio, ¿Nueva Jurisprudencia o pragmatismo político?. Paraguay y su lucha por mantener la independencia (2012) Juristas de la Independencia, pp. 521-582. , En editado por Pérez Collados, J. M. Rodríguez Barbosa, S, Madrid: Marcial Pons; Bárbara, Potthast, Entre la revolución y la continuidad colonial. Catecismos políticos y ciudadanía en Paraguay 1810-1920 (2013) La Articulación del estado en América Latina. La construcción social, económica, política y simbólica de la nación, pp. 521-582. , En sXIX-XX, editado por Pilar García Jordán, Barcelona: Editado por García Jordán, Pilar; Rosanvallon, Pierre, (2003) Por una historia conceptual de lo político, , Buenos Aires: FCE; Skinner, Quentin, Significado y comprensión de la historia de las ideas (2000) Prismas. Revista de historia intelectual, (4), pp. 29-67; Telesca, Ignacio, Brezzo, Liliana, Campos, Herib Caballero, (2013) Paraguay 1813, , Asunción: Taurus; Williams, John Hoyt, (1979) The Rise and Fall of the Paraguayan Republic, 1800-1870, , Austin: Institute of Latin American Studies, University of Texas</t>
  </si>
  <si>
    <t>Baratta, M.V.; UBA, Argentina; email: victoriabaratta@gmail.com</t>
  </si>
  <si>
    <t>2-s2.0-85124818429</t>
  </si>
  <si>
    <t>Navas C.P.N.</t>
  </si>
  <si>
    <t>57204742371;</t>
  </si>
  <si>
    <t>The ECLAC model in the Socialism of the 21st Century in Ecuador</t>
  </si>
  <si>
    <t>10.19053/20275137.n24.2022.10637</t>
  </si>
  <si>
    <t>https://www.scopus.com/inward/record.uri?eid=2-s2.0-85124810372&amp;doi=10.19053%2f20275137.n24.2022.10637&amp;partnerID=40&amp;md5=33c9e881e8abebfba31d944aa004ca19</t>
  </si>
  <si>
    <t>Universidad Nacional de Chimborazo, Ecuador</t>
  </si>
  <si>
    <t>Navas, C.P.N., Universidad Nacional de Chimborazo, Ecuador</t>
  </si>
  <si>
    <t>The industrialization models of ECLAC, developed during the 1950s, 1960s and 1970s, and those of Ecuador, implemented by the 21st-century socialist government, are similar in their attempt to industrialize through the substitution of imports and government expenditure. In both cases, the economic policies focused on a closed economy, with high tariff barriers, and a strong role of the state as the main actor in the economy. The article uses a comparative method of analysis which emphasizes the outcomes of both of the periods studied. The results show that the models applied brought the same problems; imbalance in external trade and rising public debt. An alternative premise is suggested, that the models applied are the main causes of the debt crisis in the 1980s and the increasing public debt in the government of Rafael Correa. © 2022 Universidad Pedagogica y Tecnologica de Colombia, Instituto de Investigaciones y Formacion Avanzada. All rights reserved.</t>
  </si>
  <si>
    <t>ECLAC; Ecuador; Import substitution; Industrialization; ISI; Rafael Correa; Socialism of the 21st century</t>
  </si>
  <si>
    <t>(2010) Código Orgánico de Planificación y finanzas Públicas, , T.5458-SNJ-10-1558; Riesgo país, , https://contenido.bce.fin.ec/resumen_ticker.php?ticker_value=riesgo_pais; Balanza de pagos, balanza comercial, , https://contenido.bce.fin.ec/home1/estadisticas/bolmensual/IEMensual.jsp; Remesas base de datos, , https://contenido.bce.fin.ec/frame.php?CNT=ARB0000985; Producto interno bruto por industria, , https://contenido.bce.fin.ec/home1/estadisticas/bolmensual/IEMensual.jsp; Producto interno bruto; gasto de gobierno, , https://contenido.bce.fin.ec/home1/estadisticas/bolmensual/IEMensual.jsp; Oferta monetaria y liquidez total, , https://contenido.bce.fin.ec/home1/estadisticas/bolmensual/IEMensual.jsp; Inversión directa por rama de actividad económica, , https://www.bce.fin.ec/index.php/component/k2/item/298-inversión-extranjera-directa; (2009) Plan Nacional para el Buen Vivir 2009-2013, , Quito: Secretaría Nacional de Planificación y Desarrollo; (2013) Plan Nacional para el Buen Vivir 2013-2017, , Quito: Secretaría Nacional de Planificación y Desarrollo; Bértola, Luis, Ocampo, José Antonio, (2010) Una Historia Económica de América Latina desde la Independencia. Desarrollo Vaivenes y Desigualdades, , Madrid: Secretaría General Iberoamericana; Bértola, Luis, Bolivia (Estado Plurinacional de), Chile y Perú desde la Independencia: Una historia de conflictos, transformaciones, inercias y desigualdad (2010) Institucionalidad y desarrollo económico en América Latina, , edited by Luis Bértola y Pablo Gerchunoff. Santiago de Chile: CEPAL; Bonfanti, Fernando, Análisis del modelo de industrialización por sustitución de importaciones en América Latina y en Argentina. Una mirada hacia la realidad industrial actual en Argentina (2015) Revista Geográfica Digital, 12 (24), pp. 1-17. , http://dx.doi.org/10.30972/geo.12242164; Bose, Niloy, Public expenditure and economic growth: A disaggregated analysis for developing countries (2007) The Manchester School, 75 (5), pp. 533-556. , https://doi.org/10.1111/j.1467-9957.2007.01028.x; Bulmer-Thomas, Victor, (2007) The economic history of Latin America since independence, , Londres: Cambridge University Press; (2014) Historic Information - Evolución de las ideas de la CEPAL, , https://www.cepal.org/cgi-bin/getprod.asp?xml=%2Fnoticias%2Fpaginas%2F4%2F13954%2FP13954.xml&amp;xsl=%2Ftpl%2Fp18f-st.xsl&amp;base=%2Ftpl%2Ftopbottom.xsl, (Santiago de Chile). Acceso el 04 de julio de 2020; Ferrer, Aldo, La Nueva economía argentina (2010) Estudios Internacionales, 16 (62), pp. 281-304. , http://www.academia.edu/download/35621641/Ferrer_BAE_La_nueva_economia_argentina.doc, Ffrench-Davis Muñoz, Ricardo. «Deuda externa y balanza de pagos de América Latina: Tendencias recientes y perspectivas (1983): https://doi.org; (2020) Caso Soborno 2012-2016, , https://www.fiscalia.gob.ec/casosobornos-2012-2016/Frieden, Quito, 12th of May, Jefreey. Global Capitalism. Its fall and rise in the twentieth century. New York: W. W. &amp; Company Ltd, 2006; Furtado, Celso, (1970) Formação econômica da América Latina, , https://doi.org/10.1590/S0034-75901970000200012.http://www.scielo.br/pdf/rae/v10n2/v10n2a12.pdf, Rio de Janeiro: Lia Editora; Godínez Montoya, Lucía, Barrios, Gerónimo, Pérez, Francisco, Pérez, Rebeca, Figueroa, Esther, Efecto de la inversión extranjera directa en el crecimiento económico de México (2014) Investigación en Matemáticas, economía y ciencias sociales, pp. 223-234. , edited by Francisco Pérez, Lucía Godínez, Daniel Sepúlveda, Esther Figueroa, Rosa García y David Santos, Chapingo: Universidad Autónoma Chapingo; Gonzáles Arévalo, Ana, (2010) El proceso de sustitución de importaciones en América Latina. El caso México: 1940-1980, , México: Eumed; Hofman, André, (2000) The Economic Development of Latin America in the Twentieth Century, , Northampton: Edward Elgar Publishing; Anil, Hira, Did ISI fail and is neoliberalism the answer for Latin America?. Re-assessing common wisdom regarding economic policies in the region (2007) Brazilian Journal of Political Economy, 27 (3). , https://doi.org/10.1590/S0101-31572007000300002; Jácome Estrella, Hugo, La política económica del gobierno de Rafael Correa (2007) La Tendencia Revista de Análisis Político, , ed. Francisco Muñoz Jaramillo. Quito: Editorial Tramasocial; Love, Joseph, Economic ideas and ideologies in Latin America since 1930 (1994) The Cambridge History of Latin America, VI, pp. 393-460. , https://doi.org/10.1017/CHOL9780521232265.008, edited by Leslie Bethell, Cambridge: Cambridge University Press; Lupu, Dan, Bogdan, Mihai, Bercu, Ana, Tofan, Mihaela, The impact of public expenditure on economic growth: A case study of Central and Eastern European countries (2018) Emerging markets finance and trade, 54 (3), pp. 552-570. , https://doi.org/10.1080/1540496X.2017.1419127; Márquez, Yanod, Crecimiento restringido por balanza de pagos en Brasil (1963-2005) (2010) Cuadernos de economía, 29 (52), pp. 73-88. , Martínez Casas, Edwin, and John Guzmán. «El Deterioro de los términos de intercambio: Teoría y evidencia empírica para Colombia 1980-2010 Revista Mundo Económico y Empresarial 10 (2011); Mitchell, Brian, (1998) International Historical Statistics: The Americas 1750-1993, , London: Macmillan Reference Ltd; Naranjo Navas, Cristian, Navas, Andrés Naranjo, The dollar and the social construction of the messiah in Ecuador (2018) Crecimiento económico y humano. Casos de estudio en Ecuador, pp. 4-25. , edited by Gerardo Nieves and Diego Pinilla, Riobamba, Ecuador: Universidad Nacional de Chimborazo; Ocampo, José Antonio, La historia divergente de las economías grancolombianas (2010) Institucionalidad y desarrollo económico en América Latina, , edited by Luis Bértola and Pablo Gerchunoff. Santiago de Chile: CEPAL; Ocampo, José Antonio, La crisis latinoamericana de la deuda a la luz de la historia (2014) La crisis latinoamericana de la deuda desde la perspectiva histórica, pp. 19-50. , https://doi.org/10.18356/d2e46298-es, edited by Ocampo, Stallings, Bustillo, Belloso y Frekel, Santiago de Chile: CEPAL; Ocampo, José Antonio, Parra, María Ángela, Los términos de intercambio de los productos básicos en el siglo XX (2003) Revista CEPAL, (79), pp. 7-35. , https://doi.org/10.18356/23c4e0f5-es; Palazuelos, Antonio, La economía popular y solidaria en Ecuador, ¿elemento central de la revolución ciudadana? (2014) ¿Cómo construir el Desarrollo Hoy?, , edited by Gregoria Vidal, Arturo Guillen and José Déniz. Madrid: Fondo de Cultura Económica de España; Patiño, Ricardo, Ecuador: Socialismo de Nuevo tipo e integración Sudamericana en América latina (2014) ¿Cómo construir el Desarrollo Hoy?, , edited by Gregoria Vidal, Arturo Guillen and José Déniz. Madrid: Fondo de Cultura Económica de España; Pinto, Aníbal, La concentración del progreso técnico y de sus frutos en el desarrollo latinoamericano (1969) América Latina ensayos de interpretación económica, pp. 2-80. , edited by Andrés Bianchi, Santiago de Chile: Editorial universitaria; Prebisch, Raúl, Problemas teórico y prácticos del crecimiento económico (1969) América Latina ensayos de interpretación económica, , edited by Andrés Bianchi. Santiago de Chile: Editorial universitaria; Prebisch, Raúl, Dependencia, Interdependencia y Desarrollo (1998) Revista de la CEPAL, (34), pp. 202-215; Santiago, Francisco, (2008) La inversión extranjera directa en el crecimiento económico de México 1970-2006, , Thesis in econimics, Universidad Autónoma Chapingo; Senpelli, Claudio, The Political Economics of Import Substitution Industrialization (2002), (257). , https://www.researchgate.net/publication/5128704_The_Political_Economics_of_Import_Substitution_Industrialization, Working Paper; Tavares, María, El proceso de sustitución de importaciones como modelo de desarrollo reciente en América Latina (1969) América Latina ensayos de interpretación económica, , edited by Andrés Bianchi. Santiago de Chile: Editorial universitaria; Vallejo Zamudio, Luis, El modelo de crecimiento hacia adentro: Una interpretación del caso colombiano (2003) Apuntes del CENES, (24)</t>
  </si>
  <si>
    <t>Navas, C.P.N.; Universidad Nacional de ChimborazoEcuador; email: cnaranjo@unach.edu.ec</t>
  </si>
  <si>
    <t>2-s2.0-85124810372</t>
  </si>
  <si>
    <t>Freilinger A., Kaserer K., Zettinig G., Pruidze P., Reissig L.F., Rossmann T., Weninger W.J., Meng S.</t>
  </si>
  <si>
    <t>57706221700;7003999668;7004505144;57225887022;56413068400;57218277661;56433757900;7102535530;</t>
  </si>
  <si>
    <t>Ultrasound for the detection of the pyramidal lobe of the thyroid gland</t>
  </si>
  <si>
    <t>Journal of Endocrinological Investigation</t>
  </si>
  <si>
    <t>10.1007/s40618-022-01748-z</t>
  </si>
  <si>
    <t>https://www.scopus.com/inward/record.uri?eid=2-s2.0-85124742206&amp;doi=10.1007%2fs40618-022-01748-z&amp;partnerID=40&amp;md5=64bf350a624d00db5fe2b7974988f60d</t>
  </si>
  <si>
    <t>Division of Anatomy, Center for Anatomy and Cell Biology, Medical University Vienna, Waehringer Str. 13, Vienna, 1090, Austria; Laboratory Kaserer, Koperek und Beer OG, Reisnerstraße 5, Vienna, 1030, Austria; Thyroid Center “Schilddrüsenpraxis Josefstadt”, Laudongasse 12, Vienna, 1080, Austria; Department of Neurosurgery, Neuromed Campus, Kepler University Hospital, Wagner-Jauregg-Weg 15, Linz, 4020, Austria; Department of Radiology, Hanusch Hospital Vienna, Heinrich-Collin-Straße 30, Vienna, 1140, Austria</t>
  </si>
  <si>
    <t>Freilinger, A., Division of Anatomy, Center for Anatomy and Cell Biology, Medical University Vienna, Waehringer Str. 13, Vienna, 1090, Austria; Kaserer, K., Laboratory Kaserer, Koperek und Beer OG, Reisnerstraße 5, Vienna, 1030, Austria; Zettinig, G., Thyroid Center “Schilddrüsenpraxis Josefstadt”, Laudongasse 12, Vienna, 1080, Austria; Pruidze, P., Division of Anatomy, Center for Anatomy and Cell Biology, Medical University Vienna, Waehringer Str. 13, Vienna, 1090, Austria; Reissig, L.F., Division of Anatomy, Center for Anatomy and Cell Biology, Medical University Vienna, Waehringer Str. 13, Vienna, 1090, Austria; Rossmann, T., Division of Anatomy, Center for Anatomy and Cell Biology, Medical University Vienna, Waehringer Str. 13, Vienna, 1090, Austria, Department of Neurosurgery, Neuromed Campus, Kepler University Hospital, Wagner-Jauregg-Weg 15, Linz, 4020, Austria; Weninger, W.J., Division of Anatomy, Center for Anatomy and Cell Biology, Medical University Vienna, Waehringer Str. 13, Vienna, 1090, Austria; Meng, S., Division of Anatomy, Center for Anatomy and Cell Biology, Medical University Vienna, Waehringer Str. 13, Vienna, 1090, Austria, Department of Radiology, Hanusch Hospital Vienna, Heinrich-Collin-Straße 30, Vienna, 1140, Austria</t>
  </si>
  <si>
    <t>Purpose: The pyramidal lobe (PL) is an ancillary lobe of the thyroid gland that can be affected by the same pathologies as the rest of the gland. We aimed to assess the diagnostic performance of high-resolution sonography in the detection of the PL with verification by dissection and histological examination. Methods: In a prospective, cross-sectional mono-center study, 50 fresh, non-embalmed cadavers were included. Blinded ultrasound examination was performed to detect the PL by two investigators of different experience levels. If the PL was detected with ultrasound, dissection was performed to expose the PL and obtain a tissue sample. When no PL was detected with ultrasound, a tissue block of the anterior cervical region was excised. An endocrine pathologist microscopically examined all tissue samples and tissue blocks for the presence of thyroid parenchyma. Results: The prevalence of the PL was 80% [40/50; 95% CI (68.9%; 91.1%)]. Diagnostic performance for both examiners was: sensitivity (85.0%; 42.5%), specificity (50.0%; 60.0%), positive predictive value (87.2%; 81.0%), negative predictive value (45.5%; 21.0%) and accuracy (78.0%; 46.0%). Regression analysis demonstrated that neither thyroid parenchyma echogenicity, thyroid gland volume, age nor body size proved to be covariates in the accurate detection of a PL (p &gt;.05). Conclusion: We report that high-resolution ultrasound is an adequate examination modality to detect the PL. Our findings indicate a higher prevalence than previously reported. Therefore, the PL may be regarded as a regular part of the thyroid gland. We also advocate a dedicated assessment of the PL in routine thyroid ultrasound. © 2022, The Author(s).</t>
  </si>
  <si>
    <t>Pyramidal lobe; Thyroid imaging; Thyroid surgery; Ultrasound</t>
  </si>
  <si>
    <t>article; body size; cadaver; clinical assessment; controlled study; diagnostic test accuracy study; diagnostic value; dissection; echography; female; histology; human; human tissue; pathologist; predictive value; prevalence; prospective study; sensitivity and specificity; thyroid gland; thyroid lobe; thyroid parenchyma; thyroid surgery; thyroid volume; cross-sectional study; diagnostic imaging; echography; neck; pathology; thyroid gland; Cross-Sectional Studies; Humans; Neck; Prospective Studies; Thyroid Gland; Ultrasonography</t>
  </si>
  <si>
    <t>Medizinische Universität Wien</t>
  </si>
  <si>
    <t>Braun, E.M., Windisch, G., Wolf, G., The pyramidal lobe: clinical anatomy and its importance in thyroid surgery (2007) Surg Radiol Anat, 29, pp. 21-27; Ranade, A.V., Rai, R., Pai, M.M., Anatomical variations of the thyroid gland: possible surgical implications (2008) Singapore Med J, 49, pp. 831-834. , COI: 1:STN:280:DC%2BD1cnot1ygsQ%3D%3D, PID: 18946620; Ozgur, Z., Celik, S., Govsa, F., Anatomical and surgical aspects of the lobes of the thyroid glands (2011) Eur Arch Otorhinolaryngol, 268, pp. 1357-1363; Prakash, Rajini, T., Ramachandran, A., Variations in the anatomy of the thyroid gland: clinical implications of a cadaver study (2012) Anat Sci Int, 87, pp. 45-49; Milojevic, B., Tosevski, J., Milisavljevic, M., Pyramidal lobe of the human thyroid gland: an anatomical study with clinical implications (2013) Rom J Morphol Embryol, 54, pp. 285-289. , COI: 1:STN:280:DC%2BC3sjis1CgsQ%3D%3D, PID: 23771071; Geraci, G., Pisello, F., Li Volsi, F., The importance of pyramidal lobe in thyroid surgery (2008) G Chir, 29, pp. 479-482. , COI: 1:STN:280:DC%2BD1cjpslKlsA%3D%3D, PID: 19068184; Zivic, R., Radovanovic, D., Vekic, B., Surgical anatomy of the pyramidal lobe and its significance in thyroid surgery (2011) S Afr J Surg, 49. , 110, 112, 114; Kim, D.W., Ha, T.K., Park, H.K., Sonographic detection of thyroid pyramidal lobes before thyroid surgery: a prospective single-center study (2014) J Ultrasound Med, 33, pp. 239-244; Ryu, J.H., Kim, D.W., Kang, T., Pre-operative detection of thyroid pyramidal lobes by ultrasound and computed tomography (2014) Ultrasound Med Biol, 40, pp. 1442-1446; Irawati, N., Vaish, R., Chaukar, D., Surgical anatomy of the pyramidal lobe in cancer patients: a prospective cohort in a tertiary centre (2016) Int J Surg, 30, pp. 166-168; Ogawa, C., Kammori, M., Onose, H., Follicular carcinoma arising from the pyramidal lobe of the thyroid (2009) J Nippon Med Sch, 76, pp. 169-172; Santrac, N., Besic, N., Buta, M., Lymphatic drainage, regional metastases and surgical management of papillary thyroid carcinoma arising in pyramidal lobe–a single institution experience (2014) Endocr J, 61, pp. 55-59; Yoon, S.G., Yi, J.W., Seong, C.Y., Clinical characteristics of papillary thyroid carcinoma arising from the pyramidal lobe (2017) Ann Surg Treat Res, 92, pp. 123-128; Zizic, M., Faquin, W., Stephen, A.E., Upper neck papillary thyroid cancer (UPTC): a new proposed term for the composite of thyroglossal duct cyst-associated papillary thyroid cancer, pyramidal lobe papillary thyroid cancer, and Delphian node papillary thyroid cancer metastasis (2016) Laryngoscope, 126, pp. 1709-1714; Lee, Y.S., Kim, K.J., Kim, B.W., Recurrence of papillary thyroid carcinoma in a remnant pyramidal lobe (2011) ANZ J Surg, 81, p. 304; Snook, K.L., Stalberg, P.L., Sidhu, S.B., Recurrence after total thyroidectomy for benign multinodular goiter (2007) World J Surg, 31, pp. 593-598. , Discussion 599-600; Wang, M., Zou, X., Li, Z., Recurrence of papillary thyroid carcinoma from the residual pyramidal lobe: a case report and literature review (2019) Medicine, 98; Sencar, M.E., Calapkulu, M., Sakiz, D., Residual pyramidal lobe increases stimulated thyroglobulin and decreases endogenous thyroid stimulating hormone stimulation in differentiated thyroid cancer patients (2021) Endocr Pract, 27 (3), pp. 212-215; Pacini, F., Schlumberger, M., Harmer, C., Post-surgical use of radioiodine (131I) in patients with papillary and follicular thyroid cancer and the issue of remnant ablation: a consensus report (2005) Eur J Endocrinol, 153, pp. 651-659; Gurleyik, E., Dogan, S., Accuracy of unstimulated Basal serum thyroglobulin levels in assessing the completeness of thyroidectomy (2014) J Clin Med Res, 6, pp. 369-373; Kim, D.W., Jung, S.L., Baek, J.H., The prevalence and features of thyroid pyramidal lobe, accessory thyroid, and ectopic thyroid as assessed by computed tomography: a multicenter study (2013) Thyroid, 23, pp. 84-91; Mortensen, C., Lockyer, H., Loveday, E., The incidence and morphological features of pyramidal lobe on thyroid ultrasound (2014) Ultrasound, 22, pp. 192-198; Kim, K.S., Kim, D.W., Sung, J.Y., Detection of thyroid pyramidal lobe by ultrasound versus computed tomography: a single-center study (2014) J Comp Assist Tomogr, 38, pp. 464-468; Kim, D.W., Jung, S.L., Kim, J., Comparison between ultrasonography and computed tomography for detecting the pyramidal lobe of the thyroid gland: a prospective multicenter study (2015) Korean J Radiol, 16, pp. 402-409; Siraj, Q.H., Aleem, N., Inam-Ur-Rehman, A., The pyramidal lobe: a scintigraphic assessment (1989) Nucl Med Commun, 10, pp. 685-693; Haugen, B.R., Alexander, E.K., Bible, K.C., 2015 American thyroid association management guidelines for adult patients with thyroid nodules and differentiated thyroid cancer: the American thyroid association guidelines task force on thyroid nodules and differentiated thyroid cancer (2016) Thyroid, 26, pp. 1-133; Musholt, T.J., Clerici, T., Dralle, H., German Association of Endocrine Surgeons practice guidelines for the surgical treatment of benign thyroid disease (2011) Langenbecks Arch Surg, 396, pp. 639-649; Weissel, M., Legal augmentation of iodine content in table salt from 10 to 20 mg KI/kg: documented effects a decade later (2003) Exp Clin Endocrinol Diabetes, 111, pp. 187-190; Brunn, J., Block, U., Ruf, G., Volumetric analysis of thyroid lobes by real-time ultrasound (author's transl) (1981) Dtsch Med Wochenschr, 106, pp. 1338-1340; Heinisch, M., Kumnig, G., Asböck, D., Goiter prevalence and urinary iodide excretion in a formerly iodine-deficient region after introduction of statutory lodization of common salt (2002) Thyroid, 12, pp. 809-814</t>
  </si>
  <si>
    <t>Meng, S.; Division of Anatomy, Waehringer Str. 13, Austria; email: stefan.meng@meduniwien.ac.at</t>
  </si>
  <si>
    <t>JEIND</t>
  </si>
  <si>
    <t>J. Endocrinol. Invest.</t>
  </si>
  <si>
    <t>2-s2.0-85124742206</t>
  </si>
  <si>
    <t>Morales-Alba A., Morales I., Alvarado F.</t>
  </si>
  <si>
    <t>57437190800;35068587900;55794467900;</t>
  </si>
  <si>
    <t>International Journal of Tropical Insect Science</t>
  </si>
  <si>
    <t>https://www.scopus.com/inward/record.uri?eid=2-s2.0-85123959954&amp;doi=10.1007%2fs42690-022-00748-z&amp;partnerID=40&amp;md5=1bcd1e40c02268e6d4c0931491c133bc</t>
  </si>
  <si>
    <t>Laboratorio de Entomología, Universidad Pedagógica Y Tecnológica de Colombia, Boyacá, Tunja, 150008, Colombia; Departament of Agriculture, Posgraduate Program in Agrarian Sciences (Agroecology, PPGCAG, University of Paraíba, Campus III Cidade Universitária, PB, Bananeiras, 58220000, Brazil</t>
  </si>
  <si>
    <t>Morales-Alba, A., Laboratorio de Entomología, Universidad Pedagógica Y Tecnológica de Colombia, Boyacá, Tunja, 150008, Colombia; Morales, I., Laboratorio de Entomología, Universidad Pedagógica Y Tecnológica de Colombia, Boyacá, Tunja, 150008, Colombia; Alvarado, F., Departament of Agriculture, Posgraduate Program in Agrarian Sciences (Agroecology, PPGCAG, University of Paraíba, Campus III Cidade Universitária, PB, Bananeiras, 58220000, Brazil</t>
  </si>
  <si>
    <t>Ecosystem services as seed dispersal mediated by insects are threatened by increasing agricultural expansion that represents a global threat. Although the ecological role of dung beetles as secondary seed dispersers has been well-documented, few studies have focused on the effect of taxonomic and functional attributes of dung beetles in human-dominated landscapes. We analysed how the seed size, the diversity of the dung beetles and some of their functional traits (body size, length of the hind legs and relocation strategy) affect the depth and quantity of seeds buried and abundance and richness of beetles at different depths in a forest in the Colombian Andes. We used plastic cubes buried in the ground (mesocosms) to study ecosystem functions of dung beetles. We collected 397 individuals representing 13 species within the mesocosms. The most abundant species of dung beetle collected was Canthidium sp. 1 with 152 individuals. Of the total seeds collected, 91% of the total seeds used were buried, and the small ones were buried in a greater proportion than the larger ones. Seed size did not influence burial depth, but beetle taxonomic attributes did, but only for large seeds. Burial depth was positively related to beetle richness and abundance, as well as to body size. Large beetles buried more seeds and buried them deeper. We highlight the importance of Dichotomius aff. satanas as a key seed disperser of Andean riparian forests. We emphasize that this beetle actively participated in seed dispersal, and that this ecological function depended on the taxonomic and functional attributes of the dung beetle species. © 2022, African Association of Insect Scientists.</t>
  </si>
  <si>
    <t>Universidad Pedagógica y Tecnológica de Colombia, UPTC: BPIN 2020000100003; Sistema General de Regalías de Colombia, SGR</t>
  </si>
  <si>
    <t>We extended our thanks to Renato Portela Salomão, Juan Carvajal, Alejandro Lopera and Camilo Roa for the valuable comments on a previous version of this manuscript. This paper benefited from the useful comments of Drs. Michael Lattorff, Saliou Niassy and two anonymous reviewers of journal JTIS. The “Sistemática Biológica” research group provided financial and logistical support with the Project “Restauración Ecológica de 16 y 18 ha en el Parque Nacional Natural Serranía de Los Yariguíes CONVENIO 5211740. ECOPRETROL-UPTC”. Oscar Felipe Moreno and John Edison Reyes were part of the field team. Finally, we express our gratitude to the program “Upetecistas por el mundo” (DIN Call No 2-2019) of the Dirección de Investigaciones, of the Universidad Pedagógica y Tecnológica de Colombia. This manuscript was produced within the framework of the “La biodiversidad de Boyacá: Complementación y síntesis a través de gradientes altitudinales e implementaciones de su incorporación en proyectos de apropiación social de conocimiento y efectos del cambio climático, Boyacá” BPIN 2020000100003, financed by the Sistema General de Regalías of Colombia.</t>
  </si>
  <si>
    <t>Alvarado, F., Dáttilo, W., Escobar, F., Linking dung beetle diversity and its ecological function in a gradient of livestock intensification management in the Neotropical region (2019) Appl Soil Ecol, 143, pp. 173-180; Alvarado, F., Escobar, F., Williams, D.R., Arroyo-Rodríguez, V., Escobar-Hernández, F., The role of livestock intensification and landscape structure in maintaining tropical biodiversity (2018) J Appl Ecol, 55, pp. 185-194; Andresen, E., Dung beetles in a Central Amazonian rainforest and their ecological role as secondary seed dispersers (2002) Ecol Entomol, 27, pp. 257-270; Andresen, E., Interacción entre primates, semillas y escarabajos coprófagos en bosques húmedos tropicales: Un caso de diplocoria (2005) Univ. Sci, 2, pp. 73-84. , https://www.redalyc.org/articulo.oa?id=15421208; The role of dung beetles as secondary seed dispersers and their effect on plant regeneration in tropical rainforests (2005) Seed Fate: Predation, Dispersal and Seedling Establishment, pp. 331-349. , https://doi.org/10.1079/9780851998060.0331, Forget PM, Lambert JE, Hulme PE, Vander Wall SB, CABI international, Wallingford, UK; Andresen, E., Levey, D.J., Effects of dung and seed size on secondary dispersal, seed predation, and seedling establishment of rain forest trees (2004) Oecologia, 139, pp. 45-54; Anduaga, S., Impact of the activity of dung beetles (Coleoptera: Scarabaeidae: Scarabaeinae) inhabiting pasture land in Durango, Mexico (2004) Environ Entomol, 33, pp. 1306-1312; Braga, R.F., Carvalho, R.L., Andresen, E., Anjos, D.V., Alves-Silva, E., Louzada, J., Quantification of four different post-dispersal seed deposition patterns after dung beetle activity (2017) J Trop Ecology, 33, pp. 407-410; Braga, R.F., Korasaki, V., Andresen, E., Louzada, J., Dung beetle community and functions along a habitat-disturbance gradient in the Amazon: a rapid assessment of ecological functions associated to biodiversity (2013) PLoS One, 8. , (,),.,:,., https://doi.org/10.1371/journal.pone.0057786; Cannon, P.G., Gilroy, J.J., Tobias, J.A., Anderson, A., Haugaasen, T., Edwards, D.P., Land-sparing agriculture sustains higher levels of avian functional diversity than land sharing (2019) Glob Chang Biol, 25, pp. 1576-1590; Carvalho, R.L., Andresen, E., Barônio, G.J., Oliveira, V.H., Louzada, J., Braga, R.F., Is dung removal a good proxy for other dung beetle functions when monitoring for conservation? A case study from the Brazilian Amazon (2020) Ecol Ind, 109; Cendales, L.D., Parques Nacionales Naturales de Colombia (2008) Parques Nacionales Naturales, 20, p. 1; Clerici, N., Armenteras, D., Kareiva, P., Botero, R., Ramírez-Delgado, J.P., Deforestation in Colombian protected areas increased during post-conflict periods (2020) Sci Rep, 10, pp. 1-10; Corlett, R.T., Frugivory and seed dispersal by vertebrates in tropical and subtropical Asia: an update (2017) Glob Ecol Conserv, 11, pp. 1-22; Culot, L., Bovy, E., Vaz-de-Mello, F.Z., Guevara, R., Galetti, M., Selective defaunation affects dung beetle communities in continuous Atlantic rainforest (2013) Biol Conserv, 163, pp. 79-89; Culot, L., Huynen, M.C., Heymann, E.W., Primates and dung beetles: two dispersers are better than one in secondary forest (2018) Int J Primatol, 39 (3), pp. 397-414; Dalling, J.W., (2002) Ecología De Semillas. Ecología Y conservación De Bosques Neotropicales, Editora LUR, pp. 345-375. , Catargo, Costa Rica; de Castelnau, F., (1840) Histoire naturelle des insectes coléoptères, 1; Assessing the functional relationship between dung beetle traits and dung removal, burial, and seedling emergence (2020) Ecology, , https://doi.org/10.1002/ecy.3138; Etter, A., Andrade, A., Amaya, P., Arévalo, P., Estado de los ecosistemas colombianos: Una aplicación de la metodología de lista roja de ecosistemas (2015) UICN, , Bogotá, Colombia; Feer, F., Ponge, J.F., Jouard, S., Gomez, D., Monkey and dung beetle activities influence soil seed bank structure (2013) Ecol Res, 28, pp. 93-102; Filgueiras, B.K., Iannuzzi, L., Leal, I.R., Habitat fragmentation alters the structure of dung beetle communities in the Atlantic Forest (2011) Biol Conserv, 144, pp. 362-369; Foster, S., Janson, C.H., The relationship between seed size and establishment conditions in tropical woody plants (1985) Ecology, 66, pp. 773-780; Génier, F., (2009) Le genre Eurysternus Dalman, 1824 (Scarabaeidae: Scarabaeinae: Oniticellini): Révision taxonomique et clés de détermination illustrées, p. 430. , Pensoft, Sofia; Gray, C.L., Lewis, O.T., Chung, A.Y.C., Fayle, T.M., Riparian reserves within oil palm plantations conserve logged forest leaf litter ant communities and maintain associated scavenging rates (2015) J Appl Ecol, 52, pp. 31-40; Gray, C.L., Slade, E.M., Mann, D.J., Lewis, O.T., Do riparian reserves support dung beetle biodiversity and ecosystem services in oil palm-dominated tropical landscapes? (2014) Ecol Evol, 4, pp. 1049-1060; Griffiths, H.M., Bardgett, R.D., Louzada, J., Barlow, J., The value of trophic interactions for ecosystem function: dung beetle communities influence seed burial and seedling recruitment in tropical forests (2016) Proc R Soc, B, 283, p. 20161634; Griffiths, H.M., Louzada, J., Bardgett, R.D., Beiroz, W., França, F., Tregidgo, D., Barlow, J., Biodiversity and environmental context predict dung beetle-mediated seed dispersal in a tropical forest field experiment (2015) Ecology, 96, pp. 1607-1619; Halffter, G., Edmonds, W.D., (1982) The nesting behaviour of dung beetles (Scarabaeinae). An ecological and evolutive approach, p. 176. , Instituto de Ecología, A.C., México City; Hanski, I., Cambefort, Y., (1991) Dung beetle ecology, , Princeton University Press, Princeton, NJ, USA; Harold, E., (1867) Diagnosen neuer Coprophagen. Col Hefte, 1, pp. 76-83; Harold, E., Monographie der Gattung Canthon (1868) Dtsch Entomol Z, 12, pp. 1-144; Holdridge, L.R., Life zone ecology (1967) Tropical Science Center, , San José, Costa Rica; Koike, S., Morimoto, H., Kozakai, C., Arimoto, I., Seed removal and survival in Asiatic black bear Ursus thibetanus faeces: effect of rodents as secondary seed dispersers (2012) Wildl Biol, 18, pp. 24-34; Kunz, B.K., Krell, F.T., Habitat differences in dung beetle assemblages in an African savanna–forest ecotone: implications for secondary seed dispersal (2011) Integr Zoo, 6, pp. 81-96; Lähteenmäki, S., Slade, E.M., Hardwick, B., Schiffler, G., Louzada, J., Barlow, J., Roslin, T., MESOCLOSURES–increasing realism in mesocosm studies of ecosystem functioning (2015) Methods Ecol Evol, 6, pp. 916-924; Larsen, T.H., Forsyth, A., Trap spacing and transect design for dung beetle biodiversity studies (2005) Biotropica, 37 (2), pp. 322-325; Laskowski, L., Bautista, D., Efecto de la escarificación y profundidad de siembra sobre la germinación y emergencia de Malphigia emarginata DC (2002) Bioagro, 14, pp. 77-83. , https://www.redalyc.org/articulo.oa?id=85714204; Latreille, P.A., Insectes de l’Amérique recueillis pendant le voyage de MM. De Humboldt et Bonpland (1811) Voyage Aux régions Equinoxiales Du Nouveau Continent, pp. 197-397. , Humboldt A, Bonpland A, Paris; Lawson, C.R., Mann, D.J., Lewis, O.T., Dung beetles reduce clustering of tropical tree seedlings (2012) Biotropica, 44, pp. 271-275; Leica, E.C., (2019), www.leica-microsystems.com, Wetzlar, Germany; Martínez, J.I.S., Torres, F.B., Delfín, C.A., González, C.M.S., Saldaña, E.I.C., Martínez AR (2016) ¿Quién hace el trabajo sucio en los potreros ganaderos? El papel de los escarabajos estercoleros en ambientes naturales y antropizados Nthe, 2007-9079, pp. 1-6. , https://doi.org/10.13140/RG.2.1.4630.6963; Milotić, T., Baltzinger, C., Eichberg, C., Eycott, A.E., Heurich, M., Müller, J., Bargmann, T., Functionally richer communities improve ecosystem functioning: Dung removal and secondary seed dispersal by dung beetles in the Western Palaearctic (2019) J Biogeogr, 46, pp. 70-82; Mora, C., Danovaro, R., Loreau, M., Alternative hypotheses to explain why biodiversity-ecosystem functioning relationships are concave-up in some natural ecosystems but concave-down in manipulative experiments (2014) Sci Rep, 4, pp. 1-9; Moreno, H., Tinjaca, Z., (2018) Plan De Manejo Del Parque Nacional Natural Serranía De Los Yariguíes. Parques Nacionales Naturales De Colombia 152; Muñoz-Ávila, J.A., Medina, W., Ovalle-Pacheco, A.L., Trujillo, F., Aves y Mamíferos. Cap 5. In: Caro-Melgarejo DP, Morales-Puentes ME, Gil-Novoa JE (Coord.) Revelando tesoros escondidos: Flora y fauna flanco oriental de la Serranía de Los Yariguíes (2018) Tunja 290; Nervo, B., Tocco, C., Caprio, E., Palestrini, C., Rolando, A., The effects of body mass on dung removal efficiency in dung beetles (2014) PLoS ONE, 9; Nichols, E., Spector, S., Louzada, J., Larsen, T., Amezquita, S., Favila, M.E., Network, T.S.R., Ecological functions and ecosystem services provided by Scarabaeinae dung beetles (2008) Biol Conserv, 141, pp. 1461-1474; Noriega, J.A., Realpe, E., González, G.F., Diversidad de escarabajos coprófagos (Coleoptera: Scarabaeidae) en un bosque de galería con tres estadios de alteración (2007) Univ Sci, 12, pp. 51-63. , https://www.redalyc.org/articulo.oa?id=49912104; Ocampo-Castillo, J., Andresen, E., Interacciones entre semillas y escarabajos del estiércol (Scarabaeinae) en un bosque tropical seco (2018) TIP, Rev Espec Cienc Quim-Biol, 21 (1), pp. 24-33; Oksanen, J., Kindt, R., Legendre, P., O’Hara, B., Stevens, M.H.H., Oksanen, M.J., Suggests MASS (2019) The vegan package Community Ecology Package, 10, p. 719. , http://cran.r-project.org/; Pearson, T.R.H., Burslem, D.F.R.P., Mullins, C.E., Dalling, J.W., Germination ecology of Neotropical pioneers: Interacting effects of environmental conditions and seed size (2002) Ecology, 83, pp. 2798-2807; Quintero-León, L., (2008) Informe Final caracterización Y Estrategia De Monitoreo Del Recurso hídrico Del Parque Nacional Natural Serranía De Los Yariguíes; Team, R.C.D., (2018) R: A Language and Environment for Statistical Computing. R Foundation for Statistical Computing, , https://www.R-project.org/, Retrieved from; Rangel-Acosta, J.L., Hernández, N.J.M., Gutierrez-Rapalino, B.P., Gutierrez-Moreno, L.C., Borja-Acuña, R.A., Efecto del tamaño de la ronda hidráulica sobre las comunidades de escarabajos coprófagos (Scarabaeidae: Scarabaeinae) en la cuenca media y baja del río Cesar, Colombia (2016) Entomotropica, 31, pp. 109-130; Salas, J.B., Laskowski, M., Schaefer, B., Young, B., Developing a sustainable mix for seed germination using local materials (2011) Fremontia, 50; Santos-Heredia, C., Andresen, E., Upward movement of buried seeds: another ecological role of dung beetles promoting seedling establishment (2014) J Trop Ecology, 30, pp. 409-417; Santos-Heredia, C., Andresen, E., Stevenson, P., Secondary seed dispersal by dung beetles in an Amazonian forest fragment of Colombia: influence of dung type and edge effect (2011) Integr Zoo, 6, pp. 399-408; Sarmiento-Garcés, R., Amat-García, G., Escarabajos del género Dichotomius Hope 1838 (Scarabaeidae: Scarabaeinae) en la Amazonía colombiana (2009) Rev Acad Colomb Ci Exact, 33, pp. 285-296; Shepherd, V.E., Chapman, C.A., Dung beetles as secondary seed dispersers: impact on seed predation and germination (1998) J Trop Ecology, 14, pp. 199-215; Silva, R.J., Storck-Tonon, D., Vaz-de-Mello, F.Z., Dung beetle (Coleoptera: Scarabaeinae) persistence in Amazonian forest fragments and adjacent pastures: biogeographic implications for alpha and beta diversity (2016) J Insect Conserv, 20, pp. 549-564; Slade, E.M., Mann, D.J., Villanueva, J.F., Lewis, O.T., Experimental evidence for the effects of dung beetle functional group richness and composition on ecosystem function in a tropical forest (2007) J Anim Ecol, 76, pp. 1094-1104; Thompson, K., The functional ecology of soil seed banks. In: Fenner M (ed) Seeds: The ecology of regeneration in plant (2000) Communities, pp. 215-235; Urrea-Galeano, L.A., Andresen, E., Coates, R., Mora-Ardila, F., Ibarra-Manríquez, G., Dung beetle activity affects rain forest seed bank dynamics and seedling establishment (2019) Biotropica, 51, pp. 186-195; Vander-Wall, S.B., Longland, W.S., Diplochory: are two seed dispersers better than one? (2004) Trends Ecol Evol, 19, pp. 155-161; Viegas, G., Stenert, C., Schulz, U.H., Maltchik, L., Dung beetle communities as biological indicators of riparian forest widths in southern Brazil (2014) Ecol Indic, 36, pp. 703-710; Vulinec, K., Dung Beetle Communities and Seed Dispersal in Primary Forest and Disturbed Land in Amazonia (2002) Biotropica, 34, pp. 297-309; Zuur, A., Ieno, E.N., Walker, N., Saveliev, A.A., Smith, G.M., Mixed effects models and extensions in ecology with R (2009) Springer Science &amp; Business Media</t>
  </si>
  <si>
    <t>Morales, I.; Laboratorio de Entomología, Boyacá, Colombia; email: irina.morales@uptc.edu.co</t>
  </si>
  <si>
    <t>2-s2.0-85123959954</t>
  </si>
  <si>
    <t>Casierra-Posada F., Carreño-Patiño A., Castro-Gutiérrez C.</t>
  </si>
  <si>
    <t>7801411915;57194141040;57421058900;</t>
  </si>
  <si>
    <t>Flower Quality in Roses (Rosa Hybrida) Sprayed with Ascorbic Acid [Blütenqualität bei mit Ascorbinsäure besprühten Rosen (Rosa hybrida)]</t>
  </si>
  <si>
    <t>Gesunde Pflanzen</t>
  </si>
  <si>
    <t>https://www.scopus.com/inward/record.uri?eid=2-s2.0-85123242932&amp;doi=10.1007%2fs10343-021-00613-y&amp;partnerID=40&amp;md5=076f9005d2c41b52829d4e688ff91eaf</t>
  </si>
  <si>
    <t>Plant Ecophysiology Group, Universidad Pedagógica y Tecnológica de Colombia, Tunja, Colombia; Universidad de Cundinamarca, Fusagasugá, Colombia</t>
  </si>
  <si>
    <t>Casierra-Posada, F., Plant Ecophysiology Group, Universidad Pedagógica y Tecnológica de Colombia, Tunja, Colombia; Carreño-Patiño, A., Plant Ecophysiology Group, Universidad Pedagógica y Tecnológica de Colombia, Tunja, Colombia; Castro-Gutiérrez, C., Universidad de Cundinamarca, Fusagasugá, Colombia</t>
  </si>
  <si>
    <t>Colombia is a country recognized for its variety of fresh flowers for export, among which roses represent a significant quantity. However, cut flowers must meet some quality requirements imposed by the international market. Ascorbic acid in living organisms has an extensive function as a free radical scavenger; therefore, it reduces the negative effects of oxidative stress. It is also involved in the biosynthesis of several hormones, has many functions in chloroplasts, and is a fundamental compound for the correct functioning of the photosynthetic apparatus. The exogenous application of ascorbic acid improves the quality and nutritional value of agricultural products and induces stress resistance in plants. A greenhouse study was carried out in Cota, Colombia, with the objective of improving the quality of rose flowers by spraying ascorbic acid in concentrations of 0.0 (control), 600, and 1200 mg L−1 in the Escimo, Latin Beauty, and Freedom cultivars. In response to the spraying, an increase in stem length and stem thickness was observed in all cultivars which was directly proportional to the concentration of ascorbic acid applied. There was no clear trend found in the response of cultivars to ascorbate regarding head size and chlorophyll content (SPAD) since in some cultivars, the values of these variables increased or decreased with statistically significant differences. As a result, spraying with ascorbic acid significantly improves some components of the quality of rose cut flowers, even though the response is highly dependent on the cultivar. © 2021, The Author(s), under exclusive licence to Springer-Verlag GmbH Deutschland, ein Teil von Springer Nature.</t>
  </si>
  <si>
    <t>Antioxidant; Chlorophyll; Cut flowers; Flower quality; L‑ascorbate; Vitamin C</t>
  </si>
  <si>
    <t>angiosperm; antioxidant; ascorbic acid; chlorophyll; concentration (composition); flower; oxidative stress; Colombia</t>
  </si>
  <si>
    <t>This study was funded by the Faculty of Agricultural Sciences at the Universidad Pedagógica y Tecnológica de Colombia—UPTC.</t>
  </si>
  <si>
    <t>This study was funded by the Faculty of Agricultural Sciences at the Universidad Pedagógica y Tecnológica de Colombia—UPTC.</t>
  </si>
  <si>
    <t>Akram, N.A., Shafiq, F., Ashraf, M., Ascorbic acid—a potential oxidant scavenger and its role in plant development and abiotic stress tolerance (2017) Front Plant Sci, 8, p. 613; Alamri, S.A., Siddiqui, M.H., Al-Khaishany, M.Y., Siddiqui, M.H., Al-Khaishany, M.Y.Y., Khan, M.N., Ali, H.M., Mateen, M., Ascorbic acid improves the tolerance of wheat plants to lead toxicity (2018) J Plant Interact, 13 (1), pp. 409-419; Ashraf, S.O., Mohamed, H.A.W., Mostafa, M.R., Ascorbic acid improves productivity, physio biochemical attributes and antioxidant activity of deficit irrigated broccoli plants (2018) Biomedical, 11 (1), pp. 8196-8205; Asmar Soto, S., ; Barth, C., Tullio, M.D., Conklin, P.L., The role of ascorbic acid in the control of flowering time and the onset of senescence (2006) J Exp Bot, 57 (8), pp. 1657-1665; Budiarto, K., Effects of ascorbic acids on post-harvest longevity of chrysantemum cut flowers (2019) Planta Trop J Agrosains, 7 (1), pp. 33-40; Eslava, A., ; Fenech, M., Amorim-Silva, V., Valle, A.E.D., Arnaud, D., Castillo, A.G., Smirnoff, N., Botella, M.A., Organization and control of the ascorbate biosynthesis pathway in plants (2020) BioRxiv; Gallie, D.R., L-ascorbic acid: a multifunctional molecule supporting plant growth and development (2013) Scientifica; Herrera-Martínez, S.L., Mora-Herrera, M.E., García-Velasco, R., Gomora-Rasso, J., Rogel-Millán, G., Efecto del ácido ascórbico sobre crecimiento, pigmentos fotosintéticos y actividad peroxidasa de plantas de rosal (2013) Terra Latinoamericana, 31 (3), pp. 193-199; Ivanov, B.N., Role of ascorbic acid in photosynthesis (2014) Biochemistry, 79 (3), pp. 282-289; Liebisch, F., Küng, G., Damm, A., Walter, A., (2014) Characterization of crop vitality and resource use efficiency by means of combining imaging spectroscopy based plant traits; Mariño García, C., Chunyu, G., (2020) Especial: Flores Colombianas Resisten La Pandemia Y Buscan Abrir Mercados En China, , http://spanish.xinhuanet.com/2020-10/11/c_139431186.htm.Accessed05.2021; Agricultura, M., Rural, D., 2020) Colombia exportará Flores a Cerca De 100 países Para Celebrar El Tradicional “San Valentín, , https://www.minagricultura.gov.co/noticias/Paginas/Colombia-exportar%C3%A1-flores-a-cerca-de-100-pa%C3%ADses-para-celebrar-el-tradicional-%E2%80%98San-Valent%C3%ADn%E2%80%99.aspx.Accessed05.2021; Mora-Herrera, E., Peralta-Velázquez, J., López-Delgado, H.A., García-Velasco, R., González-Díaz, J.G., Efecto del ácido ascórbico sobre crecimiento, pigmentos fotosintéticos y actividad peroxidasa en plantas de crisantemo (2011) Revista Chapingo Ser Hortic, 17 (2), pp. 73-81; Paciolla, C., Fortunato, S., Dipierro, N., Paradiso, A., Leonardis, S.D., Mastropasqua, L., de Pinto, M.C., Vitamin C in plants: from functions to biofortification (2019) Antioxidants (basel), 8 (11), p. 519; Sadak, M.S., Elhamid, E.M.A., Mostafa, H.M., Alleviation of adverse effects of salt stress in wheat cultivars by foliar treatment with antioxidants I. changes in growth, some biochemical aspects and yield quantity and quality (2013) Am J Agric Environ Sci, 13, pp. 1476-1487; Salachna, P., Łopusiewicz, Ł., Dymek, R., Matzen, A., Trochanowicz, K., Foliar application of gibberellic acid and methyl jasmonate improves leaf greenness in Hesperantha coccinea (syn. Schizostylis coccinea), a rare ornamental plant (2021) Biol Life Sci Forum, 4 (1), p. 97; Shiroma, S., Tanaka, M., Sasaki, T., Ogawa, T., Yoshimura, K., Sawa, Y., Maruta, T., Ishikawa, T., Chloroplast development activates the expression of ascorbate biosynthesis-associated genes in Arabidopsis roots (2019) Plant Sci, 284, pp. 185-191; Smirnoff, N., Ascorbic acid metabolism and functions: a comparison of plants and mammals (2018) Free Radic Biol Med, 122, pp. 116-129; Sofy, M.R., Sharaf, A.E.M., Fouda, H.M., Stimulatory effect of hormones, vitamin C on growth, yield and some metabolic activities of Chenopodium quinoa plants in Egypt (2016) J Plant Biochem Physiol, 4 (1), p. 161; Usadel, B., Bläsing, O.E., Gibon, Y., Retzlaff, K., Höhne, M., Günther, M., Stitt, M., Global transcript levels respond to small changes of the carbon status during progressive exhaustion of carbohydrates in Arabidopsis rosettes (2008) Plant Physiol, 146 (4), pp. 1834-1861</t>
  </si>
  <si>
    <t>Casierra-Posada, F.; Plant Ecophysiology Group, Colombia; email: fanor.casierra@uptc.edu.co</t>
  </si>
  <si>
    <t>2-s2.0-85123242932</t>
  </si>
  <si>
    <t>Casierra-Posada F., Peña-Olmos J.E.</t>
  </si>
  <si>
    <t>7801411915;55544031900;</t>
  </si>
  <si>
    <t>Prolonged Waterlogging Reduces Growth and Yield in Broccoli Plants (Brassica oleracea var. italica) [Längere Staunässe reduziert Wachstum und Ertrag bei Brokkolipflanzen (Brassica oleracea var. italica)]</t>
  </si>
  <si>
    <t>https://www.scopus.com/inward/record.uri?eid=2-s2.0-85122297932&amp;doi=10.1007%2fs10343-021-00605-y&amp;partnerID=40&amp;md5=2f0d5a03aa64aa29c60b8a8010f92ca2</t>
  </si>
  <si>
    <t>Plant Ecophysiology Research Group, Universidad Pedagógica y Tecnológica de Colombia, Tunja, Colombia; Plant Ecophysiology Research Group, Secretaría de Educación de Tunja, Escuela Normal Superior Santiago de Tunja, Tunja, Colombia</t>
  </si>
  <si>
    <t>Casierra-Posada, F., Plant Ecophysiology Research Group, Universidad Pedagógica y Tecnológica de Colombia, Tunja, Colombia; Peña-Olmos, J.E., Plant Ecophysiology Research Group, Secretaría de Educación de Tunja, Escuela Normal Superior Santiago de Tunja, Tunja, Colombia</t>
  </si>
  <si>
    <t>The crop of broccoli in tropical regions is of great importance among flowering vegetables; however, the yield of this crop is severely impacted by climatic variations that can cause floods. In Tunja, Colombia, a study was carried out under greenhouse conditions in which the tolerance of broccoli plants to prolonged waterlogging was evaluated. One group of plants were kept under waterlogging conditions until most of them showed severe symptoms of chlorosis while another group was grown under regularly drained and watered soil conditions as a control. Waterlogging caused the death of 20% of the plants, reduced the height of the plants by 42.9%, the thickness of the stem by 42.1%, the foliar area by 87%, the chlorophyll content in the leaves by 96.6%, and the total dry weight per plant by 79.9%. The absolute and relative growth rates decreased by 80 and 24.4%, respectively. Waterlogging also prevented flower production and caused a 23.7% increase in the accumulation of biomass in roots but reduced it by 24.5% in leaves. Likewise, the net assimilation rate fell 72.3% when waterlogged and the values of allometric variables which express growth were altered by this stressor. Consequently, it can be inferred that these plants have a low tolerance to waterlogging; however, the most severe impact caused by waterlogging was the inability of plants to develop flowers. The lack of flowers is devastating due to their economic and commercial importance of broccoli, and they are the primary justification for the cultivation of these plants. © 2021, The Author(s), under exclusive licence to Springer-Verlag GmbH Deutschland, ein Teil von Springer Nature.</t>
  </si>
  <si>
    <t>Chlorophyll; Dry matter partitioning; Dry weight; Foliar area; Net assimilation rate; Stress</t>
  </si>
  <si>
    <t>chlorophyll; crop yield; dry matter; environmental stress; growth rate; leafy vegetable; Boyaca; Colombia; Tunja</t>
  </si>
  <si>
    <t>This study was funded by the Faculty of Agricultural Sciences of the Universidad Pedagógica y Tecnológica de Colombia—UPTC, within the framework of the research work of the Plant Ecophysiology Group.</t>
  </si>
  <si>
    <t>Aldana, F., García, P.N., Fischer, G., Effect of waterlogging stress on the growth, development and symptomatology of cape gooseberry (Physalis peruviana L.) plants (2014) Rev Acad Colombiana Cien Exact Físicas Nat, 38 (149), pp. 393-400. , http://www.scielo.org.co/scielo.php?script=sci_arttext&amp;pid=S0370-39082014000400005, http://www.scielo.org.co/scielo.php?script=sci_arttext&amp;pid=S0370-39082014000400005. Accessed 12 May 2021; Casierra-Posada, F., Cutler, J., Photosystem II fluorescence and growth in cabbage plants (Brassica oleracea var. capitata) grown under waterlogging stress (2017) Rev UDCA Actual Divulgación Científica, 20 (2), pp. 321-328. , http://www.scielo.org.co/scielo.php?script=sci_arttext&amp;pid=S0123-42262017000200010, http://www.scielo.org.co/scielo.php?script=sci_arttext&amp;pid=S0123-42262017000200010. Accessed 16 May 2021; Casierra-Posada, F., Gómez, N.E., Crecimiento foliar y radical en plantas de fique (Furcraea castilla y F. macrophylla) bajo estrés por encharcamiento (2008) Agron Colombiana, 26 (3), pp. 381-388. , https://revistas.unal.edu.co/index.php/agrocol/article/view/11469, https://revistas.unal.edu.co/index.php/agrocol/article/view/11469. Accessed 16 May 2021; Casierra-Posada, F., Vargas, Y.A., Crecimiento y producción de fruta en cultivares de fresa (Fragaria sp.) afectados por encharcamiento (2007) Rev Colombiana Cien Hortic, 1 (1), pp. 21-32. , https://revistas.uptc.edu.co/index.php/ciencias_horticolas/article/view/1142/1141, https://revistas.uptc.edu.co/index.php/ciencias_horticolas/article/view/1142/1141. Accessed 12 May 2021; Chen, S., Xu, Z., Adil, M.F., Zhang, G., Cultivar-, stress duration- and leaf age-specific hub genes and co-expression networks responding to waterlogging in barley (2021) Environ Exp Bot, 191, p. 104599; Da-Silva, C.J., Amarante, L.D., Short-term nitrate supply decreases fermentation and oxidative stress caused by waterlogging in soybean plants (2020) Environ Exp Bot, 176, p. 104078; Ding, X.Y., Xu, J.S., Huang, H., Qiao, X., Shen, M.Z., Cheng, Y., Zhang, X.K., Unraveling waterlogging tolerance-related traits with QTL analysis in reciprocal intervarietal introgression lines using genotyping by sequencing in rapeseed (Brassica napus L.) (2020) J Integr Agr, 19 (8), pp. 1974-1983; Fischer, G., Ramírez, F., Casierra-Posada, F., Ecophysiological aspects of fruit crops in the era of climate change. A review (2016) Agron Colombiana, 34 (2), pp. 190-199; Fukao, T., Barrera-Figueroa, B.E., Juntawong, P., Peña-Castro, J.M., Submergence and waterlogging stress in plants: a review highlighting research opportunities and understudied aspects (2019) Front Plant Sci, 10, p. 340; Hunt, R., (1990) Basic growth analysis. Plant growth analysis for beginners, , Unwin Hyman, Boston; Issarakraisila, M., Ma, Q., Turner, D.W., Photosynthetic and growth responses of juvenile Chinese kale (Brassica oleracea var. alboglabra) and Caisin (Brassica rapa subsp. parachinensis) to waterlogging and water deficit (2007) Sci Hortic Amsterdam, 111 (2), pp. 107-113; Li, Y., Shi, L.-C., Yang, J., Qian, Z.-H., He, Y.-X., Li, M.-W., Physiological and transcriptional changes provide insights into the effect of root waterlogging on the aboveground part of Pterocarya stenoptera (2021) Genomics, 113, pp. 2583-2590; Lin, H.-H., Lin, K.-H., Chen, S.-C., Shen, Y.-H., Lo, H.-F., Proteomic analysis of broccoli (Brassica oleracea) under high temperature and waterlogging stresses (2015) Bot Stud, 56 (1), p. 18; Parent, C., Capelli, N., Berger, A., Crèvecoeur, M., Dat, J.F., An overview of plant responses to soil waterlogging (2008) Plant Stress, 2 (1), pp. 20-27. , https://hal.archives-ouvertes.fr/hal-00425503, https://hal.archives-ouvertes.fr/hal-00425503. Accessed 16 May 2021; Ramírez-Builes, V.H., Jaramillo-Robledo, A.J., Relación entre el índice oceánico de el niño y la lluvia, en la región andina central de Colombia (2009) Cenicafé, 60 (2), pp. 161-172. , https://www.cenicafe.org/es/publications/arc060, https://www.cenicafe.org/es/publications/arc060(02)161-172.pdf. Accessed 19 May 2021; Toral-Juárez, M.A., Avila, R.T., Cardoso, A.A., Brito, F.A.L., Machado, K.L.G., Almeida, W.L., Souza, R.P.B., DaMatta, F.M., Drought-tolerant coffee plants display increased tolerance to waterlogging and post-waterlogging reoxygenation (2021) Environ Exp Bot, 182, p. 104311; Vernon, A.J., Allison, J.C.S., A method of calculating net assimilation rate (1963) Nature, 200, p. 814; Wang, X., Deng, Z., Zhang, W., Meng, Z., Chang, X., Lv, M., Effect of waterlogging duration at different growth stages on the growth, yield and quality of cotton (2017) PLoS ONE, 12 (1); Wang, X., Sun, L., Li, W., Peng, M., Chen, F., Zhang, W., Sun, C., Hua, W., Dissecting the genetic mechanisms of waterlogging tolerance in Brassica napus through linkage mapping and a genome-wide association study (2020) Ind Crop Prod, 147, p. 112269; Xia, J.A., Cao, H.X., Yang, Y.W., Zhang, W.X., Wan, Q., Xu, L., Ge, D.K., Huang, B., Detection of waterlogging stress based on hyperspectral images of oilseed rape leaves (Brassica napus L.) (2019) Comput Electron Agr, 159, pp. 59-68; Zhou, W., Chen, F., Meng, Y., Chandrasekarana, U., Luo, X., Yang, W., Shu, K., Plant waterlogging/flooding stress responses: From seed germination to maturation (2020) Plant Physiol Bioch, 148, pp. 228-236</t>
  </si>
  <si>
    <t>Casierra-Posada, F.; Plant Ecophysiology Research Group, Colombia; email: fanor.casierra@uptc.edu.co</t>
  </si>
  <si>
    <t>2-s2.0-85122297932</t>
  </si>
  <si>
    <t>Martinez-Martinez A., Lopez-Lopez W., Acevedo-Triana C.</t>
  </si>
  <si>
    <t>57193388267;57215221073;56167380700;</t>
  </si>
  <si>
    <t>Comparison of the performance of cognitive tests in Parkinson Disease patients with and without Deep Brain Stimulation [Comparacion del rendimiento de pruebas cognitivas en pacientes con Enfermedad de Parkinson con y sin estimulacion cerebral profunda]</t>
  </si>
  <si>
    <t>Revista CES Psicologia</t>
  </si>
  <si>
    <t>https://www.scopus.com/inward/record.uri?eid=2-s2.0-85136235454&amp;doi=10.21615%2fcesp.5896&amp;partnerID=40&amp;md5=67adc654ccd288d8af33345b103460c1</t>
  </si>
  <si>
    <t>Facultad de Psicologia, Pontificia Universidad Javeriana, Bogota, Colombia; Escuela de Psicologia, Universidad Pedagogica y Tecnologica de Colombia, Tunja, Colombia; Departamento de Neurobiologia, Universidad de Alabama, Birmingham, United States</t>
  </si>
  <si>
    <t>Martinez-Martinez, A., Facultad de Psicologia, Pontificia Universidad Javeriana, Bogota, Colombia; Lopez-Lopez, W., Facultad de Psicologia, Pontificia Universidad Javeriana, Bogota, Colombia; Acevedo-Triana, C., Escuela de Psicologia, Universidad Pedagogica y Tecnologica de Colombia, Tunja, Colombia, Departamento de Neurobiologia, Universidad de Alabama, Birmingham, United States</t>
  </si>
  <si>
    <t>Patients diagnosed with Parkinson's disease show motor alterations together to cognitive, behavioral, and emotional disturbances. An alternative treatment to the exclusive pharmacological medication is the Deep Brain Stimulation procedure (DBS). Some studies have shown altered behavioral patterns after DBS device implantation, suggesting a relationship between a particular performance in cognitive tests derived from the DBS procedure. Our study aimed to compare the performance of cognitive tests in Parkinson's disease patients with and without DBS. Results were analyzed from 47 patients (n = 16 DBS; n = 31 without DBS) in a range since 2011 to 2015. Functions tested were visual categorization, cognitive flexibility, problem solutions, selective attention, cognitive processing speed, behavioral inhibition, and quality of life. In general, there are non-significative differences between groups in functions tested. However, correlations were found depending on the group (DBS or without DBS patients), with more positive correlations inside the DBS group between the similarity test and inversed digits, list of words, symbol search and the sub-test of the Wisconsin Card Sorting Test. In addition, the DBS group showed a low perception of the quality of life associated with the disorder's time compared to the without DBS group. In conclusion, these results are congruent with similar studies of neuropsychological evaluation, and the role of treatment is discussed below the perception of the quality of life. © 2022 Universidad CES. All rights reserved.</t>
  </si>
  <si>
    <t>Basal Ganglia; cognitive functions; deep brain stimulation; neuropsychological evaluation; neurosurgery; Parkinson's Disease</t>
  </si>
  <si>
    <t>Aguilar, O. M., Soto, C. A., Esguerra, M., Cambios neuropsicológicos asociados a estimulación cerebral profunda en Enfermedad de Parkinson: Revisión Teórica (2011) Suma Psicológica, 18 (2), pp. 89-98; Ethical principles of psychologists and code of conduct (2002) American Psychologist, 57, pp. 1060-1073. , http://dx.doi.org/10.1037/0003-066X.57.12.1060; Ardila, A., Goodkin, K., Concha, M., Lecusay, R., O'Mellan, S., Al, E., HUMANS: una batería neuropsicológica para la evaluación de pacientes infectados con VIH-1. itle (2003) Revista de Neurología, 36 (8), pp. 756-762; Armstrong, M. J., Okun, M. S., Diagnosis and Treatment of Parkinson Disease: A Review (2020) JAMA, 323 (6), pp. 548-560. , https://doi.org/10.1001/jama.2019.22360; Barceló, E., Lewis, S., Moreno, M., Funciones ejecutivas en estudiantes universitarios que presentan bajo y alto rendimiento académico (2006) Psicología Desde El Caribe, 18, pp. 109-138; Bayram, E., Litvan, I., Wright, B. A., Grembowski, C., Shen, Q., Harrington, D. L., Dopamine effects on memory load and distraction during visuospatial working memory in cognitively normal Parkinson's disease (2021) Neuropsychology, Development, and Cognition. Section B, Aging, Neuropsychology and Cognition, 28 (6), pp. 812-828. , https://doi.org/10.1080/13825585.2020.1828804; Becerra, J. E., Zorro, O., Ruiz-Gaviria, R., Castañeda-Cardona, C., Otálora-Esteban, M., Rosselli, D., Economic Analysis of Deep Brain Stimulation in Parkinson Disease: Systematic Review of the Literature (2016) World Neurosurgery, 93, pp. 44-49. , https://doi.org/10.1016/j.wneu.2016.05.028; Bickel, S., Alvarez, L., Macias, R., Pavon, N., Leon, M., Fernandez, C., Litvan, I., Cognitive and neuropsychiatric effects of subthalamotomy for Parkinson's disease (2010) Parkinsonism &amp; Related Disorders, 16 (8), pp. 535-539. , https://doi.org/10.1016/j.parkreldis.2010.06.008; Biundo, R., Weis, L., Antonini, A., Berardelli, A., Olesen, J., Gustavsson, A., Biundo, R., Cognitive decline in Parkinson's disease: the complex picture (2016) Npj Parkinson's Disease, 2, p. 16018. , https://doi.org/10.1038/npjparkd.2016.18; Biundo, R., Weis, L., Facchini, S., Formento-Dojot, P., Vallelunga, A., Pilleri, M., Antonini, A., Cognitive profiling of Parkinson disease patients with mild cognitive impairment and dementia (2014) Parkinsonism &amp; Related Disorders, 20 (4), pp. 394-399. , https://doi.org/10.1016/j.parkreldis.2014.01.009; Castelli, L., Rizzi, L., Zibetti, M., Angrisano, S., Lanotte, M., Lopiano, L., Neuropsychological changes 1-year after subthalamic DBS in PD patients: A prospective controlled study (2010) Parkinsonism &amp; Related Disorders, 16 (2), pp. 115-118. , https://doi.org/10.1016/j.parkreldis.2009.08.010; Combs, H. L., Folley, B. S., Berry, D. T. R., Segerstrom, S. C., Han, D. Y., Anderson-Mooney, A. J., van Horne, C., Cognition and Depression Following Deep Brain Stimulation of the Subthalamic Nucleus and Globus Pallidus Pars Internus in Parkinson's Disease: A Meta-Analysis (2015) Neuropsychology Review, 25 (4), pp. 439-454. , Springer New York LLC; (2006) Código Deontológico y Bioético del psicólogo, , http://tribunales.colpsic.org.co/tribunales_archivos/LEY_1090_DE_2006_actualizada_mar%0Azo_2012.pdf%0AM; Costanza, A., Radomska, M., Bondolfi, G., Zenga, F., Amerio, A., Nguyen, K. D., Suicidality Associated With Deep Brain Stimulation in Extrapyramidal Diseases: A Critical Review and Hypotheses on Neuroanatomical and Neuroimmune Mechanisms (2021) Frontiers in Integrative Neuroscience, 15. , https://doi.org/10.3389/fnint.2021.632249, (April); Cyron, D., Funk, M., Deletter, M.-A., Scheufler, K., Preserved cognition after deep brain stimulation (DBS) in the subthalamic area for Parkinson's disease: a case report (2010) Acta Neurochirurgica, 152 (12), pp. 2097-2100. , https://doi.org/10.1007/s00701-010-0755-x; de la Peña, C., Fernández Medina, J. M., Parra Bolaños, N., Martínez Restrepo, Ó. A., Estudio neuropsicológico en pacientes parkinsonianos: efectos de la estimulación cerebral profunda (2016) Revista de Neurología, 62, p. 152. , https://doi.org/10.33588/rn.6204.2015432, (04); Demakis, G. J., The neuropsychology of Parkinson's disease (2007) Disease-a-Month: DM, 53 (3), pp. 152-155. , https://doi.org/10.1016/j.disamonth.2007.04.005; Denheyer, M., Kiss, Z. H., Haffenden, A. M., Behavioral effects of subthalamic deep brain stimulation in Parkinson's disease (2009) Neuropsychologia, 47 (14), pp. 3203-3209. , https://doi.org/10.1016/j.neuropsychologia.2009.07.022; Deogaonkar, M., Monsalve, G. A., Scott, J., Ahmed, A., Rezai, A., Bilateral subthalamic deep brain stimulation after bilateral pallidal deep brain stimulation for Parkinson's disease (2011) Stereotactic and Functional Neurosurgery, 89 (2), pp. 123-127. , https://doi.org/10.1159/000323375; Dowsey-Limousin, P., Pollak, P., Deep brain stimulation in the treatment of Parkinson's disease: a review and update (2001) Clinical Neuroscience Research, 1 (6), pp. 521-526. , https://doi.org/10.1016/S1566-2772(01)00029-9; Duque, A. F., Lopez, J. C., Hernandez, H., Benitez, B., Yunis, J. J., Fernandez, W., Arboleda, G., Analysis of the LRRK2 p.G2019S mutation in Colombian Parkinson's Disease Patients (2015) In Colombia Médica, 46 (3), pp. 117-121. , http://colombiamedica.univalle.edu.co/index.php/comedica/article/view/1553/2691; El-Nazer, R., Adler, C. H., Beach, T. G., Belden, C. M., Artz, J., Shill, H. A., Benge, J. F., Regional neuropathology distribution and verbal fluency impairments in Parkinson's disease (2019) Parkinsonism &amp; Related Disorders, 65, pp. 73-78. , https://doi.org/10.1016/j.parkreldis.2019.05.014; Elbaz, A., Carcaillon, L., Kab, S., Moisan, F., Epidemiology of Parkinson's disease (2016) Revue Neurologique, 172 (1), pp. 14-26. , https://doi.org/10.1016/j.neurol.2015.09.012; Elgebaly, A., Elfil, M., Attia, A., Magdy, M., Negida, A., Neuropsychological performance changes following subthalamic versus pallidal deep brain stimulation in Parkinson's disease: A systematic review and metaanalysis (2018) CNS Spectrums, 23 (1), pp. 10-23. , https://doi.org/10.1017/S1092852917000062; Evens, R., Stankevich, Y., Dshemuchadse, M., Storch, A., Wolz, M., Reichmann, H., Lueken, U., The impact of Parkinson's disease and subthalamic deep brain stimulation on reward processing (2015) Neuropsychologia, 75, pp. 11-19. , https://doi.org/10.1016/j.neuropsychologia.2015.05.005; Fasano, A., Daniele, A., Albanese, A., Treatment of motor and non-motor features of Parkinson's disease with deep brain stimulation (2012) The Lancet. Neurology, 11 (5), pp. 429-442. , https://doi.org/10.1016/S1474-4422(12)70049-2; Foley, J. A., Niven, E. H., Abrahams, S., Cipolotti, L., Phonemic fluency quantity and quality: Comparing patients with PSP, Parkinson's disease and focal frontal and subcortical lesions (2021) Neuropsychologia, 153, p. 107772. , https://doi.org/10.1016/j.neuropsychologia.2021.107772; Galtier, I., Nieto, A., Barroso, J., Lorenzo, N., Deterioro del aprendizaje visoespacial en la enfermedad de Parkinson (2009) Psicothema, 21 (1), pp. 21-26; Garzón-Giraldo, M. L. D., Montoya-Arenas, D. A., Carvajal-Castrillón, J., Perfil clínico y neuropsicológico: enfermedad de Parkinson/enfermedad por cuerpos de Lewy (2015) CES Medicina, 29 (2), pp. 255-270. , https://doi.org/10.21615/cesmed.v29i2.3231; Glozman, J., Rehabilitation of superior psychological functions in patients with Parkinson syndrome (2013) Neuropsicologia Latinoamericana, 5, pp. 58-65. , https://doi.org/10.5579/rnl.2013.0119, (spe); Guerrero, S., Secuelas psiquiátricas y neuropsicológicas de la cirugía de epilepsia del Lóbulo temporal (2004) Revista Colombiana de Psiquiatría, 33 (4), pp. 423-436; Haelterman, N. A., Yoon, W. H., Sandoval, H., Jaiswal, M., Shulman, J. M., Bellen, H. J., A mitocentric view of Parkinson's disease (2014) Annual Review of Neuroscience, 37, pp. 137-159. , https://doi.org/10.1146/annurev-neuro-071013-014317; Harrington, D. L., Shen, Q., Vincent Filoteo, J., Litvan, I., Huang, M., Castillo, G., Bayram, E., Abnormal distraction and load-specific connectivity during working memory in cognitively normal Parkinson's disease (2020) Human Brain Mapping, 41 (5), pp. 1195-1211. , https://doi.org/10.1002/hbm.24868; Heaton, R., (1981) A manual for the Wisconsin Card Sorting Test Manual, , (Odessa: Ps); Henao-Arboleda, E., Muñoz, C., Aguirre-Acevedo, D.C., Lara, E., Pineda, D. A., Lopera, F., Datos normativos de pruebas neuropsicológicas en adultos mayores en una población Colombiana (2010) Revista Chilena de Neuropsicologia, pp. 213-225; Hindle, J. V., Martyr, A., Clare, L., Cognitive reserve in Parkinson's disease: a systematic review and meta-analysis (2014) Parkinsonism &amp; Related Disorders, 20 (1), pp. 1-7. , https://doi.org/10.1016/j.parkreldis.2013.08.010; Hobson, P., Meara, J., Mild cognitive impairment in Parkinson's disease and its progression onto dementia: a 16-year outcome evaluation of the Denbighshire cohort (2015) International Journal of Geriatric Psychiatry, 30 (10), pp. 1048-1055. , https://doi.org/10.1002/gps.4261; Huang, Y.-C., Wu, S.-T., Lin, J.-J., Lin, C.-C., Kao, C.-H., Prevalence and risk factors of cognitive impairment in Parkinson disease: a population-based case-control study in Taiwan (2015) Medicine, 94 (17), p. e782. , https://doi.org/10.1097/MD.0000000000000782; Hurtado, F., Cardenas, M. A., Cardenas, F. P., León, L. A., La Enfermedad de Parkinson: etiología, tratamientos y factores preventivos (2016) Universitas Psychologica1, 15 (5), pp. 1-26. , https://doi.org/10.11144/Javeriana.upsy15-5.epet; John, K. D., Wylie, S. A., Dawant, B. M., Rodriguez, W. J., Phibbs, F. T., Bradley, E. B., van Wouwe, N. C., Deep brain stimulation effects on verbal fluency dissociated by target and active contact location (2021) Annals of Clinical and Translational Neurology, 8 (3), pp. 613-622. , https://doi.org/10.1002/acn3.51304; Juri, C., Rodriguez-Oroz, M., Obeso, J. a., The pathophysiological basis of sensory disturbances in Parkinson's disease (2010) Journal of the Neurological Sciences, 289 (1-2), pp. 60-65. , https://doi.org/10.1016/j.jns.2009.08.018; Kurtis, M. M., Rajah, T., Delgado, L. F., Dafsari, H. S., The effect of deep brain stimulation on the non-motor symptoms of Parkinson's disease: a critical review of the current evidence (2017) NPJ Parkinson's Disease, 3, p. 16024. , https://doi.org/10.1038/npjparkd.2016.24; Liu, Y., Li, W., Tan, C., Liu, X., Wang, X., Gui, Y., Chen, L., Meta-analysis comparing deep brain stimulation of the globus pallidus and subthalamic nucleus to treat advanced Parkinson disease (2014) Journal of Neurosurgery, 121 (3), pp. 709-718. , https://doi.org/10.3171/2014.4.JNS131711; Lyons, M. K., Deep brain stimulation: current and future clinical applications (2011) Mayo Clinic Proceedings, 86 (7), pp. 662-672. , https://doi.org/10.4065/mcp.2011.0045; Martínez-Martín, P., Frades Payo, B., Quality of life in Parkinson's disease: validation study of the PDQ-39 Spanish version. The Grupo Centro for Study of Movement Disorders (1998) Journal of Neurology, pp. S34-S38. , http://www.ncbi.nlm.nih.gov/pubmed/9617722; Martínez-Martín, P., Serrano-Dueñas, M., Vaca-Baquero, V., Psychometric characteristics of the Parkinson's disease questionnaire (PDQ-39)-Ecuadorian version (2005) Parkinsonism &amp; Related Disorders, 11 (5), pp. 297-304. , https://doi.org/10.1016/j.parkreldis.2005.02.003; Martinez-Martinez, A., Aguilar, O. M., Acevedo-Triana, C. A., Meta-analysis of the relationship between deep brain stimulation (DBS) in patients with Parkinson's disease and performance in evaluation tests for executive brain functions (2017) Parkinson's Disease, 2017, pp. 1-16. , https://doi.org/10.1155/2017/9641392, (Article ID 9641392); McRae, C., Cherin, E., Yamazaki, T. G., Diem, G., Vo, A. H., Russell, D., Freed, C. R., Effects of Perceived Treatment on Quality of Life and Medical Outcomesin a Double-blind Placebo Surgery Trial (2004) Archives of General Psychiatry, 61 (4), pp. 412-420. , https://doi.org/10.1001/archpsyc.61.4.412; Moreno, S., Buriticá, O., Franco, A., Pineda, N., Arias, W., Sepúlveda, D., Lopera, F., Alteraciones cognitivas en Parkinson Juvenil causado por la mutación C212Y en el gen Parkin (2010) International Journal of Psychological Research, 3 (2), pp. 55-62; Negida, A., Elminawy, M., El Ashal, G., Essam, A., Eysa, A., Abd Elalem Aziz, M., Subthalamic and Pallidal Deep Brain Stimulation for Parkinson's Disease (2018) Cureus, 10 (2). , https://doi.org/10.7759/cureus.2232; Oh, E. S., Lee, J. H., Seo, J. G., Sohn, E. H., Lee, A. Y., Autonomic and cognitive functions in Parkinson's disease (PD) (2011) Archives of Gerontology and Geriatrics, 52 (1), pp. 84-88. , https://doi.org/10.1016/j.archger.2010.02.005; Orduz-Bastidas, L., Martínez-Martínez, A., Hurtado Parrado, C., López-López, W., Acevedo-Triana, C., Parkinson disease patients' performance in theory of mind (ToM) and decision-making tasks with and without deep brain stimulation (DBS) (2020) Terapia Psicologica, 38 (2), pp. 259-282. , https://doi.org/10.4067/S0718-48082020000200259; Pagano, G., Ferrara, N., Brooks, D. J., Pavese, N., Age at onset and Parkinson disease phenotype (2016) Neurology, 86 (15), pp. 1400-1407. , https://doi.org/10.1212/WNL.0000000000002461; Picillo, M., Vincos, G. B., Sammartino, F., Lozano, A. M., Fasano, A., Exploring risk factors for stuttering development in Parkinson disease after deep brain stimulation (2017) Parkinsonism &amp; Related Disorders, 38, pp. 85-89. , https://doi.org/10.1016/j.parkreldis.2017.02.015; Ramos, A. A., Machado, L., A Comprehensive Meta-analysis on Short-term and Working Memory Dysfunction in Parkinson's Disease (2021) Neuropsychology Review, 31 (2), pp. 288-311. , https://doi.org/10.1007/s11065-021-09480-w; Rektorova, I., Current treatment of behavioral and cognitive symptoms of Parkinson's disease (2019) Parkinsonism &amp; Related Disorders, 59, pp. 65-73. , https://doi.org/10.1016/j.parkreldis.2019.02.042; Rodríguez-Violante, M., Velázquez-Osuna, S., Cervantes-Arriaga, A., Corona-Vázquez, T., de la Fuente-Sandoval, C., Prevalencia, factores asociados y fenomenología de la psicosis en pacientes con enfermedad de Parkinson (2015) Gaceta Médica de México, 151, pp. 169-175; Sáez-Francàs, N., Martí Andrés, G., Ramírez, N., de Fàbregues, O., Álvarez-Sabín, J., Casas, M., Hernández-Vara, J., Factores clínicos y psicopatológicos asociados a los trastornos del control de impulsos en la enfermedad de Parkinson (2016) Neurología, 31 (4), pp. 231-238. , https://doi.org/10.1016/j.nrl.2015.05.002; Schoenberg, M. R., Mash, K. M., Bharucha, K. J., Francel, P. C., Scott, J. G., Deep brain stimulation parameters associated with neuropsychological changes in subthalamic nucleus stimulation for refractory Parkinson's disease (2008) Stereotactic and Functional Neurosurgery, 86 (6), pp. 337-344. , https://doi.org/10.1159/000163554; Siegert, R. J., Weatherall, M., Taylor, K. D., Abernethy, D. A., A Meta-Analysis of Performance on Simple Span and More Complex Working Memory Tasks in Parkinson's Disease (2008) Neuropsychology Review, 22 (4), pp. 450-461. , (4); Stoessl, A. J., Neuroimaging in Parkinson's Disease (2011) Neurotherapeutics, 8 (1), pp. 72-81. , https://doi.org/10.1007/s13311-010-0007-z; Tröster, A. I., Some Clinically Useful Information that Neuropsychology Provides Patients, Carepartners, Neurologists, and Neurosurgeons about Deep Brain Stimulation for Parkinson's Disease (2017) Archives of Clinical Neuropsychology, 32 (7), pp. 810-828. , https://doi.org/10.1093/arclin/acx090; Walker, A., Batchelor, J., Shores, A., Jones, M., Diagnostic efficiency of demographically corrected Wechsler Adult Intelligence Scale-III and Wechsler Memory Scale-III indices in moderate to severe traumatic brain injury and lower education levels (2009) Journal of the International Neuropsychological Society, 15, pp. 938-950; Wu, B., Han, L., Sun, B.-M., Hu, X.-W., Wang, X.-P., Influence of deep brain stimulation of the subthalamic nucleus on cognitive function in patients with Parkinson's disease (2014) Neuroscience Bulletin, 30 (1), pp. 153-161. , https://doi.org/10.1007/s12264-013-1389-9; Xie, C. L., Shao, B., Chen, J., Zhou, Y., Lin, S. Y., Wang, W. W., Effects of neurostimulation for advanced Parkinson's disease patients on motor symptoms: A multiple-treatments meta-analysas of randomized controlled trials (2016) Scientific Reports, 6, pp. 1-11. , https://doi.org/10.1038/srep25285, (May); Xu, H., Zheng, F., Krischek, B., Ding, W., Xiong, C., Wang, X., Niu, C., Subthalamic nucleus and globus pallidus internus stimulation for the treatment of Parkinson's disease: A systematic review (2017) Journal of International Medical Research, 45 (5), pp. 1602-1612. , https://doi.org/10.1177/0300060517708102; Zangaglia, R., Pacchetti, C., Pasotti, C., Mancini, F., Servello, D., Sinforiani Nappi, G., Deep brain stimulation and cognitive functions in Parkinson's disease: A three-year controlled study (2009) Movement Disorders, 24 (11), pp. 1621-1628. , https://doi.org/10.1002/mds.22603; Zhang, J., Li, J., Chen, F., Liu, X., Jiang, C., Hu, X., Xu, Z., STN versus GPi deep brain stimulation for dyskinesia improvement in advanced Parkinson's disease: A meta-analysis of randomized controlled trials (2021) Clinical Neurology and Neurosurgery, 201, p. 106450. , https://doi.org/10.1016/j.clineuro.2020.106450, (December 2020)</t>
  </si>
  <si>
    <t>Acevedo-Triana, C.; Escuela de Psicologia, Colombia</t>
  </si>
  <si>
    <t>Universidad CES</t>
  </si>
  <si>
    <t>2-s2.0-85136235454</t>
  </si>
  <si>
    <t>La Palabra</t>
  </si>
  <si>
    <t>Sáez Méndez L.</t>
  </si>
  <si>
    <t>57950137500;</t>
  </si>
  <si>
    <t>Gertrudis Segovia Álvarez: Between her Writing Needs and her Oblivion [A escritora Gertrudis Segovia Álvarez, entre a sua necessidade de escrever e o seu esquecimento Resumo] [La escritora Gertrudis Segovia Álvarez, entre su necesidad de escribir y su olvido]</t>
  </si>
  <si>
    <t>e14397</t>
  </si>
  <si>
    <t>10.19053/01218530.n44.2022.14397</t>
  </si>
  <si>
    <t>https://www.scopus.com/inward/record.uri?eid=2-s2.0-85141054928&amp;doi=10.19053%2f01218530.n44.2022.14397&amp;partnerID=40&amp;md5=6252d3e6a025f767ac3034e27256cb1d</t>
  </si>
  <si>
    <t>Sáez Méndez, L., Universidad de Murcia, Spain</t>
  </si>
  <si>
    <t>A literature review regarding Gertrudis Segovia Álvarez shows this author has been forgotten from the critics despite being recognized as a successful writer at the beginning of the twen-tieth century. This paper aims archival research related to her stay in the Canary Islands and the influence of this time in her work. The findings show the issues Gertrudis Segovia embo-died with her feminine identity because of an intellectual and emotional exclusion. Also, it is discovered in this paper the features of being a self-sacrificing woman, the importance of the influence of the masculine role in her life –her father and her husband, and the importance of her recognition by a female audience in the middle of the strong influence of the Catholicism in the social life and the private life as well. All of these features frame her initial recognition as an important author but also the forgetfulness of herself and her work. © 2022, Universidad Pedagogica y Tecnologica de Colombia. All rights reserved.</t>
  </si>
  <si>
    <t>abnegation; domestic sphere; Gertrudis Segovia; ideology; oblivion; popularity</t>
  </si>
  <si>
    <t>Crónica (1915) Diario de Tenerife, , https://jable.ulpgc.es/jable/diario.de.tenerife/1915/03/15/0002.htm?palabras=gertrudis+segovia, 15 de marzo de Web. 20 de marzo de 2022; De Sociedad (1915) Gaceta de Tenerife, , https://jable.ulpgc.es/viewer.vm?id=79678, 27 de abril de Web. 20 de marzo de 2022; Desde la palabra (1897) La Época, , https://heme-rotecadigital.bne.es/hd/viewer?oid=0000624496&amp;page=2, 18 de junio de Web. 20 de marzo de 2022; Día de días (1918) Gaceta de Tenerife, , https://jable.ulpgc.es/jable/gaceta.de.tenerife/1918/11/16/0002.htm?palabras=ger-trudis+segovia, 16 de noviembre de Web. 20 de marzo de 2022; Diego Guigou y Costa (1900) Gente Nueva, , ht-tps://jable.ulpgc.es/jable/gente.nueva/1900/07/20/0002.htm?palabras=diego+guigou, 20 de julio de Web. 20 de marzo de 2022; El día de Reyes en el Hospital de Niños (1922) Gaceta de Tenerife, , https://jable.ulpgc.es/jable/gaceta.de.tenerife/1922/01/08/0001.htm?palabras=gertrudis+segovia, 8 de enero de Web. 20 de marzo de 2022; En el Ateneo de la Laguna, un triunfo más de Gertrudis Segovia (1914) Gaceta de Tenerife, , https://jable.ulpgc.es/jable/gaceta.de.tenerife/1914/02/10/0001.htm?palabras=gertrudis+segovia, 10 de febrero de Web. 21 de marzo de 2022; García Jiménez, Antonio, Los cuentos de hadas de Gertrudis Segovia, una escritora olvi-dada (2020) Biblioteca Nacional de España, , https://www.bne.es/es/blog/blog-bne/los-cuentos-de-hadas-de-gertrudis-sego-via-una-escritora-olvidada, 14 de octubre de Web. 20 de enero de 2022; Imparato-Prieur, Sylvie, (2003) Familia y educación de los jóvenes en la segunda mitad del Siglo XVIII, , Lleida, Milenio, Impreso; Novelistas Canarios (1928) Gaceta de Tenerife, , https://jable.ulpgc.es/jable/gaceta.de.tenerife/1928/01/13/0004.htm?palabras=ger-trudis+segovia, 13 de enero Web. 20 de marzo de 2022; Juan de Mendoza (1915) Diario de Tenerife, , https://jable.ulpgc.es/jable/diario.de.tenerife/1915/01/07/0002.htm?palabras=gertru-dis+segovia, 7 de enero de Web. 22 de enero de 2022; Noticias y anuncios (1915) Diario de Tenerife, , https://jable.ulpgc.es/jable/diario.de.tenerife/1915/04/08/0002.htm?palabras=gertru-dis+segovia, 8 de abril de Web. 20 de marzo de 2022; Segovia Álvarez, Gertrudis, (1911) Poesías, , Madrid, Rustica Editorial, Impreso; Segovia Álvarez, Gertrudis, (1912) Mientras la nieve cae… Nuevos cuentos de hadas, , Madrid, Imprenta Española, Impreso; Segovia Álvarez, Gertrudis, (1912) Para los niños. Cuentos de hadas, , Madrid, Imprenta Española, Impreso; Segovia Álvarez, Gertrudis, (1914) Juan de Mendoza, , Madrid, Suc. de Rivadeneya, Impreso; Segovia Álvarez, Gertrudis, Al pie del crucifijo (1914) Gaceta de Tenerife, , https://jable.ulpgc.es/jable/gaceta.de.tenerife/1914/02/09/0001.htm?pala-bras=gertrudis+segovia, 9 de febrero de Web 20 de marzo de 2022; Segovia Álvarez, Gertrudis, La costumbre (1914) Gaceta de Tenerife, , https://jable.ulpgc.es/jable/gaceta.de.tenerife/1914/03/10/0001.htm?palabras=ger-trudis+segovia, 10 de marzo de Web. 20 de marzo de 2022; Segovia Álvarez, Gertrudis, (1937) A la vista de Tenerife, , https://jable.ulpgc.es/jable/nueva.espa%C3%B1a/1937/06/01/0029.htm?palabras=-gertrudis+segovia, Nueva España, 1 de junio de Web. 20 de marzo de 2022; Segovia Álvarez, Gertrudis, (1925) Carta a Guillermo Fernández Shaw, , https://www2.march.es/bibliotecas/repositorio-fernandez-shaw/ficha.aspx?p0=fsha-w%3A3628, 5 de octubre de Web. 15 de Marzo de 2022; Varias noticias (1912), https://jable.ulpgc.es/jable/la.opinion/1912/01/19/0002.htm?palabras=diego+guigou+falle-cimiento+esposa, La opinión, 19 de enero de Web. 20 de marzo de 2022</t>
  </si>
  <si>
    <t>Sáez Méndez, L.; Universidad de MurciaSpain; email: leonorsaez@um.es</t>
  </si>
  <si>
    <t>2-s2.0-85141054928</t>
  </si>
  <si>
    <t>Puerta C.M.</t>
  </si>
  <si>
    <t>57847930600;</t>
  </si>
  <si>
    <t>La soledad contigo (1960) by Pilar Paz Pasamar: Chronicle of a Female Confinement [La soledad contigo (1960) por Pilar Paz Pasamar: crônica de um confinamento feminino] [La soledad contigo (1960), de Pilar Paz Pasamar: crónica de un confinamiento femenino*]</t>
  </si>
  <si>
    <t>e14343</t>
  </si>
  <si>
    <t>10.19053/01218530.n44.2022.14343</t>
  </si>
  <si>
    <t>https://www.scopus.com/inward/record.uri?eid=2-s2.0-85136308743&amp;doi=10.19053%2f01218530.n44.2022.14343&amp;partnerID=40&amp;md5=d52401d6cbd835e3d4c25bf230f7df04</t>
  </si>
  <si>
    <t>Universitat de Lleida, Spain</t>
  </si>
  <si>
    <t>Puerta, C.M., Universitat de Lleida, Spain</t>
  </si>
  <si>
    <t>This article approaches the intimate and domestic universe of La soledad contigo (1960), a book that Pilar Paz Pasamar devoted to her married life. An interdisciplinary methodology is taken place. On the one hand, the author life is presented by using History, Sociology, and Gender Studies. On the other hand, this book of poems is analyzed in the light of the statements and interviews that the writer gave throughout her life. In addition, this study establishes a comparison with the poetic works of contemporary women writers in which the theme of motherhood also appears as a literary topic. In summary, this essay examines the feminine role, linked to reproductive work, in Franco’s society, through the poetic testimony of Pilar Paz Pasamar. © 2022, Universidad Pedagogica y Tecnologica de Colombia. All rights reserved.</t>
  </si>
  <si>
    <t>domesticity; feminine imagi-nary; La soledad contigo; motherhood; Pilar Paz Pasamar; XXth Spanish poetry</t>
  </si>
  <si>
    <t>Abella, Rafael, (1985) La vida cotidiana bajo el régimen de Franco, , Barcelona, Argos Vergara, Impreso; Alonso Valero, Encarna, Mujeres poetas bajo el franquismo (2016) Cuadernos Hispanoamerica-nos, (793-794), pp. 22-33. , Impreso; Balcells, José María, Pilar Paz Pasamar, una poeta que quería ser poema (2022) Centro Virtual Cervantes, , https://cvc.cervantes.es/actcult/paz_pasa-mar/obra/balcelles.htm, s.f. Web. 6 de mayo de; Bados Ciria, Concepción, Entrevista a Pilar Paz Pasamar Centro Virtual Cervantes, , https://cvc.cervantes.es/actcult/paz_pasamar/entrevista.htm, s.f. Web. 5 de mayo de 2022; Bados Ciria, Concepción, Pilar Paz Pasamar en su lírica mística (2022) Centro Virtual Cervantes, , https://cvc.cervantes.es/actcult/paz_pasamar/obra/bados.htm, s.f. Web. 6 de mayo de; Barranquero Texeira, Encarnación, Borrego, Lucía Prieto, (2003) Así sobrevivimos al hambre: es-trategias de supervivencia de las mujeres en la postguerra española, , Málaga, Servi-cio de Publicaciones de la Diputación de Málaga, Impreso; Bosch Sans, Empar, Del abreviado mar y la vindicación de lo cotidiano en Pilar Paz Pasa-mar (2016) Prosemas, 2 (2), pp. 183-204. , https://doi.org/10.17811/prep.2.2016.183-204, Web. 6 de mayo de 2022; Cacciola, Anna, Mater y passio en Mientras los hombres mueren de Carmen Conde (2018) La multiplicidad de enfoques en humanidades. Actas de las VIII Jornadas de Investiga-ción de la Facultad de Filosofía y Letras de la Universidad de Alicante, pp. 21-26. , editado por Ernesto Cutillas Orgil. Compobell, Impreso; Casanova, Julián, La dictadura que salió de la Guerra (2015) Cuarenta años con Franco, pp. 53-77. , Barcelo-na, Crítica, Impreso; Conde, Carmen, (1967) Poesía femenina española (1939-1950), , Barcelona, Bruguera, Impre-so; Conde, Carmen, (1967) Obra poética (1929-1966), , Madrid, Biblioteca Nueva, Impreso; Criado, Domínguez, Juan P., (1889) Literatas españolas del siglo XIX: apuntes bibliográficos, , Ma-drid, Imprenta de Antonio Pérez Dubrull, Impreso; Cuenca Toribio, José Manuel, (2008) Nacionalismo, Franquismo y Nacionalcatolicismo, , Madrid, Editorial Actas, Impreso; de Revenga, Díez, Javier, Francisco, Carmen Conde y los inicios de Pilar Paz Pasamar a tra-vés de un epistolario inédito (2014) Cuadernos ASPI, (3), pp. 77-90. , Impreso; Espada Sánchez, José, (1989) Poetas del sur, , Madrid, Espasa Calpe, Impreso; Espinosa, Pedro, La singladura narrativa de Pasamar (2013) El País, , https://elpais.com/ccaa/2013/01/17/andalucia/1358438104_875311.html, 17 de enero de Web. 5 de mayo de 2022; Figuera, Ángela, (1999) Obras completas, , Madrid, Hiperión, Impreso; Gatell, Angelina, (2006) Mujer que soy. La voz femenina en la poesía social y testimonial de los años cincuenta, , Madrid, Bartleby, Impreso; Gracia García, Jordi, Ángel Ruiz Carnicer, Miguel, (2001) La España de Franco (1939-1975). Cul-tura y vida cotidiana, , Madrid, Editorial Síntesis, Impreso; del Estado, Jefatura, (1941) Boletín Oficial del Estado, pp. 6905-6907. , BOE-A-1941-8818 252. 9 de sep-tiembre de Impreso; Jiménez, Juan Ramón, (1998) Cartas a Pilar Paz Pasamar, , Sevilla, Fundación El Monte Funda-ción Juan Ramón Jiménez, Impreso; Jurado Morales, José, El discurso patriarcal en la poesía femenina del primer franquismo (2014) Signa: Revista de la Asociación Española de Semiótica, 23, pp. 525-544. , https://doi.org/10.5944/signa.vol23.2014.11746, Web. 5 de mayo de 2022; Kirkpatrick, Susan, (1991) Las Románticas. Escritoras y subjetividad en España, 1835-1850, , Ma-drid, Cátedra, Impreso; Laffón, Rafael, La soledad contigo, por Pilar Paz Pasamar (1961) ABC, p. 39. , 9 de mayo de Impreso; López-Pasarín Basabe, Alfredo, La poesía de la generación española del 50 (2007) Cuadernos Canela, 18, pp. 27-43. , http://www.canela.org.es/cuadernoscanela/canelapdf/cc18lopez-pasarin27-43.pdf, Web. 3 de mayo de 2022; Luque, Alejandro, Pilar Paz Pasamar escritora «Los poetas de provincias estuvimos un poco abandonados» (1999) El País, , https://elpais.com/diario/1999/05/07/andalucia/926029358_850215.html, 9 de mayo de Web. 6 de mayo de 2022; Arribas, Juan Carlos, La familia como medio de inclusión de la mujer en la so-ciedad franquista (2007) Hispania Nova, 7, pp. 193-222. , http://hispanianova.rediris.es/7/articulos/7a009.pdf, Manrique Web. 6 de mayo de 2022; Martín Gaite, Carmen, (1987) Usos amorosos de la posguerra española, , Barcelona, Anagrama, Impreso; Medina Puerta, Carmen, (2022) El erotismo en la primera producción literaria de Ana Rossetti (1980-1991), , http://hdl.handle.net/10803/674043, [Tesis doctoral, Universitat de Lleida]. Tesis doctorals en Xarxa. Web. 20 junio 2022; Morcillo Gómez, Aurora, (2015) En cuerpo y alma. Ser mujer en tiempos de Franco, , Madrid, Siglo XXI, Impreso; Nash, Mary, Vencidas, represaliadas y resistentes: las mujeres bajo el orden patriarcal fran-quista (2015) Cuarenta años con Franco, coordinado por Julián Casanova, pp. 191-227. , Barcelona, Crí-tica, Impreso; Payeras Grau, María, La voz reprimida de la mujer en las generaciones poéticas de posgue-rra (2008) Texturas, 1 (8), pp. 171-180. , https://doi.org/10.14409/texturas.v1i8.2873, Web. 3 de mayo de 2022; Payeras Grau, María, (2009) Espejos de palabra. La voz secreta de la mujer en la poesía española de posguerra (1939-1959), , Madrid, Universidad Nacional de Educación a Distancia, Impreso; Payeras Grau, María, Pilar Paz Pasamar en su creación poética inicial. Persiguiendo verdades (2013) Ámbitos. Re-vista de estudios de ciencias sociales y humanidades, 29, pp. 21-31. , https://helvia.uco.es/xmlui/bitstream/handle/10396/11777/Ambitos_29_03.pdf?sequence=1, Web. 6 de mayo de 2022; Paz Pasamar, Pilar, (1964) Poética y poesía. Discurso de ingreso en la Real Academia Hispanoa-mericana de Cádiz, , Contestación de José María Pemán. Madrid, Ediciones Cultura Hispánica, Impreso; Paz Pasamar, Pilar, (1964) La mujer y la poesía de lo cotidiano, , Madrid, Editora Nacional, Impreso; Paz Pasamar, Pilar, (2013) Ave de mí, palabra fugitiva. (Poesía 1951-2008), , editado por Ana Sofía Pérez-Bustaman-te Mourier. Cádiz, Diputación Provincial, Impreso; Paz Pasamar, Pilar, (2015) La nunca poseída, , Sevilla, Junta de Andalucía. Centro Andaluz de las Letras; Mourier, -Bustamante, Sofía, Ana, La corriente infinita. Una vida con Pilar Paz Pasamar (Entrevista) (2007) RevistAtlántica de Poesía, 31, pp. 15-33. , http://hdl.handle.net/10498/16064, Web. 6 de mayo de 2022; Mourier, -Bustamante, Sofía, Ana, Huésped de mi sonido más profundo: la poesía de Pilar Paz Pasamar (2013) Ave de mí, pa-labra fugitiva. Poesía 1951-2008, pp. 11-91. , Pilar Paz Pasamar Cádiz, Diputación Provincial, Impreso; Mourier, Ana Sofía, (2015) Pilar Paz Pasamar: Cantar, cantar, cantar es lo que importa, , Pérez, Bustamante Sevilla, Centro Andaluz de las letras, Impreso; Ramos, Manuel José, Introducción (2015) La nunca poseída, Pilar Paz Pasamar, pp. 7-16. , Sevilla, Junta de Andalucía. Centro Andaluz de las Letras, Impreso; Reyzábal, María Victoria, Ángela Figuera Aymerich. La maternidad: experiencia exclusi-va (2009) Zurgai. Euskal herriko olerkiaren aldizkaria: Poetas por su pueblo, pp. 12-16. , Impreso; Robbins, Jill, La mujer en el umbral. La simbología de la madre en la poesía de Ángela Fi-guera (2000) Anales de la literatura española contemporánea, 25 (2), pp. 557-585. , Impreso; Rodríguez, Juan Carlos, (2017) Teoría e historia de la producción ideológica. Las primeras literatu-ras burguesas, , Madrid, Akal, [1ª edición, Madrid, Akal, 1974]. Impreso; Ugalde, Sharon Keefe, (2007) En voz alta. Las poetas de las generaciones de los 50 y los 70, , Anto-logía. Madrid, Hiperión, Impreso</t>
  </si>
  <si>
    <t>Puerta, C.M.; Universitat de LleidaSpain; email: carmen.medina@udl.cat</t>
  </si>
  <si>
    <t>2-s2.0-85136308743</t>
  </si>
  <si>
    <t>Isaza-Zapata V., Maya C.E., Gómez A., Bezzon V.D.N., Supelano I., Saavedra I.M., Parra C.A., Astudillo J.A., Bolaños G., Dionizio S., Izquierdo J.L., Morán O.</t>
  </si>
  <si>
    <t>57194767166;57194772458;57197307282;56394660900;56341727100;57479289800;57478454300;57479013700;6701335294;57200219365;57192233558;56212637200;</t>
  </si>
  <si>
    <t>Physics Letters, Section A: General, Atomic and Solid State Physics</t>
  </si>
  <si>
    <t>https://www.scopus.com/inward/record.uri?eid=2-s2.0-85125856039&amp;doi=10.1016%2fj.physleta.2022.128019&amp;partnerID=40&amp;md5=aa0785219261a8c6cd8f2f907655b122</t>
  </si>
  <si>
    <t>Institución Universitaria Pascual Bravo, Facultad de Ingeniería, Grupo de Investigación e Innovación en Energía GIIEN, Medellín, A.A. 050001, Colombia; Universidad Nacional de Colombia, Facultad de Ciencias, Departamento de Física, Advanced Oxides Group, campus Medellín, Medellín, A.A. 050001, Colombia; Federal University of ABC, Center for Natural and Human Sciences (CCNH), Santo Andre, Sao Paulo, Brazil; Universidad Pedagógica y Tecnológica de Colombia, Escuela de Física, Grupo Física de Materiales, Avenida Central del Norte 39-115, Tunja, A.A. 150003, Colombia; Universidad del Cauca, Departamento de Física, Laboratorio de Bajas Temperaturas, Popayán, A.A. 19000, Colombia</t>
  </si>
  <si>
    <t>Isaza-Zapata, V., Institución Universitaria Pascual Bravo, Facultad de Ingeniería, Grupo de Investigación e Innovación en Energía GIIEN, Medellín, A.A. 050001, Colombia; Maya, C.E., Institución Universitaria Pascual Bravo, Facultad de Ingeniería, Grupo de Investigación e Innovación en Energía GIIEN, Medellín, A.A. 050001, Colombia; Gómez, A., Institución Universitaria Pascual Bravo, Facultad de Ingeniería, Grupo de Investigación e Innovación en Energía GIIEN, Medellín, A.A. 050001, Colombia, Universidad Nacional de Colombia, Facultad de Ciencias, Departamento de Física, Advanced Oxides Group, campus Medellín, Medellín, A.A. 050001, Colombia; Bezzon, V.D.N., Federal University of ABC, Center for Natural and Human Sciences (CCNH), Santo Andre, Sao Paulo, Brazil; Supelano, I., Universidad Pedagógica y Tecnológica de Colombia, Escuela de Física, Grupo Física de Materiales, Avenida Central del Norte 39-115, Tunja, A.A. 150003, Colombia; Saavedra, I.M., Universidad Pedagógica y Tecnológica de Colombia, Escuela de Física, Grupo Física de Materiales, Avenida Central del Norte 39-115, Tunja, A.A. 150003, Colombia; Parra, C.A., Universidad Pedagógica y Tecnológica de Colombia, Escuela de Física, Grupo Física de Materiales, Avenida Central del Norte 39-115, Tunja, A.A. 150003, Colombia; Astudillo, J.A., Universidad del Cauca, Departamento de Física, Laboratorio de Bajas Temperaturas, Popayán, A.A. 19000, Colombia; Bolaños, G., Universidad del Cauca, Departamento de Física, Laboratorio de Bajas Temperaturas, Popayán, A.A. 19000, Colombia; Dionizio, S., Universidad del Cauca, Departamento de Física, Laboratorio de Bajas Temperaturas, Popayán, A.A. 19000, Colombia; Izquierdo, J.L., Institución Universitaria Pascual Bravo, Facultad de Ingeniería, Grupo de Investigación e Innovación en Energía GIIEN, Medellín, A.A. 050001, Colombia, Universidad Nacional de Colombia, Facultad de Ciencias, Departamento de Física, Advanced Oxides Group, campus Medellín, Medellín, A.A. 050001, Colombia; Morán, O., Universidad Nacional de Colombia, Facultad de Ciencias, Departamento de Física, Advanced Oxides Group, campus Medellín, Medellín, A.A. 050001, Colombia</t>
  </si>
  <si>
    <t>Structural, morphological, magnetic, and electrical properties of the challenging Sr1-xBaxMnO3 (x=0, 0.4) manganite are discussed. Polycrystalline Sr1-xBaxMnO3 samples were prepared via the standard solid-state reaction. Conventional X-ray diffraction and synchrotron radiation measurements showed the hexagonal structure (space group P63/mmc) of the samples. The stability of the hexagonal symmetry of Sr0.6Ba0.4MnO3 persisted up to 120 K. This result, along with the fact that the space group P63/mmc is centrosymmetric, discounted the possibility of having a long-range ferroelectric ordering. Pristine SrMnO3 samples exhibited an antiferromagnetic transition at a Néel temperature ∼280 K. In turn, Sr0.6Ba0.4MnO3 showed two transitions at ∼325 K and ∼270 K. Measurements of the electrical polarization versus the electric field showed closed loops, although visually distinct from those of a true ferroelectric material. Hence it was evident that spurious effects caused the polarization curves that resembled ferroelectric loops. Resistivity measurements on Sr0.6Ba0.4MnO3 showed the insulating nature of these samples. © 2022 Elsevier B.V.</t>
  </si>
  <si>
    <t>Antiferromagnetism; Barium compounds; Electric fields; Ferroelectricity; Leakage currents; Perovskite; Polarization; Solid state reactions; Strontium compounds; Synchrotron radiation; Synchrotrons; Effects of leakage; Ferroelectric; Magnetic and electrical properties; Magnetoelectrics; Multiferroics; Polycrystalline; Solid-state reactions; Space Groups; Structural aspects; X-ray synchrotron; Manganites</t>
  </si>
  <si>
    <t>IN201709</t>
  </si>
  <si>
    <t>V. Isaza-Zapata, J.L. Izquierdo, and C.E. Maya acknowledge the financial support from Dirección de Tecnología e Innovación of the Institución Universitaria Pascual Bravo Grant number IN201709 . O.M. acknowledges the financial support of the Universidad Nacional de Colombia - sede Medellin. The authors want to thank Prof. Dr. Jose Luis Garcia for the collaboration with the synchrotron measurements.</t>
  </si>
  <si>
    <t>Sakai, H., Ishiwata, S., Okuyama, D., Nakao, A., Nakao, H., Murakami, Y., Taguchi, Y., Tokura, Y., (2010) Phys. Rev. B, 82; Kozuka, H., Yamada, H., Hishida, T., Ohbayashi, K., Koumoto, K., (2013) J. Mater. Chem. A, 1, p. 3249; Chmaissem, O., Dabrowski, B., Kolesnik, S., Mais, J., Brown, D.E., Kruk, R., Prior, P., Jorgensen, J.D., (2001) Phys. Rev. B, 64; Chamberland, B.L., Sleight, A.W., Weiher, J.F., (1970) J. Solid State Chem., 1, p. 506; Sakai, H., Fujioka, J., Fukuda, T., Okuyama, D., Hashizume, D., Kagawa, F., Nakao, H., Tokura, Y., (2011) Phys. Rev. Lett., 107; Kuroda, K., Ishizawa, N., Mizutani, N., Kato, M., (1981) J. Solid State Chem., 38, p. 297; Battle, P.D., Gibb, T.C., Jones, C.W., (1988) J. Solid State Chem., 74, p. 60; Søndenå, R., Stølen, S., Ravindran, P., Grande, T., (2007) Phys. Rev. B, 75; Belik, A.A., Matsushita, Y., Katsuya, Y., Tanaka, M., Kolodiazhnyi, T., Isobe, M., Takayama-Muromachi, E., (2011) Phys. Rev. B, 84; Maurel, L., Marcano, N., Prokscha, T., Langenberg, E., Blasco, J., Guzmán, R., Suter, A., Algarabel, P.A., (2015) Phys. Rev. B, 92; Kumail Abbas, S., Atiq, S., Riaz, S., Ramay, S.M., Naseem, S., (2017) Mater. Chem. Phys., 200, p. 128; Lee, J.H., Rabe, K.M., (2010) Phys. Rev. Lett., 104; Rawata, R., Choudharya, R.J., Awasthia, A.M., Raghunathana, R., Sagdeob, A., Sinhab, A.K., Chaudharyc, S., Phase, D.M., (2020) J. Magn. Magn. Mater., 497; Rawat, R., Choudhary, R.J., Awasthi, A.M., Sagdeo, A., Sinha, A.K., Raghunathan, R., Sathe, V.G., Phase, D.M., (2019) J. Alloys Compd., 796, p. 237; Rietveld, H.M., (1969) J. Appl. Crystallogr., 2, p. 65; Coelho, A.A., (2018) J. Appl. Crystallogr., 51, p. 210; Kuroda, K., Ishizawa, N., Mizutani, N., Kato, M., (1981) J. Solid State Chem., 38, p. 297; Stinton, G.W., Evans, J.S.O., (2007) J. Appl. Crystallogr., 40, p. 87; Coelho, A.A., (2017) J. Appl. Crystallogr., 50, p. 1323; Pawley, G.S., (1981) J. Appl. Crystallogr., 14, p. 357; Somaily, H., Kolesnik, S., Mais, J., Brown, D., Chapagain, K., Dabrowski, B., Chmaissem, O., (2018) Phys. Rev. Mater., 2; Serrao, C.R., Kundu, A.K., Krupanidhi, S.B., Waghmare, U.V., Rao, C.N.R., (2005) Phys. Rev. B, 72. , 220101(R); Aladine, A.D., Martin, C., Chapon, L.C., Hervieu, M., Knight, K.S., Brunelli, M., Radaelli, P.G., (2007) Phys. Rev. B, 75; Battle, P., Gibb, T., Jones, C., (1988) J. Solid State Chem., 74, p. 60; Aich, P., Meneghini, C., Tortora, L., Siruguri, V., Kaushik, S.D., Fu, D., Ray, S., (2019) J. Mater. Chem. C, 7, p. 3560; Parras, M., González-Jiménez, I.N., Torres-Pardo, A., Sánchez-Pelaez, A.E., Gutiérrez, A., García-Hernández, M., González-Calbet, J.M., Varela, A., Materials Research Society (2014) Mater. Res. Soc. Symp. Proc., 1708; Dong, S., Gao, F., Wang, Z.Q., Liu, J.M., Ren, Z.F., (2007) Appl. Phys. Lett., 90; Raghunathan, R., Sutter, J.P., Ducasse, L., Desplanches, C., Ramasesha, S., (2006) Phys. Rev. B, 73; Rawat, R., Phase, D.M., Choudhary, R.J., (2017) J. Magn. Magn. Mater., 441, p. 398; Willis, B.T.M., Rooksby, H.P., (1954) Proc. Phys. Soc. B, 67, p. 290; Scott, J.F., (2008) J. Phys. Condens. Matter, 20; Dimple, P., Dutta, O.D., Jayakumar, A.K., Tyagi, K.G., Girija Pillaia, C.G.S., Sharma, G., (2010) Nanoscale, 2, p. 1149; Goian, V., Langenberg, E., Marcano, N., Bovtun, V., Maurel, L., Kempa, M., Prokscha, T., Kamba, S., (2017) Phys. Rev. B, 95; Glinchuk, M.D., Eliseev, E.A., Gu, Y., Chen, L.-Q., Gopalan, V., Morozovska, A.N., (2014) Phys. Rev. B, 89; Cheong, S.-W., Mostovoy, M., (2007) Nat. Mater., 6, p. 13; Fennie, C.J., Rabe, K.M., (2006) Phys. Rev. Lett., 97</t>
  </si>
  <si>
    <t>Morán, O.; Universidad Nacional de Colombia, campus Medellín, Colombia; email: omorac@unal.edu.co</t>
  </si>
  <si>
    <t>PYLAA</t>
  </si>
  <si>
    <t>Phys Lett Sect A Gen At Solid State Phys</t>
  </si>
  <si>
    <t>2-s2.0-85125856039</t>
  </si>
  <si>
    <t>Universidad de Santander</t>
  </si>
  <si>
    <t>Araméndiz-Tatis H., Cardona-Ayala C., Espitia-Camacho M., Hernández-Murillo J.R.</t>
  </si>
  <si>
    <t>45560929900;56038004300;35762695900;58001507600;</t>
  </si>
  <si>
    <t>Stigmatic receptivity and hybridization in cowpea beans (Vigna unguiculata L. (Walp.)) [Receptividad estigmática e hibridación artificial en frijol caupí (Vigna unguiculata L. (Walp.))]</t>
  </si>
  <si>
    <t>Revista Colombiana de Ciencias Horticolas</t>
  </si>
  <si>
    <t>e13820</t>
  </si>
  <si>
    <t>10.17584/rcch.2022v16i2.13820</t>
  </si>
  <si>
    <t>https://www.scopus.com/inward/record.uri?eid=2-s2.0-85143790167&amp;doi=10.17584%2frcch.2022v16i2.13820&amp;partnerID=40&amp;md5=2564b80a8325c2a3de0ab9558eba2116</t>
  </si>
  <si>
    <t>Universidad de Córdoba, Monteria, Colombia</t>
  </si>
  <si>
    <t>Araméndiz-Tatis, H., Universidad de Córdoba, Monteria, Colombia; Cardona-Ayala, C., Universidad de Córdoba, Monteria, Colombia; Espitia-Camacho, M., Universidad de Córdoba, Monteria, Colombia; Hernández-Murillo, J.R., Universidad de Córdoba, Monteria, Colombia</t>
  </si>
  <si>
    <t>Classic plant breeding, based on the selection of superior individuals and directed crosses, led to the need-to-know aspects of the floral biology of cowpea beans. The research was carried out at the Universidad de Córdoba, Colombia, through two experiments: in the first, stigmatic receptivity was evaluated as response time to hydrogen peroxide, under a randomized complete block design, with a 3×4 factorial arrangement (three genotypes: Caupicor 50, Missouri and BRS Milenium, and at four hours of the day: 7:00 and 9:00 AM; 3:00 and 5:00 PM) and three replications. In the second, the percentage of viable crosses was evaluated, under a randomized complete block design, with a 2×2 factorial arrangement (two crosses: Missouri × IT86 and Missouri × BRS Milenium, and two methods: 1 (morning) and 2 (afternoon), and four replications. The greatest stigmatic receptivity was recorded in the BRS Milenium and Missouri genotypes with a time of 3.28±0.07 and 2.01±0.12 min at 7:00 and 9:00 AM, while Caupicor 50, time of 1.80±0.09 min at 3:00 PM. The artificial hybridizations carried out in the morning (method 1) registered the highest viable crosses, 78.6% in Missouri × BRS Milenium and 57.1% in Missouri × IT86. Therefore, artificial hybridizations should be done in the morning due to a more favorable environment for pollen grain germination, given the greater stigmatic receptivity. © 2022, Universidad Pedagogica y Tecnologica de Colombia. All rights reserved.</t>
  </si>
  <si>
    <t>anthesis; emasculation; flower stigma; peroxidase; pollination</t>
  </si>
  <si>
    <t>Araméndiz-Tatis, H., Cardona-Ayala, C., Jarma, A., Combatt, E., Jaraba, J., Mercado, T., Espitia-Camacho, M., Hernández, J., (2019) Manejo agronómico del frijol caupí en el Caribe colombiano, , Universidad de Córdoba, Montería, Colombia; Bheemanahalli, R., Sunoj, V.J., Saripalli, G., Prasad, P.V., Balyan, H.S., Gupta, P.K., Grant, N., Jagadish, S.K., Quantifying the impact of heat stress on pollen ger-mination, seed set, and grain filling in spring wheat (2019) Crop Sci, 59 (2), pp. 684-696. , https://doi.org/10.2135/cropsci2018.05.0292; Boukar, O., Fatokun, C.A., Roberts, P.A., Abberton, M., Huynh, B.L., Close, T.J., Boahen, S.K., Ehlers, J.D., Cowpea (2015) Grain legumes: Handbook of plant breeding, 10, pp. 219-250. , https://doi.org/10.1007/978-1-4939-2797-5_7, De Ron, A.M. (ed). Springer. New York, NY; Boukar, O., Togola, A., Chamarthi, S., Belko, N., Ishi-kawa, H., Suzuki, K., Fatokun, C., Cowpea [Vigna unguiculata (L.) Walp.] breeding (2019) Advances in plant breeding strategies: legu-mes, pp. 201-243. , https://doi.org/10.1007/978-3-030-23400-3_6, Al-Khayri, J.M., S.M. Jain, and D.V. Johnson (eds). Springer, Cham, Switzerland; Chen, F., Yuan, W., Shi, X., Ye, Y., Evaluation of pollen viability, stigma receptivity and fertilization success in Lagerstroemia indica L (2013) Afr. J. Biotechnol, 12 (46), pp. 6460-6467. , https://doi.org/10.5897/AJB11.3594; Crispim, J.G., Rêgo, E.R., Rêgo, M.M., Nascimen-to, N.F.F., Barroso, P.A., Stigma receptivity and anther dehiscence in ornamental pepper (2017) Hortic. Bras, 35 (4), pp. 609-612. , https://doi.org/10.1590/S0102-053620170421; Dresselhaus, T., Franklin-Tong, N., Male-female crosstalk during pollen germination, tube growth and guidance, and double fertilization (2013) Mol. Plant, 6 (4), pp. 1018-1036. , https://doi.org/10.1093/mp/sst061; Galen, C., Plowright, R.C., Testing the accuracy of using peroxidase activity to indicate stigma recep-tivity (1987) Can. J. Bot, 65 (1), pp. 107-111. , https://doi.org/10.1139/b87-015; Gill, M., Pollen storage and viability (2014) Int. J. Bot. Res, 4 (5), pp. 1-18; Giorno, F., Wolters-Arts, M., Mariani, C., Rieu, I., Ensuring reproduction at high temperatures: the heat strees response during anther and pollen development (2013) Plants, 2 (3), pp. 489-506. , https://doi.org/10.3390/plants2030489; Gupta, R., Sutradhar, H., Chakrabarty, S.K., Ansari, M.W., Singh, Y., Stigmatic receptivity determines the seed set in Indian mustard, rice and wheat crops (2015) Commun. Integr. Biol, 8 (5), p. e1042630. , https://doi.org/10.1080/19420889.2015.1042630; Jiang, Y., Lahlali, R., Karunakaran, C., Warkentin, T.D., Davis, A.R., Bueckert, R.A., Pollen, ovules, and pollination in pea: Success, failure, and resilience in heat (2019) Plant Cell Environ, 42 (1), pp. 354-372. , https://doi.org/10.1111/pce.13427; Kaushal, N., Bhandari, K., Siddique, K.H., Nayyar, H., Food crops face rising temperatures: an over-view of responses, adaptive mechanisms, and approa-ches to improve heat tolerance (2016) Cogent Food Agric, 2 (1), p. 1134380. , https://doi.org; Khattak, G.S.S., Saeed, I., Muhammad, T., Flowers’ shedding under high temperature in mungbean (Vigna radiata (l.) Wilczek) (2009) Pak. J. Bot, 41 (1), pp. 35-39; Kumar, R.R., Goswami, S., Shamim, M., Mishra, U., Jain, M., Singh, K., Singh, J.P., Praveen, S., Biochemical defense response: characterizing the plasticity of source and sink in spring wheat under terminal heat stress (2017) Front. Plant Sci, 8, p. 1603. , https://doi.org/10.3389/fpls.2017.01603; Li, C., Su, J., Liu, X., Chen, S., He, L., Pistillate flower development and stigma receptivity of Euphor-bia pulcherrima (2014) Agric. Sci. Technol, 15 (10), pp. 1671-1675; Maity, A., Chakarbarty, S.K., Pramanik, P., Gupta, R., Parmar, S.S., Sharma, D.K., Response of stigma receptivity in CMS and male fertile line of Indian mustard (B. juncea) under variable thermal conditions (2019) Int. J. Biometeorol, 63, pp. 143-152. , https://doi.org/10.1007/s00484-018-1645-9; Nameirakpam, B., Khanna, V.K., Studies on crossability and genetic diversity in cowpea (Vigna unguiculata L. Walp.) (2018) Int. J. Environ. Sci. Natural Resour, 13 (1), pp. 8-16. , https://doi.org/10.19080/ijesnr.2018.13.555852; Nunes, E.D., Santos, C.A.F., Medeiros, A.G., Diniz, L.S., Costa, S.R., Hibridação artificial em feijão-caupi (Vigna unguiculata Walp) em diferentes cultivares (2010) Encontro de Genética Do Nordeste: Genética, Biodiversidade e Conservação, p. 18. , Embrapa Semiárido; Sociedade Brasileira de Genética. Jequié, Brazil; Osborn, M.M., Kevan, P.G., Lane, M.A., Pollination biology of Opuntia polyacantha and Opuntia phaecan-tha (Cactaceae) in Southern Colorado (1988) Pl. Syst. Evol, 159, pp. 85-94. , https://doi.org/10.1007/bf00937427; Palencia, G., Mercado, T., Combatt, E., (2006) Estudio agroclimático del departamento de Córdoba, , Univer-sidad de Cordoba, Montería, Colombia; Parrotta, L., Faleri, C., Cresti, M., Cai, G., Heat stress affects the cytoskeleton and the delivery of sucrose synthase in tobacco pollen tubes (2016) Planta, 243 (1), pp. 43-63. , https://doi.org/10.1007/s00425-015-2394-1; Priya, M., Sharma, L., Kaur, R., Bindumadhava, H., Nair, R.M., Siddique, K.H.M., Nayyar, H., GABA (γ-aminobutyric acid), as a thermo-protectant, to improve the reproductive function of heat-stressed mungbean plants (2019) Sci. Rep, 9 (1), p. 7788. , https://doi.org/10.1038/s41598-019-44163-w; Poonia, A., Phogat, D.S., Phougat, D., Cowpea bre-eding: status and perspectives (2018) Advances in environment and agriculture biotechnology, pp. 50-56. , Nigam, R., J. Singh, W. Hasan, and N. Kapoor (eds). Weser Books, Zittau, Germany; Rangkham, T., Khanna, V.K., Studies on hybridi-zation and genetic diversity in cowpea (Vigna unguicu-lata L) (2018) Open Acc. J. Oncol. Med, 2 (1), pp. 125-134. , https://doi.org; Sage, T.L., Bagha, S., Lundsgaard-Nielsen, V., Branch, H.A., Sultmanis, S., Sage, R.F., The effect of high temperature stress on male and female reproduction in plants (2015) Field Crops Res, 182, pp. 30-42. , https://doi.org/10.1016/j.fcr.2015.06.011; Silva, L.A.C., Pagliarini, M.S., Santos, S.A., Valle, C.B., Stigma receptivity, mode of reproduction, and mating system in Mesosetum chaseae Luces (Poaceae), a native grass of the Brazilian Pantanal (2013) Genet. Mol. Res, 12 (4), pp. 5038-5045. , https://doi.org; Sita, K., Sehgal, A., Kumar, J., Kumar, S., Singh, S., Siddique, K.H.M., Nayyar, H., Identification of hi-gh-temperature tolerant lentil (Lens culinaris Me-dik.) genotypes through leaf and pollen traits (2017) Front. Plant Sci, 8, p. 744. , https://doi.org/10.3389/fpls.2017.00744; Snider, J.L., Oosterhuis, D.M., Skulman, B.W., Kawakami, E.M., Heat stress‐induced limitations to reproductive success in Gossypium hirsutum (2009) Physiol. Plant, 137 (2), pp. 125-138. , https://doi. org; Sorkheh, K., Azimkhani, R., Nastaran, M., Chaleshtori, M., Halasz, J., Ercisli, S., Koubouris, C., Interactiva effects of temperature and genotype on almond (Pru-nus dulcis L.) pollen germination and tube length (2018) Sci. Hortic, 227, pp. 162-168. , https://doi.org; Thimmaiah, M.R., Choudhary, S.B., Sharma, H.K., Kumar, A.A., Bhandari, H., Mitra, J., Karmakar, P.G., Late-acting self-incompatibility: a barrier to self-fertilization in sunnhemp (Crotalaria juncea L.) (2018) Euphytica, 214 (2), p. 19. , https://doi.org/10.1007/s10681-017-2096-9; Thuzar, M., Puteh, A.B., Abdullah, N.A.P., Lassim, M.B., Jusoff, K., The effects of temperature stress on the quality and yield of soya bean [(Glycine max L.) Merrill.] (2010) J. Agric. Sci, 2 (1), pp. 172-179. , https://doi.org/10.5539/jas.v2n1p172; Ting, P., Tu, Y., Lin, C., Chang, H., Chen, L., Chan, L., Reproductive fitness of outcrossed hybrids between transgenic broccoli (Brassica oleracea) carrying the ipt transgene and conventional varieties of kale, broccoli and cauliflower (2014) Pak. J. Bot, 46 (4), pp. 1437-1444; Tondonba, S.P., Khanna, V.K., Tejaswini, V.U., Crossability studies and genetic diversity analysis in blackgram (Vigna mungo L. Hepper) using molecular markers (2018) Agrotechnol, 7 (2), p. 179. , https://doi.org/10.4172/2168-9881.1000179; Vargas-Araújo, J., Andrade-Rodríguez, M., Villegas-Torres, O., Castillo-Gutiérrez, A., Colinas-León, M., Avitia-Gar-cía, E., Alia-Tejacal, I., Características reproduc-tivas de nueve variedades de nochebuena (Euphorbia pulcherrima Willd. Ex Klotzch) (2017) Rev. Mex. Cienc. Agríc, 8 (2), pp. 295-306. , https://doi.org; Yu, B., Liu, L., Wang, T., Deficiency of very long chain alkanes biosynthesis causes humidity‐sensitive male sterility via affecting pollen adhesion and hy-dration in rice (2019) Plant Cell Environ, 42 (12), pp. 3340-3354. , https://doi.org/10.1111/pce.13637; Zary, K.W., Miller Junior, J.C., Comparison of two methods of hand-crossing Vigna unguiculata (L.) Walp (1982) HortScience, 17 (2), pp. 246-248</t>
  </si>
  <si>
    <t>Araméndiz-Tatis, H.; Universidad de CórdobaColombia; email: haramendiz@correo.unicordoba.edu.co</t>
  </si>
  <si>
    <t>Rev. Colomb. Cienc. Hortic.</t>
  </si>
  <si>
    <t>2-s2.0-85143790167</t>
  </si>
  <si>
    <t>Marcillo-Paguay C.A., Benavides-Cardona C.A., Ramos-Zambrano H.S., Romero J.V.</t>
  </si>
  <si>
    <t>57219421653;57223337187;57212003341;57221542766;</t>
  </si>
  <si>
    <t>Agronomic and economic responses of the potato (Solanum tuberosum subsp. andigena) to differential fertilization in four environments in Nariño, Colombia [Respuesta agronómica y económica de papa (Solanum tuberosum subsp. andigena) a la fertilización diferencial en cuatro ambientes de Nariño, Colombia]</t>
  </si>
  <si>
    <t>e13559</t>
  </si>
  <si>
    <t>10.17584/rcch.2022v16i2.13559</t>
  </si>
  <si>
    <t>https://www.scopus.com/inward/record.uri?eid=2-s2.0-85143777359&amp;doi=10.17584%2frcch.2022v16i2.13559&amp;partnerID=40&amp;md5=52b4cb61bbae084339405075e408dfdf</t>
  </si>
  <si>
    <t>Corporación Colombiana de Investigación Agropecuaria (Agrosavia), Pasto, Colombia; Universidad de Nariño, Facultad de Ciencias Agrícolas, Pasto, Colombia</t>
  </si>
  <si>
    <t>Marcillo-Paguay, C.A., Corporación Colombiana de Investigación Agropecuaria (Agrosavia), Pasto, Colombia; Benavides-Cardona, C.A., Universidad de Nariño, Facultad de Ciencias Agrícolas, Pasto, Colombia; Ramos-Zambrano, H.S., Corporación Colombiana de Investigación Agropecuaria (Agrosavia), Pasto, Colombia; Romero, J.V., Corporación Colombiana de Investigación Agropecuaria (Agrosavia), Pasto, Colombia</t>
  </si>
  <si>
    <t>Due to the importance of potato cultivation in Nariño, Colombia and the high participation of fertilizer in production costs (25%), as well as the great variability of soils in the region, we evaluated three fertilizer levels for six cultivars of Solanum tuberosum subsp. andigena in four homogeneous production environments. We recorded physiology and yield of the potatoes in experimental plots in a randomized complete block design with three replications in each environment. Analysis of variance, comparison of means for yield compo-nents, and discriminant analysis of principal components were performed for all variables. For the economic analysis we used the partial budget net benefit methodology. The environments generated differential responses in the cultivars. Between fertilization levels there were significant differences; however, there was no interaction between levels and environments. The cultivars ‘ICA Única’, ‘Pastusa Suprema’, ‘Parda Bilingüe’, and ‘Roja Huila’, showed the highest yields with the application of 262, 600, and 538 kg ha-1 of N, P2O5, and K2O (level L3). ‘Diacol Capiro’ and ‘Superior’ did not show yield differences between levels. Economically, the alternative that would generate the highest return on investment was fertilization with level L2 (N 180, P2O5 400, K2O 358 kg ha-1) in ‘Diacol Capiro’, ‘Superior’, and ‘ICA Única’ cultivars. For ‘Roja Huila’ and ‘Parda Bilingüe’ the highest return was level L1 (N 150, P2O5 200, K2O 100 kg ha-1). In the case of ‘Pastusa Suprema’ the Marginal Rate of Return was 18.5% with the L2 fertilization level. © 2022, Universidad Pedagogica y Tecnologica de Colombia. All rights reserved.</t>
  </si>
  <si>
    <t>Andisols; costs; growth index; nutrient availability; plant nutrition; yield</t>
  </si>
  <si>
    <t>Corporación colombiana de investigación agropecuaria; Universidad de Nariño</t>
  </si>
  <si>
    <t>The authors express their gratitude for allowing the development of the present research in the project “Mejoramiento Tecnológico y Productivo del Sistema Papa en el Departamento de Nariño” financed by the General Royalties System (SGR by its Spanish acronym) with code BPIN N°2014000100022, executed by the Gobernación de Nariño and operated by the Corporación Colombiana de Investigación Agropecu-aria – AGROSAVIA and the Universidad de Nariño -UDENAR.</t>
  </si>
  <si>
    <t>The authors express their gratitude for allowing the development of the present research in the project “Mejoramiento Tecnológico y Productivo del Sistema Papa en el Departamento de Nariño” financed by the General Royalties System (SGR by its Spanish acro-nym) with code BPIN N°2014000100022, executed by the Gobernación de Nariño and operated by the Corporación Colombiana de Investigación Agropecu-aria – AGROSAVIA and the Universidad de Nariño-UDENAR.</t>
  </si>
  <si>
    <t>Avendaño Gómez, E., González Santos, W., Evaluación financiera del sistema de producción de papa (Solanum tuberosum L.) en Oicatá, Boya-cá (2015) Cienc. Agric, 12 (2), pp. 31-41. , https://doi.org/10.19053/01228420.4351; (2020) Tasa de captación semanal y mensual, , https://www.ban-rep.gov.co/es/estadisticas/tasas-captacion-semana-les-y-mensuales, consulted: October, 2021; (2021) Informe de política monetaria, , 01. Bogota; Benavides Cardona, C.A., Marcillo Paguay, C.A., Martí-nez Pachón, E., Calvache Muñoz, D.A., Yandar Era-zo, S.N., Gómez Gil, L.F., Insuasty Córdoba, S.C., Caracterización geográfica y tecnologías locales de producción asociadas al sistema productivo papa en el departamento de Nariño (2021) Caracterización de los sistemas productivos de papa en Nariño 2015-2020: conocimiento para la toma de decisiones, pp. 53-91. , Martínez Pachón, E., S.C. Insuasty Córdoba, C.A. Benavides Cardona, L.F. Gómez Gil, and P. Uribe Mejía (Comp). Corporación Colombiana de Investigación Agropecuaria (Agrosavia), Mosquera, Colombia; Borrego, F., Fernández, J.M., López, A., Parga, V.M., Mu-rillo, M., Carvajal, A., Análisis de crecimiento en siete variedades de papa (Solanum tuberosum L.) (2000) Agron. Mesoam, 11 (1), pp. 145-149. , https://doi.org/10.15517/AM.V11I1.17364; Bravo Realpe, I., Campo, E., Arboleda, C.A., Alófa-nos causa de indisponibilidad de aniones en suelos del departamento del Cauca – Colombia (2016) Suelos Ecuat, 46 (1), pp. 13-30. , (/2); (1988) Formulación de recomendaciones a par-tir de datos agronómicos: Un manual metodológico de evaluación económica, , CIMMYT, Centro Internacional de Mejoramiento de Maiz y Trigo. CIMMYT, Mexico, DF; (2021) Boletín Regional Nariño, 5. , Bogota; Colombia, ICA, (1992) Fertilización en diversos cultivos: quinta aproxima-ción, , Instituto Colombiano Agropecuario. Bogota; (1996) NTC 341: industria ali-mentaria, papa para el consumo, clasificación, , Colombia ICONTEC, Instituto Colombiano de Normas Técnicas y Certificación. Bogota; (2020) Plan departamen-tal de extensión agropecuaria del departamento de Na-riño 2020-2023, , San Juan de Pasto, Colombia; (2021) Cadena de la papa. Indicadores e instru-mentos, , https://sioc.minagricultura.gov.co/Papa/Documentos/2021-06-30%20Cifras%20Sectoriales.pdf, Junio 2021 consulted: October, 2021; (2020) Rentabilidad esperada del capital propio (Ke). Cómo evaluar la eficiencia del mercadeo con el costo de capital, , https://investigaciones.corfi-colombiana.com/documents/38211/0/20201123b%20-%20Rentabilidad%20del%20capital%20propio.pdf/e4211ef8-b113-9634-6870-e426a081be1b, consulted: October, 2021; Esprella, R., Flores, P., García, J., (2012) Guía práctica para producir nuestra semilla de papa de calidad: Guía para agricultores/ agricultoras y técnicos, , Centro Interna-cional de la Papa, La Paz; Fernandes, A.M., Soratto, R.P., Phosphorus fertilizer rate for fresh market potato cultivars grown in tropical soil with low phosphorus availability (2016) Am. J. Potato Res, 93, pp. 404-414. , https://doi.org/10.1007/s12230-016-9515-7; Ferreira, E.B., Cavalcanti, P.P., Nogueira, D.A., (2013) ExpDes: Experimental designs package, , https://cran.r-project.org/web/packages/Ex-pDes/index.html, R package 1.1.2 consulted: October, 2021; García Realpe, B., Obando Guerrero, L., Fertili-zación del cultivo de papa en sistemas de producción en finca, departamento de Nariño (1993) Rev. Cienc. Agric, 12 (1), pp. 21-31; García, B., Pantoja, C., Fertilización del cultivo de la papa en el departamento de Nariño (1998) Fertilización de cultivos en cli-ma frío, pp. 7-27. , Guerrero, R. (ed). 2nd ed. Monómeros Colombo Venezolanos, Bogota; Henriquez, C., Bornemisza, E., Bertsch, F., Fijación de potasio en vertisoles, inceptisoles, andisoles y ul-tisoles de Costa Rica (1994) Agron. Costarr, 18 (2), pp. 133-140; Hunt, R., (1978) Plant growth analysis, , Edward Arnold Pu-blishers, London; Jerez Mompie, E.I., Martín Martín, R., Morales Gueva-ra, D., Díaz Hernández, Y., Análisis clásico del crecimiento en tres variedades de papa (Solanum tube-rosum L.) (2016) Cult. Trop, 37 (2), pp. 79-87. , https://doi.org/10.13140/RG.2.1.4860.0568; Jombart, T., Adegenet: a R package for the multi-variate analysis of genetic markers (2008) Bioinformatics, 24 (11), pp. 1403-1405. , https://doi.org/10.1093/bioinformatics/btn129; Koch, M., Naumann, M., Pawelzik, E., Gransee, A., Thiel, H., The importance of nutrient management for potato production Part I: Plant nutrition and yield (2020) Potato Res, 63, pp. 97-119. , https://doi.org/10.1007/s11540-019-09431-2; Marcillo Paguay, C.A., Benavides Cardona, C.A., Gua-tusmal Gelpud, C., Yandar Erazo, S.N., Romero, J.V., Zona papera nariñense: una mirada a los am-bientes productivos (2021), Corporación Colombiana de Investigación Agropecuaria (Agrosavia), Mosquera, Colombia. https://doi.org; Mohamed, E.M.E., Watthier, M., Zanuncio, J.C., Santos, R.H.S., Dry matter accumulation and potato productivity with green manure (2017) IDE-SIA, 35 (1), pp. 79-86. , https://doi.org/10.4067/S0718-34292017005000016; Monsalve, O.I., Espitia, E.M., Bolaños-Benavi-des, M.M, Split fertilization as a strategy to reduce the amount of fertilizer applied in potato crops form Colombia. Case of study (2020) Rev. Colomb. Cienc. Hor-tic, 14 (2), pp. 240-248. , https://doi.org/10.17584/rcch.2020v14i2.10523; Mora-Aguilar, R., Ortiz-Cereceres, J., Rivera-Peña, A., Mendoza-Castillo, M.C., Colinas-León, M.T., Lozo-ya-Saldaña, H., Índices de eficiencia de genotipos de papa establecidos en condiciones de secano (2006) Rev. Chapingo Ser. Hortic, 12 (1), pp. 85-94. , https://doi. org; Morales-Hernández, J.L., Rebollar-Rebollar, S., Hernán-dez-Martínez, J., González-Raz, F.J., Determi-nación del óptimo técnico y económico en el cultivo de papa de temporal. Paradigma económico (2015) Revista de Economía Regional y Sectorial, 7 (1), pp. 87-106; Moreno, J., Variedades de papa cultivadas en Colom-bia (2000) Manejo integrado del cultivo de la papa, pp. 51-70. , Herrera Heredia, C.A., L.H. Fie-rro Guzmán, and J.D. Moreno Mendoza (Comps). Colombiana de Investigación Agropecuaria (Agrosavia), Mosquera, Colombia; Ñústez, C., (2011) Variedades colombianas de papa, , Facultad de Agronomía, Universidad Nacional de Colombia, Bogota; Pandey, R., Paul, V., Das, M., Meena, M., Meena, R., Plant growth analysis (2017) Manual of ICAR sponsored training programme on “Physiological Te-chniques to Analyze the Impact of Climate Change on Crop Plants”, pp. 103-107. , https://doi.org/10.13140/RG.2.2.21657.72808, Paul, R. Pandey, and M. Pal (eds). IARI, New Delhi; Pinochet, D., Clunes, J., Gauna, C., Contreras, A., Reasoned fertilization of potato in response to nitrogen supply in Andisols (2018) J. Soil Sci. Plant Nutr, 18 (3), pp. 790-803. , https://doi.org/10.4067/S0718-95162018005002301; (2021) R: A language and environment for statistical computing, , R Foundation for Statistical Com-puting, Vienna; Reyes Hernández, M., (2001) Análisis económico de experi-mentos agrícolas con presupuestos parciales: Re-ense-ñando el uso de este enfoque, , Boletín 1. Universidad de San Carlos de Guatemala Centro de Información Agrosocioeconómica, Guatemala; Rios Quinchoa, J.Y., Jaramillo Villegas, S.C., González Santamaría, L.H., Cotes Torres, J.M., Determina-ción del efecto de diferentes niveles de fertilización en papa (Solanum tuberosum ssp. Andigena) DIACOL Capiro en un suelo con propiedades Ándicas de Santa Rosa de Osos, Colombia (2010) Rev. Fac. Nac. Agron. Medellin, 63 (1), pp. 5225-5237; Sánchez Espinosa, J.A., Rubiano Sanabria, Y., Pro-cesos específicos de formación en Andisoles, Alfisoles y Ultisoles en Colombia (2015) Revista EIA Esc. Ing. Antioq, 12 (2), pp. 85-97; Santos Castellanos, C., Segura Abril, M., Ñústez López, C.E., Relación fuente – demanda de cuatro va-riedades de papa (Solanum tuberosum L.) en el munici-pio de Zipaquirá (Cundinamarca, Colombia) (2010) Rev. Fac. Nac. Agron. Medellin, 63 (1), pp. 5253-5266; Tinjacá Ruiz, S., Rodríguez Molano, L.E., (2015) Catálo-go de papas nativas de Nariño, Colombia, , Facultad de Ciencias Agrarias, Universidad Nacional de Colombia, Bogota; Wassihun, A.N., Koye, T.D., Koye, A.D., Analysis of technical efficiency of potato (Solanum tuberosum L.) production in Chilga District, Amhara National Regional State, Ethiopia (2019) J. Econ. Struct, 8 (1), p. 34. , https://doi.org/10.1186/s40008-019-0166-y; Zelelew, D.Z., Lal, S., Kidane, T.T., Ghebreslassie, B.M., Effect of potassium levels on growth and productivity of potato varieties (2016) Am. J. Plant Sci, 7 (12), pp. 1629-1638. , https://doi.org/10.4236/ajps.2016.712154</t>
  </si>
  <si>
    <t>Romero, J.V.; Corporación Colombiana de Investigación Agropecuaria (Agrosavia)Colombia; email: jvromero@agrosavia.co</t>
  </si>
  <si>
    <t>2-s2.0-85143777359</t>
  </si>
  <si>
    <t>Ligarreto-Moreno G.A., Garzón-Gutiérrez L.N., Pimentel-Ladino C.C.</t>
  </si>
  <si>
    <t>55752511500;58000871300;58001729800;</t>
  </si>
  <si>
    <t>Seeking long-lasting resistance to black node disease in common beans: Development of interspecific populations [Buscando una resistencia duradera a la enfermedad del nudo negro en frijol común: desarrollo de poblaciones interespecíficas]</t>
  </si>
  <si>
    <t>e14402</t>
  </si>
  <si>
    <t>10.17584/rcch.2022v16i2.14402</t>
  </si>
  <si>
    <t>https://www.scopus.com/inward/record.uri?eid=2-s2.0-85143761697&amp;doi=10.17584%2frcch.2022v16i2.14402&amp;partnerID=40&amp;md5=ba9a4f447ca32fc2c6500a68ae4fd777</t>
  </si>
  <si>
    <t>Universidad Nacional de Colombia, Facultad de Ciencias Agrarias, Bogota, Colombia; Universidad Industrial de Santander, Escuela de Biología, Bucaramanga, Colombia; Investigación adaptativa, Yumbo, Colombia</t>
  </si>
  <si>
    <t>Ligarreto-Moreno, G.A., Universidad Nacional de Colombia, Facultad de Ciencias Agrarias, Bogota, Colombia; Garzón-Gutiérrez, L.N., Universidad Industrial de Santander, Escuela de Biología, Bucaramanga, Colombia; Pimentel-Ladino, C.C., Investigación adaptativa, Yumbo, Colombia</t>
  </si>
  <si>
    <t>There are no known common bean materials that are resistant to the black node disease (Boeremia noackiana [Allesch.] Aveskamp, Gruyter &amp; Verkley). However, some studies have reported common bean genotypes that exhibit an intermediate reaction to this disease, but these materials lack stability in this trait. The secondary gene pool for beans (Phaseolus polyanthus Grenm.) has been screened since 1995 for this resistance. This population shows a varied response to this disease but lacks the characteristics of commercial grains. The study was carried out during 2017-2018 in Bogota under greenhouse conditions with interspecific crosses of commercial bean varieties (Phaseolus vulgaris L.) in Colombia and resistant genotypes from the ASC population of P. polyanthus, CIAT origin. To carry out the crosses, the hybridization technique with emasculation was followed, both in direct and reciprocal crosses. Low-efficiency viability in interspecific crosses from cytoplasmic genetic compatibility problems has been reported in different studies. However, in this study, the efficiency of the percentage of viable interspecific crosses increased significantly in the F1 populations and backcrosses, reaching 67%. Interspecific populations of Bacata × ASC 160 and Bacata × ASC 162 were formed with the seeds, which constituted the starting point for a breeding program for resistance to the black node disease in common beans using susceptible commercial cultivars. © 2022, Universidad Pedagogica y Tecnologica de Colombia. All rights reserved.</t>
  </si>
  <si>
    <t>ascochyta; Boeremia noackiana (Allesch.) Aveskamp, Gruyter &amp; Verkley; genetic diversity; Phaseolus; plant breeding; varietal resistance</t>
  </si>
  <si>
    <t>Kementerian Sains, Teknologi dan Inovasi, MOSTI: 110271351710 046-2016</t>
  </si>
  <si>
    <t>The authors would like to thank the Ministry of Science, Technology and Innovation, Grant number 110271351710 046-2016, for its financial support.</t>
  </si>
  <si>
    <t>Barrios, E., López, C., Kohashi, J., Acosta, A., Miranda, S., Mayek, N., Advances in México on bean breeding for tolerance to high temperature and drou-ght (2011) Rev. Fitot. Mex, 34 (4), pp. 247-255. , https://doi.org/10.35196/rfm.2011.4.247; Beebe, S., Corrales, M., Breeding for disease resis-tance (1991) Common beans: Research for crop improve-ment, pp. 561-610. , Schoonhoven A. and O. Voyset (eds). CAB International, Wallingford, UK; Berke, T.G., Hybrid seed production in Capsicum (2000) J. New Seeds, 1, pp. 49-67. , https://doi.org/10.1300/J153v01n03_02; Blair, M.W., Garzón, L.N., Jara, C., Castellanos, G., Mos-quera, G., Ligarreto, G.A., Oliveros, O.A., Villarraga, P., Resistance to and diversity of asco-chyta blight in common beans (2011) Bean Improv. Coop, 54, pp. 118-119; Camarena, F., Baudoin, J.P., Obtention des pre-miers hybrides interspecifiques entre Phaseolus vulgaris et Phaseolus polyanthus avec le cytoplasme de cette der-niere forme (1987) Bull. Rech. Agron. Gembloux, 22, pp. 43-55; Chávez, J.R., Proximidad filética, valoración taxonó-mica y sistemática de tres especies del género Phaseo-lus: P. vulgaris, P. coccineus y P. polyanthus (2017) Caxamarca, 16, pp. 137-150; Cheng, S.S., Bassett, M.J., Quesenberry, K.H., Cytogenetic analysis of interspecific hybrids between common bean and scarlet runner bean (1981) Crop Sci, 21, pp. 75-79. , https://doi.org/10.2135/cropsci1981.0011183X002100010021x; Garzón, L., Blair, M., Jara, C., Castellanos, G., Mosquera, G., Cajiao, C., Beebe, S., Villarraga, P., Disease response of inter-specific common bean (Phaseolus vulgaris) × scarlet runner bean (P. coccineus) breeding lines for Ascochyta blight resistance (2011) Bean Improv. Coop, 54, pp. 122-123; Geerts, P., Toussaint, A., Mergeai, G., Baudoin, J.P., Study of the early abortion in reciprocal crosses between Phaseolus vulgaris L. and Phaseolus polyanthus Greenm (2002) Biotechnol. Agron. Soc. Environ, 6, pp. 109-119; Geerts, P., Toussaint, A., Mergeai, G., Baudoin, J.P., Phaseolus immature embryo rescue technolo-gy (2011) Methods Mol. Biol, 710, pp. 117-129. , https://doi. org; Gepts, P., (1981) Hibridaciones interespecíficas para el me-joramiento de Phaseolus vulgaris L, , CIAT, Santiago de Cali, Colombia; Hadley, H.H., Openshaw, S.J., (1980) Hybridization of crop plants, , American Society of Agronomy-Crop Science Society of America, South Segoe Road, Ma-dison, WI; Hanson, M., Corrales, M., Kornegay, J., Herita-bility and sources of Ascochyta blight resistance in common bean (1993) Plant Dis, 77, pp. 711-714. , https://doi.org/10.1094/PD-77-0711; Ibrahim, A.M., Coyne, D.P., Genetics of stigma shape, cotyledon position and flower color in reciprocal crosses between Phaseolus vulgaris L. and Phaseo-lus coccineus (Lam). and implications in breeding (1975) J. Am. Soc. Hort. Sci, 100, pp. 622-626. , https://doi. org; Manshardt, R.M., Waines, J.G., lsozyme variation and the origin old domesticated tepary beans (Phaseo-fus acutífolíus Gray) (1983) Bean Improv. Coop, 26, pp. 18-19; Miranda, Y., Rincón, L., Garzón, L.N., Diagram-matic scales for the estimation of black node disease severity in common bean (2021) Cienc. Rural, 51 (3), pp. 1-5. , https://doi.org/10.1590/0103-8478cr20200347; Montejo, L.M., McClean, P.E., Serena, J.S., Markell, S., Osorno, J.M., Bean rust resistance in the Gua-temalan climbing bean germplasm collection (2022) Legume Sci, p. e149. , https://doi.org/10.1002/leg3.149; Muñoz, L.C., Hidalgo, R., Problemas en la hibri-dación interespecífica del género Phaseolus: Aborto del embrión. Ensayo preliminar de cultivo de embriones (1986) Acta Agron, 36, pp. 17-27; Nguema Ndoutoumou, P., Toussaint, A., Baudo, J.P., Embryo abortion and histological features in the interspecific cross between Phaseolus vulgaris L. and P. coccineus L (2007) Plant Cell Tissue Organ Cult, 88 (3), pp. 329-332. , https://doi.org/10.1007/s11240-006-9198-8; Pimentel, C.C., Garzón, L.N., Ligarreto, G.A., Mé-todos de manejo de la enfermedad mancha anillada en fríjol (2021) La mancha anillada en el cultivo de fríjol, pp. 78-92. , Garzón, L.N., G.A. Ligarreto, L.M. Miranda, Y. Miranda, C.C. Pimentel, and J.E. Sepúl-veda (eds). Publicaciones UIS, Bucaramanga; Powers, S.E., Thavarajah, D., Checking agricultu-re’s pulse: Field pea (Pisum Sativum L.), sustainability, and phosphorus use efficiency (2019) Front. Plant Sci, 10, p. 1489. , https://doi.org/10.3389/fpls.2019.01489; Schoonhoven, A.V., Pastor-Corrales, M.A., (1987) Stan-dard system for the evaluation of bean germplasm, , CIAT, Santiago de Cali, Colombia; Silue, S., Fofana, I.J., Diarrassouba, N., Toussaint, A., Mergeai, G., Baudoin, J.P., Les hybridations in-terspecifiques dans le genre Phaseolus: selection des genotypes compatibles et caracterisation des hybrides interspecifiques (2014) Agron. Afr, 26, pp. 193-204; Singh, S.P., Terán, H., Molina, A., Gutiérrez, J.A., Genetics of seed yield and its components in common bean (Phaseolus vulgaris L.) of Andean ori-gin (1991) Plant Breed, 107, pp. 254-257. , https://doi.or-g/10.1111/j.1439-0523.1991.tb01215.x; Toussaint, A., Geerts, P., Clement, F., Mergeai, G., Baudoin, J.P, Early abortion in reciprocal crosses between Phaseolus vulgaris and Phaseolus polyanthus, and in vitro culture of immature embryos from these spe-cies (2004) Belg. J. Bot, 137 (1), pp. 47-54</t>
  </si>
  <si>
    <t>Ligarreto-Moreno, G.A.; Universidad Nacional de Colombia, Colombia; email: galigarretom@unal.edu.co</t>
  </si>
  <si>
    <t>2-s2.0-85143761697</t>
  </si>
  <si>
    <t>Hozman-Mora J.</t>
  </si>
  <si>
    <t>57934590200;</t>
  </si>
  <si>
    <t>“The Useful Female Presence”: Political Participation of Literate Women from the Department of Oriente, State of Boyacá during the Second Half of the 19th Century [“A útil presença feminina”: participação política de mulheres letradas do Departamento de Oriente, Estado de Boyacá durante a segunda metade do século XIX] [“La útil presencia femenil”: participación política de mujeres letradas del Departamento de Oriente, Estado de Boyacá durante la segunda mitad del siglo XIX]</t>
  </si>
  <si>
    <t>https://www.scopus.com/inward/record.uri?eid=2-s2.0-85140235294&amp;doi=10.15446%2fhistorelo.v14n30.93867&amp;partnerID=40&amp;md5=d6d6f629b32638d6bc2d97e21df32392</t>
  </si>
  <si>
    <t>Hozman-Mora, J., Universidad Pedagógica y Tecnológica de Colombia, Colombia</t>
  </si>
  <si>
    <t>Between 1857 and 1886, the southeastern part of the State of Boyacá was officially nominated as the Department of Oriente, where a provincial elite notablato (group of notable owners holding public offices) operated politically, which was comprised of, in addition to lawyers and rábulas (a sort of pettifogger), literate women who participated in the politics of their community; a female activity that was questioned by conservative sectors of the territory. This argumentative exercise sought to bring this female participation to light and showed the autonomous political exercise of these literate women, who were not subject to the male will. This was possible through the tracing and interpretation of personal correspondence as the main source, addressing the political activity of some women in that territory, approaching their dynamics, languages and relationships. It was concluded that, in addition to the household role, some of them acted as political assistants, producers and diffusers of liberal ideas. In addition, it was evident that, by using their literate capacity, they mediated between the notables and the people; they were vehement defenders of their party, helping to strengthen useful alliances to build networks of power and to strengthen the republican model in the context of small districts. © 2022 Universidad Nacional de Colombia. All rights reserved.</t>
  </si>
  <si>
    <t>literate women; networks of power; politics; republicanism; State of Boyacá</t>
  </si>
  <si>
    <t>(1860), Tenza-Colombia. 1878. Sin clasificar; Miami-Estados Unidos, , Archivo Documental Privado (ADP), Colección Fernando Gómez Rivas, sin clasificar; Colección Filemón Mora Mora, , Archivo Documental Privado (ADP), Tenza-Colombia. Matilde Mora Bohórquez, Noé Salamanca, sin clasificar; Garagoa-Colombia, , Archivo Parroquial (AP), Libros Matrimonios; Tenza-Colombia, , Archivo Parroquial (AP), Libros Matrimonios; Balmori, Diana, Woss, Stuart F., Wortman, Miles, (1990) Las alianzas de familia y la formación del país en América Latina, , Ciudad de México: Fondo de Cultura Económica; Bermúdez, Suzy, Familias y hogares en Colombia durante el siglo XIX y comienzos del XX (1995) Las Mujeres en la Historia de Colombia, pp. 240-291. , En tomo II, coordinado por Camilo Calderón Schrader, Bogotá: Norma; Chartier, Roger, Los libros, ¿hacen las revoluciones? (2003) Espacio público, crítica y desacralización en el siglo XVIII. Los orígenes culturales de la Revolución Francesa, pp. 81-104. , En Barcelona: Gedisa; Darnton, Robert, (2003) El Coloquio de los lectores, , Ciudad de México: Fondo de Cultura Económica; Deas, Malcolm, (2006) Del poder y la gramática y otros ensayos sobre historia, política y literatura colombianas, , Bogotá: Taurus; Hobsbawm, Eric, (2014) La era del capital 1848-1875, , Buenos Aires: Crítica; Loaiza Cano, Gilberto, (2011) Sociabilidad, religión y política en la definición de la nación. Colombia 1820-1886, , Bogotá: Universidad Externado de Colombia; Loaiza Cano, Gilberto, (2014) Poder letrado. Ensayos sobre historia intelectual de Colombia, siglos XIX y XX, , Cali: Universidad del Valle; Lux, Martha, (2014) Mujeres patriotas y realistas entre dos órdenes. Discursos, estrategias y tácticas en la guerra, la política y el comercio (Nueva Granada, 1790-1830), , Bogotá: Ediciones Uniandes; Martínez Carreño, Aída, Mujeres y familia en el siglo XIX. 1819-1899 (1995) La Mujer en la Historia de Colombia, pp. 292-321. , En tomo II, coordinado por Camilo Calderón Schrader, Bogotá: Norma; Murray, Pamela S., (2009) Mujeres, género y política en la joven República colombiana: una mirada desde la correspondencia personal del General Tomás; Cipriano de Mosquera, 1859-1862 Historia Crítica, 37, pp. 54-71. , https://doi.org/10.7440/histcrit37.2009.04; Murray, Pamela S., Mujeres y género en la revolución liberal-mosquerista, 1859-1863 (2019) En Cultura política y subalternidad en América Latina, pp. 149-170. , editado por Lida Esperanza Riscanevo. Tunja: Editorial UPTC; de Corsi, Otálora, María, Rosa, (1984) José Eusebio Otálora, , Tunja: Publicaciones de la Academia Boyacense de Historia, Editorial ABC; Arellano, Luis Ervin, El letrado parroquial (2017) El siglo diecinueve colombiano, pp. 99-124. , Prado En editado por Isidro Venegas, Bogotá: Plural; Pratt, Mary Louise, Las mujeres y el imaginario nacional en el siglo XIX (1993) Revista de Crítica Literaria Latinoamericana, 19 (38), pp. 51-62. , https://doi.org/10.2307/4530672; Garagoa-Colombia, , Tomos 1860-1880; Guateque-Colombia, , Protocolo Notarial (PN), Tomos 1858-1880; , Tenza-Colombia. Tomos 1875-1880; Reyes, Catalina, González, Lina, La vida doméstica en las ciudades republicanas (1996) Historia de la vida cotidiana en Colombia, pp. 205-240. , En editado por Beatriz Castro Carvajal, Bogotá: Norma; Roa Medina, Rafael, (1978) Raíces Boyacenses 1635-1978, Reseña histórica del Valle de Tenza, , Bogotá: Arte y Artistas; Rosanvallón, Pierre, (2003) Por una historia conceptual de lo político, , Buenos Aires: Fondo de Cultura Económica; Samper Agudelo, José María, El Triunvirato Parroquial (1866) En Museo de Cuadros de Costumbres, pp. 130-137. , Bogotá: Biblioteca del Mosaico. Impreso por Foción Mantilla; Sanders, James, (2017) Republicanos indóciles. Política popular, raza y clase en Colombia, siglo XIX, , Bogotá: Plural; Uribe Urán, Víctor, (2008) Vidas honorables. Abogados, familia y política en Colombia 1780-1850, , Medellín: Banco de la República, Fondo Editorial Universidad EAFIT</t>
  </si>
  <si>
    <t>Hozman-Mora, J.; Universidad Pedagógica y Tecnológica de ColombiaColombia; email: julian.hozman@uptc.edu.co</t>
  </si>
  <si>
    <t>2-s2.0-85140235294</t>
  </si>
  <si>
    <t>Prada-Solano M.</t>
  </si>
  <si>
    <t>57934745600;</t>
  </si>
  <si>
    <t>No Place for the Locals. Aproximation to the Profesional Soccer Player Job in Bucaramanga, 1949-1951 [Não há espaço para os moradores. Abordagem da profissão de jogador de futebol profissional em Bucaramanga, 1949-1951] [Sin espacio para los locales. Aproximación al oficio de futbolista profesional en Bucaramanga, 1949-1951]</t>
  </si>
  <si>
    <t>10.15446/historelo.v14n30.93985</t>
  </si>
  <si>
    <t>https://www.scopus.com/inward/record.uri?eid=2-s2.0-85140207419&amp;doi=10.15446%2fhistorelo.v14n30.93985&amp;partnerID=40&amp;md5=2ff0d8e7dceb2d290c7d1637eeee73a0</t>
  </si>
  <si>
    <t>Prada-Solano, M., Universidad Industrial de Santander, Colombia</t>
  </si>
  <si>
    <t>The author compares the characteristics of the first soccer local professional players with the ones that remained amateur players from 1949 to 1951 in the city of Bucaramanga, (Colombia). The research approach builds upon the context of the city, its inhabitants, and local media. Furthermore, the author draws on a theoretical framework that considers sport as part of a civilizing process as well as a tool to understand several aspects of social life. The main primary sources are local newspapers, analyzed through critical lenses and based on local and international historiography. Finally, the author concludes that due to both the arrival of foreign experienced players and several limitations in the context of Bucaramanga, the conditions and characteristics of local professional players remained as the ones of amateur players during the years of study. © 2022 Universidad Nacional de Colombia. All rights reserved.</t>
  </si>
  <si>
    <t>Atlético Bucaramanga Limited Company; Bucaramanga; labor market; professional players; soccer history</t>
  </si>
  <si>
    <t>Acevedo-Tarazona, Álvaro, Villabona-Ardila, Juliana, La prensa como fuente documental para el análisis y la investigación social (2020) Historia y Memoria, 20, pp. 347-373. , https://doi.org/10.19053/20275137.n20.2020.8266; Acosta-Lozano, Sergio Andrés, (2018) La imagen urbana de Bucaramanga en la prensa local, 1938-1948. Políticas públicas de acceso al deporte, los servicios públicos básicos, la vivienda, la educación y la salud, , Tesis de maestría, Universidad Industrial de Santander; Alabarces, Pablo, (2018) Historia mínima del fútbol en América Latina, , Ciudad de México: El Colegio de México; Almuiña-Fernández, Celso Jesús, Prensa y opinión pública: la prensa como fuente histórica para el estudio de la masonería (1989) En Masonería, política y sociedad, 1, pp. 245-280. , https://dialnet.unirioja.es/servlet/articulo?codigo=961382, volumen coordinado por José Antonio Ferrer Benimeli, Zaragoza: Centro de Estudios Históricos de la Masonería Española; Álvarez-Barco, Alfonso, (1991) Libro de oro del deporte santandereano. Los del recuerdo: hechos y hazañas en el deporte santandereano, , Bucaramanga: Nuevo Horizonte; Álvarez-Barco, Alfonso, (2000) Vida, pasión, muerte y resurrección del Atlético Bucaramanga, , Bucaramanga: Funprocep; Avellaneda-Nieves, Maribel, (2004) Empresas y empresarios en Bucaramanga, 1930-1950, , Tesis de maestría, Universidad Industrial de Santander; Bolívar, Ingrid, (2016) El oficio de los futbolistas colombianos en los años 60 y 70: recreación de las regiones, juegos de masculinidad y vida sentimental, , Tesis doctoral, University of Wisconsin-Madison; Dávila-Ladrón de Guevara, Andrés, La nación bajo un uniforme: la selección Colombia (2001) En Belleza, fútbol y religiosidad popular, coordinado por Ingrid Bolívar, Germán Ferro Medina y Andrés Dávila Ladrón de Guevara, pp. 85-115. , Bogotá: Ministerio de Cultura; Deber, El, (1941) La actitud de los deportistas del Valle es censurada, , 20 de diciembre; Deber, El, (1941) Los precios de la entrada al estadio, , 18 de diciembre; Elias, Norbert, Dunning, Eric, (1992) Deporte y ocio en el proceso de la civilización, , Ciudad de México: Fondo de Cultura Económica; Fortich-Lozano, Iliana Marcela, Historia de la seguridad social en Colombia (2012) Revista Cultural Unilibre, 2, pp. 16-20. , https://revistas.unilibre.edu.co/index.php/revista_cultural/article/view/4007; Franzosi, Roberto, La prensa como fuente de datos socio-históricos: cuestiones sobre la metodología de recolección de datos a partir de periódicos (2017) Revista de Estudios Marítimos y Sociales, 11, pp. 254-286. , https://estudiosmaritimossociales.org/rems/rems11/Franzosi.pdf; Frydenberg, Julio, (1999) El nacimiento del fútbol profesional argentino: resultado inesperado de una huelga de jugadores, , https://www.efdeportes.com/efd17/futpro.htm, Buenos Aires: Efdeportes; Galán-Gómez, Mario, (1947) Geografía económica de Colombia: Santander, tomo 8, , Bucaramanga: Contraloría General de la República; Galvis-Ramírez, Alberto, (1998) Crónicas de goles y autogoles, , Bogotá: Planeta; Galvis-Ramírez, Alberto, (2008) 100 años de fútbol en Colombia, , Bogotá: Planeta; Herrera-Correa, Jaime, (2008) La pasión del fútbol en Colombia, , Medellín: Hombre Nuevo; Jaramillo-Racines, Rafael, El surgimiento del fútbol en Colombia (2011) Ponencia presentada en el X Congreso Nacional de Sociología, , 2 4 de noviembre, Cali, Colombia; Medina-Cano, Federico, El fútbol y la vivencia festiva de la nacionalidad (2009) Razón y Palabra, 69, pp. 1-19. , https://www.redalyc.org/pdf/1995/199520330004.pdf; Montanari, Enrico, ¡Hoy no hay fútbol! La huelga de futbolistas de 1948 vista desde la prensa peronista (2018) Revista Historia Autónoma, 12, pp. 191-204. , https://revistas.uam.es/historiaautonoma/article/view/9445; Prada-Solano, Raúl Mauricio, (2020) El fútbol una fuente de trabajo. Acercamiento al empleo de futbolista profesional en la ciudad de Bucaramanga, 1948-19562, , http://tangara.uis.edu.co/biblioweb/pags/cat/popup/pa_detalle_matbib.jsp?parametros=189685|%20|1|51, Tesis de pregrado, Universidad Industrial de Santander; Roldán, Quitián, Leonardo, David, Deporte y modernidad: caso Colombia. Del deporte en sociedad a la deportivización de la sociedad (2013) Revista Colombiana de Sociología, 36 (1), pp. 19-42. , https://revistas.unal.edu.co/index.php/recs/article/view/39663/41640; Reggiani, Andrés Horacio, (2019) Historia mínima de la eugenesia en América Latina, , Ciudad de México: El Colegio de México; Reyna, Franco Damián, La configuración de un mercado laboral deportivo en la profesionalización del fútbol. Córdoba (Argentina), 1930-1940 (2017) História Unisinos, 21 (1), pp. 136-148. , http://revistas.unisinos.br/index.php/historia/article/view/htu.2017.211.11; Rojas-Bellón, Tatiana María Alejandra, (2017) Identificación y caracterización de problemáticas o vicisitudes presentes en la inmobiliaria Estebas Ríos S.A. dentro del ejercicio de administración de inmuebles vinculados al régimen de propiedad horizontal por la presunta omisión de información por parte del cliente propietario a la hora de suscribir contrato de mandato, , http://tangara.uis.edu.co/biblioweb/pags/cat/popup/pa_detalle_matbib.jsp?parametros=182753|%20|7|11, Tesis de pregrado. Universidad Industrial de Santander; Roldán, Diego, La profesionalización del fútbol y el nacimiento del espectáculo deportivo Rosario 130-1939 (2011) Ponencia presentada en el IX Congreso Argentino de Educación Física y Ciencias, , 13-17 de junio, La Plata, Argentina; Rueda-Gómez, Néstor José, (2003) Bucaramanga: paradojas de un ordenamiento urbano, , Bucaramanga: Iris Impresores; Ruiz-Patiño, Jorge Humberto, (2010) La política del sport: élites y deporte en la construcción de la nación colombiana, 1903-1925, , Bogotá: La Carreta, Pontificia Universidad Javeriana; Sequeda-Garrido, Yezid David, (2007) El Club Atlético Bucaramanga. Historia social y deportiva, (1948-1978), , http://tangara.uis.edu.co/biblioweb/pags/cat/popup/pa_detalle_matbib.jsp?parametros=142150|%20|2|3, Tesis de pregrado, Universidad Industrial de Santander; (1941) En reñido encuentro Valle y Santander empataron ayer, , 24 de diciembre; (1948) La Liga de fútbol comienza sus labores con entusiasmo, , 28 de enero; (1948) Habrá profesionalismo, , 1 de septiembre; (1949) Pielroja ingresaría a la división mayor del fútbol dentro de poco, , 24 de febrero; (1949) Total apoyo dan los clubes al Atlético Bucaramanga S.A, , 26 de febrero; (1949) El encuentro de foot-ball profesional entre B/ manga y Manizales se definió por empate a dos goles, , 16 de marzo; (1949) Los Millonarios y el Atlético Bucaramanga empataron a cuatro tantos, el domingo, , 14 de abril; (1949) Paz y salvos, , 4 de mayo; (1949) Industrialización del deporte, , 14 de mayo; (1949) Desde la tribuna, , 25 de mayo; (1949) Salen hoy desde Guayaquil jugadores para el Atlético Bucaramanga, , 3 de septiembre; (1949) Se inicia la categoría especial, , 8 de octubre; (1949) Estadio sin borrachos, , 8 de octubre; Liberal, Vanguardia, (1949) Movimiento de hinchas, , 14 de octubre; (1949) Los precios de los artículos de primera necesidad, , 13 de noviembre; (1949) El Independiente Santander envió su cuota de afiliación, , 23 de noviembre; (1949) Catorce italianos integrarán el cuadro Independiente Santander, , 7 de diciembre; (1949) Listo el equipo en Roma para salir, , 7 de diciembre; (1949) El recaudo por concepto del partido jugado por Millonarios y Atlético Bucaramanga, , 15 de diciembre; (1950) Salió representante del Independiente Santander, , 4 de enero; (1950) Las nuevas importaciones, , 4 de enero; (1950) Directiva del Atlético, , 6 de enero; (1950) No hay interés por parte del Atlético en liquidación del Indep. Santander, , 25 de febrero; (1950) Fútbol y técnica, , 21 de marzo; (1950) Merecido homenaje se hizo al Atlético Bucaramanga, , 15 de abril; (1950) El golero Pinto en peligro de retirarse, , 16 de mayo; (1951) Se liquidó el A. Bucaramanga, , 23 de junio; (1951) Para evitar liquidación del Atlético se está trabajando, , 23 de junio; (1951) Ninguna pista sobre el paradero del que robó al Atlético B, , 25 de julio; (1951) El Atlético busca jugar siempre como visitante, , 14 de agosto; (1951) Nombrados los liquidadores del Atlético Bucaramanga, , 5 de octubre; (1951) En las islas de Sotavento, , 27 de noviembre; (2012) Murió el exalcalde de Bucaramanga Rafael Pérez Martínez, , 16 de enero</t>
  </si>
  <si>
    <t>Prada-Solano, M.; Universidad Industrial de SantanderColombia; email: Mauriciohistoria19@gmail.com</t>
  </si>
  <si>
    <t>2-s2.0-85140207419</t>
  </si>
  <si>
    <t>Díez Gutiérrez E.J.</t>
  </si>
  <si>
    <t>56225465900;</t>
  </si>
  <si>
    <t>Historical memory at school [La memoria histórica en la escuela*]</t>
  </si>
  <si>
    <t>Hispania - Revista Espanola de Historia</t>
  </si>
  <si>
    <t>10.3989/hispania.2022.016</t>
  </si>
  <si>
    <t>https://www.scopus.com/inward/record.uri?eid=2-s2.0-85139748000&amp;doi=10.3989%2fhispania.2022.016&amp;partnerID=40&amp;md5=554cedb1b5fd75baee99ea182c7b90fe</t>
  </si>
  <si>
    <t>Universidad de León, Spain</t>
  </si>
  <si>
    <t>Díez Gutiérrez, E.J., Universidad de León, Spain</t>
  </si>
  <si>
    <t>This article presents the results of research into the knowledge that young people who have completed secondary education currently have about Francoist repression and the struggle against Franco and the recovery of historical memory. The research was carried out using mixed methodology, triangulating qualitative instruments (five discussion groups with 22 students) and quantitative instruments (questionnaires applied to 368 young people) applied to a sample of convenience and intentionality. The results show that these topics are not always addressed, and where they are covered, they tend to be treated superficially, or presented from a supposedly “neutral and sanitized” perspective, with omissions or deliberate concealment. In conclusion, as most of the students surveyed stated, historical memory needs to be recovered as the basis on which to construct democratic citizenship and improve the quality of democracy. Without knowledge there can be no historical memory, and truth, justice and reparation cannot be achieved. © 2022 CSIC.</t>
  </si>
  <si>
    <t>anti-Francoist resistance; education; Francoist repression; historical memory; history of Spain; school curriculum</t>
  </si>
  <si>
    <t>Abad Buil, Irene, Los maquis: Otra categoría de análisis de la represión franquista (2015) Las Brigadas Internacionales: Nuevas perspectivas en la historia de la Guerra Civil y del exilio, pp. 383-393. , en Tarragona, Universitat Rovira i Virgili; Aguilar Fernández, Paloma, (2008) Políticas de la memoria y memorias de la política, , Madrid, Alianza Editorial; Andrés Gómez, Valentín, (2019) Del mito a la historia. Guerrilleros, maquis y huidos en los montes de Cantabria, , Cantabria, Universidad de Cantabria; Anxo Fernández Manso, Eladio, Memoría histórica na aula (2020) Revista galega de educación, 76, pp. 26-29. , (Santiago de Compostela); Ardoiz Jiménez, Leyre, Fernández Garijo, Inés, Ijalba Pérez, Pablo, Por una Memoria Histórica Europea: el caso de las exhumaciones tempranas en España del año 1979 (2020) Revista de Estudios Europeos, 75, pp. 365-377. , (Madrid); Arroyo, Charo, Sin Memoria no hay Historia y sin Historia no hay verdad (2020) Libre pensamiento, 102, pp. 46-51. , (Nicaragua); Barranquero Texeira, Encarnación, La memoria de la represión franquista sobre las mujeres en los websites (2017) Historia y Comunicación Social, 22 (2), pp. 363-380. , http://dx.doi.org/10.5209/HICS.57849, (Madrid); Barreiro Mariño, María, La memoria histórica en España y su situación en el ámbito educativo: la necesidad de crear un museo memorial en España (2017) Revista Historia Autónoma, 11, pp. 261-278. , (Madrid); Cadena-Iñiguez, Pedro, Rendón-Medel, Roberto, Aguilar-Ávila, Jorge, Salinas-Cruz, Eileen, De la Cruz-Morales, Francisca del Rosario y Sangerman-Jarquín, Dora M.ª, «Métodos cuantitativos, métodos cualitativos o su combinación en la investigación: un acercamiento en las ciencias sociales (2017) Revista Mexicana de Ciencias Agrícolas, 8 (7), pp. 1603-1617. , (México); Calzado, Antonio, (2015) La Valldigna. Un món en conflicte (1931-1979), , Valencia, La Xara; Cano Romero, Jaime, Navarro-Medina, Ernesto, La Historia como formadora de ciudadanía: concepciones de estudiantes de Bachillerato de un centro de Sevilla (2019) Investigación en la Escuela, 99, pp. 60-74. , http://dx.doi.org/10.12795/IE.2019.i99.05, (Sevilla); Cantero de Julián, Juan Ignacio, de la Casa, Herranz, María, José, Historización de la memoria: Metodologías y conceptos para la inclusión de la memoria en los estudios historiográficos (2018) Comunicación y Espectáculo: Actas del XV Congreso de la Asociación de Historiadores de la Comunicación, pp. 1005-1016. , y en Porto, Universidade do Porto; Chaves Palacios, Julián, Consecuencias del franquismo en la España democrática: legislación, exhumaciones de fosas y memoria (2019) Historia Contemporánea, 2 (60), pp. 509-538. , (Madrid); Cook, Thomas, Reichardt, Charles, (1986) Métodos cualitativos y cuantitativos en investigación evaluativa, , Madrid, Morata; Cuesta, Raimundo, Genealogía y cambio conceptual. Educación, historia y memoria (2014) Archivos Analíticos de Políticas Educativas, 22 (23), pp. 1-30. , (Almería); De La Cuesta Arzamendi, Juan Luis, Odriozola-Gurrutxaga, Miren, Marco normativo de la memoria histórica en España: legislación estatal y autonómica (2018) Revista electrónica de Ciencia Penal y Criminología, 20 (8), pp. 1-38. , (Bilbao); Díez Gutiérrez, Enrique Javier, (2020) La asignatura pendiente, , Madrid, Plaza y Valdés; Erice Sebares, Francisco, (2009) Guerras de la memoria y fantasmas del pasado. Uso y abusos de la memoria colectiva, , Oviedo, Eikasia; Etxeberria, Francisco, Solé, Queralt, Fosas comunes de la Guerra Civil en el Siglo XXI: antecedentes, interdisciplinariedad y legislación (2019) Historia Contemporánea, 2 (60), pp. 401-438. , (Madrid); González, Mari Carmen, Memoria histórica y democrática con perspectiva de género (2019) PH: Boletín del Instituto Andaluz del Patrimonio Histórico, 27 (96), pp. 218-218. , Ferrer (Sevilla); Fuertes Muñoz, Carlos, La dictadura franquista en los manuales escolares recientes: una revisión crítica (2018) Revista Historia Autónoma, 12, pp. 279-297. , https://doi.org/10.15366/rha2018.12.015, (Madrid); Fuertes Muñoz, Carlos, Ibáñez Domingo, Mélanie, La represión franquista en los manuales escolares: el problemático tratamiento de un tema histórico conflictivo (2019) Didáctica de las Ciencias Experimentales y Sociales, 37, pp. 3-18. , (Sevilla); Galiana i Cano, Vicent, La memoria democrática en las aulas de secundaria y bachillerato: balance de una experiencia didáctica (2018) Didáctica de las Ciencias Experimentales y Sociales, 34, pp. 3-18. , (Valencia); García de las Heras González, Mariano, La impunidad de la dictadura franquista: notas sobre la represión y la memoria histórica en la España democrática (2019) Reflexión Política, 21 (43), pp. 12-17. , (Barcelona); Gutiérrez, Pablo, Los alumnos pueden salir de la ESO sin haber dado nunca la dictadura franquista (2019) El Diario de la Educación, , https://cutt.ly/IrQJjcq, disponible en; Hernández Sánchez, Fernando, Memoria e Historia del Presente: La asignatura en que España no progresa adecuadamente (2016) Nuestra Historia: revista de Historia de la FIM, 2, pp. 227-233. , (Madrid); Hernández Sánchez, Fernando, Investigar, divulgar, enseñar: obstáculos y recursos para el estudio de la Historia reciente (2020) Historia y Memoria, 21, pp. 199-232. , (Tunja-Boyacá-Colombia); Maestre, Antonio, Franquismo, S.A, (2019), Madrid, Akal; Mancha Castro, José Carlos, El franquismo en el libro de texto. Un análisis crítico de tres manuales escolares para 4.ºde ESO en Andalucía (2019) Investigación en la Escuela, 98, pp. 1-15. , (Sevilla); Marina, Marcos, De democracias, dictaduras, guerras, repúblicas y monarquías: la historia reciente española en los libros de texto (2015) Ayer y hoy. Debates, historiografía y didáctica de la historia, pp. 52-55. , en Juan Carlos Colomer, Javiere Esteve y Mélanie Ibáñez (coords), Valencia, PUV; Martínez Sánchez, Sonia, ¿Canes mudos? Los obispos españoles ante la represión franquista durante la Guerra Civil española (2015) Historia y política: Ideas, procesos y movimientos sociales, 33, pp. 241-273. , (Madrid); Maxera, Miren, Álvarez Blanco, Luis, Los grupos de discusión como instrumento de valoración de la cultura científica de la ciudadanía. Propuesta de diseño de un grupo de discusión (2019) Congreso Ibero-americano em Investigaçao Qualitativa CIAIQ2019, 1, pp. 1075-1080. , (Lisboa); Miguel-Revilla, Diego, Sánchez-Agustí, María, Conciencia histórica y memoria colectiva: marcos de análisis para la educación histórica (2018) Revista de Estudios Sociales, 65, pp. 113-125. , (Madrid); (2019) Datos y cifras curso escolar 2019/2020, , Ministerio de Educación y Formación Profesional, Madrid, MEC; Miras, Julia, Inferencia estadística sobre poblaciones finitas con muestras intencionales (2006) Estadística española, 48 (162), pp. 295-332. , (Zamora); Moreno Gómez, Francisco, (2014) La victoria sangrienta 1939-1945. Un estudio de la gran represión franquista, para el Memorial Democrático de España, , Madrid, Alpuerto; Muñoz Encinar, Luis, De la exhumación de cuerpos al conocimiento histórico. Estudio de la represión franquista a partir del caso extremeño (2019) Historia Contemporánea, 260, pp. 477-508. , (Madrid); Padua, Julen, (2018) Técnicas de investigación aplicadas a las ciencias sociales, , México, Fondo de Cultura Económica; Páramo Bernal, Pilar, (2018) La Investigación en Ciencias Sociales: Técnicas de recolección de la información, , Bogotá, Universidad Piloto de Colombia; Prada Rodríguez, Julio, Franquismo y represión económica. Balance historiográfico y propuestas de investigación (2017) Historia del Presente, 30, pp. 9-20. , (Madrid); Ranz Alonso, Eduardo, La represión franquista contra la mujer (2019) FEMERIS: Revista Multidisciplinar de Estudios de Género, 43, pp. 53-70. , (Madrid); Reguant-Álvarez, Mercedes, Torrado-Fonseca, Mercè, El método Delphi (2016) REIRE, Revista d’Innovació i Recerca en Educació, 9 (1), pp. 87-102. , (Barcelona); Reyes Mate, Manuel, (2008) Justicia de las víctimas. Terrorismo, memoria, reconciliación, , Barcelona, Anthropos; Rina Simón, César, La memoria franquista en el espacio urbano: cuestiones metodológicas e historiográficas para las comisiones locales de memoria histórica (2019) PH: Boletín del Instituto Andaluz del Patrimonio Histórico, 27 (96), pp. 193-196. , (Sevilla); Robinson, William, The logical structure of analytic induction (1951) American Sociological Review, 16, pp. 812-818. , (Nueva York); Rodrigo, Javier, La Guerra Civil: “Memoria”, “Olvido”, “Recuperación” e “Instrumentación” (2006) HISPANIA NOVA. Revista de Historia Contemporánea, 6. , https://cutt.ly/brw8OLu, (Madrid), disponible en; Rodrigo, Javier, (2008) Hasta la raíz. Violencia durante la Guerra Civil y la dictadura franquista, , Madrid, Alianza; Sánchez Moreno, Manuel, Las políticas de memoria democrática en España: entre la impunidad y las obligaciones internacionales (2020) Cuadernos de Gobierno y Administración Pública, 7 (1), pp. 41-52. , (Madrid); Tostado, Luis Miguel, Resistencia antifranquista en Andalucía: La épica de una causa perdida (2019) Andalucía en la Historia, 64, pp. 30-33. , Sánchez (Sevilla); Solá García, Antonio, El pasado es de todos. Neoliberalismo y normalización de la memoria en las post-dictaduras de España y Argentina (2019) 1616: Anuario de Literatura Comparada, 9, pp. 67-84. , (Salamanca); Ulloa Martínez, Jorge, Mardones Barrera, Rodolfo, Tendencias paradigmáticas y técnicas conversacionales en investigación cualitativa en ciencias sociales (2017) Perspectivas de la Comunicación, 101, pp. 213-235. , (Temuco, Chile); Valls, Rafael, La Guerra Civil española y la dictadura franquista: las dificultades del tratamiento escolar de un tema potencialmente conflictivo (2007) Enseñanza de las Ciencias Sociales, 6, pp. 61-73. , (Barcelona); Valls, Rafael, La difficile storia recente e il suo studio a scuola: il caso della Spagna (2010) Mundus. Rivista di didattica della storia, 5-6, pp. 73-82. , (Palermo-Firenze); Valls, Rafael, Parra, David, Fuertes, Carlos, Los temas históricos conflictivos y su abordaje escolar: un ejemplo español (2017) Clío &amp; Asociados, 25, pp. 8-21. , (Santa Fe, Argentina); Vanyó Vicedo, Raquel, Niños robados: deberes pendientes para España en el acceso a la verdad, la justicia y la reparación (2019) Cuadernos Electrónicos de Filosofía del Derecho, 39, pp. 190-205. , (Valencia); Velasco Mesa, Custodio, La memoria histórica y su dimensión política, social y académica (2019) PH: Boletín del Instituto Andaluz del Patrimonio Histórico, 27 (96), pp. 231-234. , (Sevilla); Yusta, Mercedes, Hombres armados y mujeres invisibles. Género y sexualidad en la guerrilla antifranquista 1936-1952 (2018) Ayer: Revista de Historia Contemporánea, 11, pp. 285-310. , 02 (Albacete)</t>
  </si>
  <si>
    <t>Díez Gutiérrez, E.J.; Universidad de LeónSpain; email: enrique.diez@unileon.es</t>
  </si>
  <si>
    <t>CSIC Consejo Superior de Investigaciones Cientificas</t>
  </si>
  <si>
    <t>Hisp. Rev. Esp. Hist.</t>
  </si>
  <si>
    <t>2-s2.0-85139748000</t>
  </si>
  <si>
    <t>Agronomia Colombiana</t>
  </si>
  <si>
    <t>Agron. Colomb.</t>
  </si>
  <si>
    <t>González-Gamboa I., de los Ángeles González-Ruiz Y., Herrera-Martínez Y.</t>
  </si>
  <si>
    <t>57208255867;57873866300;35751436200;</t>
  </si>
  <si>
    <t>First report of Ramphocorixa rontundocephala as a Red swamp crayfish (Procambarus clarkii) epibiont in Colombia [Primer reporte de Ramphocorixa rontundocephala como epibionte de cangrejo rojo de río (Procambarus clarkii) en Colombia]</t>
  </si>
  <si>
    <t>https://www.scopus.com/inward/record.uri?eid=2-s2.0-85136111578&amp;doi=10.7818%2fECOS.2280&amp;partnerID=40&amp;md5=a32123e9826b2351a987cb28b42306cb</t>
  </si>
  <si>
    <t>Grupo de Investigación Manejo Integrado de Ecosistemas y Biodiversidad – XIUÂ, Escuela de Biología, Universidad Pedagógica y Tecnológica de Colombia, Avenida Central del Norte 39-115, Boyacá, Tunja, C.P. 150003, Colombia; Maestría en Desarrollo Rural, Facultad de Ciencias Agropecuarias, Universidad Pedagógica y Tecnológica de Colombia, Avenida Central del Norte n° 39-115, Boyacá, Tunja, C.P. 150003, Colombia</t>
  </si>
  <si>
    <t>González-Gamboa, I., Grupo de Investigación Manejo Integrado de Ecosistemas y Biodiversidad – XIUÂ, Escuela de Biología, Universidad Pedagógica y Tecnológica de Colombia, Avenida Central del Norte 39-115, Boyacá, Tunja, C.P. 150003, Colombia; de los Ángeles González-Ruiz, Y., Grupo de Investigación Manejo Integrado de Ecosistemas y Biodiversidad – XIUÂ, Escuela de Biología, Universidad Pedagógica y Tecnológica de Colombia, Avenida Central del Norte 39-115, Boyacá, Tunja, C.P. 150003, Colombia, Maestría en Desarrollo Rural, Facultad de Ciencias Agropecuarias, Universidad Pedagógica y Tecnológica de Colombia, Avenida Central del Norte n° 39-115, Boyacá, Tunja, C.P. 150003, Colombia; Herrera-Martínez, Y., Grupo de Investigación Manejo Integrado de Ecosistemas y Biodiversidad – XIUÂ, Escuela de Biología, Universidad Pedagógica y Tecnológica de Colombia, Avenida Central del Norte 39-115, Boyacá, Tunja, C.P. 150003, Colombia</t>
  </si>
  <si>
    <t>The aim of this study was to describe an epibiont whose eggs were found on red swamp crayfish (Procambarus clarkii), the egg density and the physicochemical characteristics of the water body where it was found. For this, individuals of P. clarkii were captured in Lake Güitoque (Colombia), biometric measurements were taken, the number of epibionts adhered to the carapace were counted. In addition, samples of benthos were taken to the taxonomic determinations of the adults of the hemipterans present in the lake. As a result, the epibiont species was found to be Ramphocorixa rotundocephala of the Corixidae family. On average, the corixids deposited 1007 eggs scattered throughout the body of the red swamp crayfish. The cephalothorax had the highest number of adherent organisms, approximately 70.5% of the total, while the rest was distributed in the abdomen, the telson and the uropods. Crayfish less than 3 cm in length did not have epibionts. This is the first report not only of the presence of epibiont hemipterans on P. clarkii in Colombia and, apparently, in South America; but also, of R. rotundocephala as an epibiont of P. clarkii. This shows that the genus Ramphocorixa is capable of ovipositing on the cuticle of the red crayfish. Research suggests that R. rotundocephala could expand its range in Colombia using the red crayfish as a dispersal vehicle. © 2022 Los Autores.</t>
  </si>
  <si>
    <t>Abbott, J.F., An Unusual Symbiotic Relation between a Water Bug and a Crayfish (1912) The American Naturalist, 46, pp. 553-556; Abdallah, E.S.H., Mahmoud, M.M., Abdel-Rahim, I. R., Trichosporon jirovecii infection of red swamp crayfish (Procambarus clarkii) (2018) Journal of Fish Diseases, 41 (11), pp. 1719-1732; Alba-Tercedor, J., Pardo, I., Prat, N., Pujante, A., Protocolos de Muestreo y Análisis para Invertebrados Bentónicos (2005) Metodología para el establecimiento del Estado Ecológico según la Directiva Marco del Agua en la confederación hidrográfica del Ebro, pp. 131-175. , En: de Jesús de la Fuente, A.M. (eds). Ministerio del Medio ambiente. Madrid, España; Álvarez-León, R., Gutiérrez-Bonilla, F., Situación de los invertebrados acuáticos introducidos y transplantados en Colombia antecedentes, efectos y perspectivas (2007) Revista de la Academia Colombiana de ciencias exactas, físicas y Naturales, 31 (121), pp. 557-574; Arias-Pineda, J., Rodríguez, W., First record of the invasive species Procambarus (Scapulicambarus) clarkii (Girard 1852) (Crustacea, Decapoda, Cambaridae) from the Colombian Eastern Cordillera (2012) Boletín la Sociedad Entomológica Aragonesa, (51), pp. 313-315; Arias-Pineda, J.Y., Pedroza-Martínez, D., Presencia del cangrejo rojo Procambarus clarkii (Girard, 1852) en la sabana de Bogotá, Colombia (2018) Boletín la Sociedad Entomológica Aragonesa, (62), pp. 283-286; Campos, M.R., Procambarus (Scapulicambarus) clarkii (Girard, 1852), (Crustacea: Decapoda: Cambaridae). Una langostilla no nativa en Colombia (2005) Revista de la Academia Colombiana de Ciencias Exactas, Físicas y Naturales, 29 (111), pp. 295-302; Céspedes, V., (2019) Importance of invasive species and ectoparasites in Corixidae communities in south-west Spain, , Tesis de Doctorado, Universidad de Sevilla, Sevilla, España; Díaz-Paniagua, C., Céspedes, V., Andreu, A. C., Lozano-Terol, M., Keller, C., Egg masses on the move: corixid oviposition on terrapin shells (2019) Aquatic Insects, 40 (1), pp. 19-29; Diéguez-Uribeondo, J., Söderhäll, K., Procambarus clarkii Girard as a vector for the crayfish plague fungus, Aphanomyces astaci Schikora (1993) Aquaculture Research, 24 (6), pp. 761-765; Fernando, C.H., The colonization of small freshwater habitats by aquatic insects. 2. Hemiptera (The water bugs) (1959) Ceylon Journal of Science, 2, pp. 5-32; Flórez-Brand, P.E., Espinosa-Beltrán, J.O., Presencia y dispersión del cangrejo rojo americano (Procambarus clarkii Girard, 1852) (Decapoda: Cambaridae) en el departamento del Valle del Cauca, Colombia (2011) Biota Colombiana, 12 (2), pp. 57-62; Griffith, M. E., The environment, life history and structure of the water boatmen Ramphocorixa acuminata (Uhler) (Hemiptera Corixidae) (1945) The University of Kansas science bulletin, 30, pp. 241-365; Herrera-Martínez, Y., Paggi, J.C., Garcia, C.B., Cascading effect of exotic fish fry on plankton community in a tropical Andean high mountain lake: a mesocosm experiment (2017) Journal of Limnology, 76 (2), pp. 397-408; Huner, J.V., Barr, J.E., (1991) Red swamp crawfish: Biology and Exploitation, , Louisiana Sea Grant College Program. Baton Rouge, Louisiana, Estados Unidos; Hungerford, H. G., Life History of a Boatman (1917) Journal of the New York Entomological Society, 25 (2), pp. 112-122; Hungerford, H.B., A new Ramphocorixa from Haiti (Hemiptera-Corixidae) (1927) American Museum Novitates, p. 278; Hungerford, H.B., The Corixidae of the Western Hemisphere (Hemiptera) (1948) The University of Kansas Science Bulletin, 32, pp. 5-827; Kadlec, R. H., Cuvellier, C., Stober, T., Performance of the Columbia, Missouri, treatment wetland (2010) Ecological Engineering, 36 (5), pp. 672-684; Lee, C., Kim, J.H., Choi, S.-K., Jeon, H.J., Lee, S.H., Kim, B.K., Kim, Y.K., Detection of infectious white spot syndrome virus in red claw crayfish (Cherax quadricarinatus) and red swamp crayfish (Procambarus clarkii) imported into Korea (2021) Aquaculture, 544, p. 737117; Longshaw, M., Stebbing, P., (2016) Biology and ecology of crayfish, , Taylor and Francis Group. CRC press., Boca Raton, FL, Estados Unidos; Loureiro, T.G., Anastácio, P.M., Araujo, P.B., Souty-Grosset, C., Almerão, M.P., Red swamp crayfish: biology, ecology and invasion - an overview (2015) Nauplius, 23, pp. 1-19; Lowery, R.S., Mendes, A. J., Procambarus clarkii in Lake Naivasha, Kenya, and its effects on established and potential fisheries (1977) Aquaculture, 11 (2), pp. 111-121; Mann, H.B., Whitney, D.R., On a test of whether one of two random variables is stochastically larger than the other (1947) The Annals of Mathematical Statistics, 18, pp. 50-60; Martín-Torrijos, L., Correa-Villalona, A.J., Pradillo, A., Diéguez-Uribeondo, J., Coexistence of Two Invasive Species, Procambarus clarkii and Aphanomyces astaci, in Brackish Waters of a Mediterranean Coastal Lagoon (2021) Frontiers in Ecology and Evolution, 8, p. 622434; Mestre, A., Butlin, R.K., Kelso, W.E., Romaire, R., Bonvillain, C P., Monrós, J.S., Mesquita-Joanes, F., Contrasting patterns of genetic diversity and spatial structure in an invasive symbiont-host association (2016) Biological Invasions, 18 (11), pp. 3175-3191; Meyer, F.P., A Pseudoparasitic Infestation of Crayfish (1965) The Progressive Fish-Culturist, 27, p. 19; Nieser, N., The Heteroptera of the Netherlands Antilles – VII Corixidae (1969) Studies on the fauna of Curaçao and other Caribbean Islands, 28, pp. 135-164; Ohba, S., Matsuo, S., Huynh, T.T.T., Kudo, S., Female mate preference for egg-caring males in the giant water bug Diplonychus rusticus (Heteroptera Belostomatidae) (2018) Ethology Ecology and Evolution, 30 (5), pp. 477-484; Oficialdegui, F.J., Clavero, M., Sánchez, M.I., Green, A.J., Boyero, L., Michot, T.C., Unravelling the global invasion routes of a worldwide invader, the red swamp crayfish (Procambarus clarkii) (2019) Freshwater Biology, 64 (8), pp. 1382-1400; Oficialdegui, F.J., Sánchez, M.I., Clavero, M., One century away from home: how the red swamp crayfish took over the world (2020) Reviews in Fish Biology and Fisheries, 30 (1), pp. 121-135; Pimiento-Ortega, M.G., González-Gamboa, I., Herrera-Martínez, Y., First record of Ramphocorixa rotundocephala Hungerford, 1927 (Hemiptera, Corixidae) for Colombia (2021) Check List, 17 (2), pp. 111-1112. , https://doi.org/10.15560/17.2.000; Putra, M.D., Bláha, M., Wardiatno, Y., Krisanti, M., Jerikho, Y.R., Kamal, M.M., Procambarus clarkii (Girard, 1852) and crayfish plague as new threats for biodiversity in Indonesia (2018) Aquatic Conservation: Marine and Freshwater Ecosystems, 28 (6), pp. 1434-1440; Riascos, L., Geerts, A.N., Oñaa, T., Goethals, P., Cevallos-Cevallos, J., Van-den, W., DNA-based monitoring of the alien invasive North American crayfish Procambarus clarkii in Andean lakes (Ecuador) (2018) Limnologica, 70, pp. 20-25; Saulich, A.H., Musolin, D.L., (2007) Seasonal Development of Aquatic and Semiaquatic True Bugs (Heteroptera), , St. Petersburg University Press., San Petersburgo, Rusia; Tshudy, D.M., Feldmann, R.M., Macruran decapods, and their epibionts, from the López Bertodano Formation (Upper Cretaceous), Seymour Island, Antarctica (1988) Geology and Paleontology of Seymour Island Antarctic Peninsula, 169, pp. 291-301. , https://doi.org/10.1130/MEM169-p291, En: Feldmann, R.M., Woodburne, M.O. (eds). GSA Memoirs, Geological Society of America, Boulder, CO, Estados Unidos; (1994) Convention on Biological Diversity. Text and Annexes. The Interin Secretariat for the Convenion on Biological Diversity, , Ginebra, Suiza; Vedia, I., Oscoz, J., Rueda, J., Miranda, R., García-Roger, E.M., Baquero, E., Gelder, S.R., An alien ectosymbiotic branchiobdellidan (Annelida: Clitellata) adopting exotic crayfish: a biological co-invasion with unpredictable consequences (2015) Inland Waters, 5 (1), pp. 89-92; Wood, J.R., Dickie, I.A., Moeller, H.V., Peltzer, D.A., Bonner, K.I., Rattray, G., Wilmshurst, J.M., Novel interactions between non-native mammals and fungi facilitate establishment of invasive pines (2015) Journal of Ecology, 103, pp. 121-129; Yue, C.F., Wang, T-T., Wang, Y.-F., Peng, Y., Effect of combined photoperiod, water calcium concentration and pH on survival, growth, and moulting of juvenile crayfish (Procambarus clarkii) cultured under laboratory conditions (2009) Aquaculture Research, 40 (11), pp. 1243-1250</t>
  </si>
  <si>
    <t>González-Gamboa, I.; Grupo de Investigación Manejo Integrado de Ecosistemas y Biodiversidad – XIUÂ, Avenida Central del Norte 39-115, Boyacá, Colombia; email: isabella.gonzalez@uptc.edu.co</t>
  </si>
  <si>
    <t>Asociacion Espanola de Ecologia Terrestre</t>
  </si>
  <si>
    <t>2-s2.0-85136111578</t>
  </si>
  <si>
    <t>Sierra N.R., Rodriguez E.S., Montanez R.A.C., Algarra A.J.C., Hernandez-Zambrano S.M.</t>
  </si>
  <si>
    <t>57806859700;57806697200;57403968900;55772285500;56414976300;</t>
  </si>
  <si>
    <t>Prevention interventions of alcohol consumption in young university students [Intervenciones de prevencion sobre el consume de alcohol en jovenes universitarios]</t>
  </si>
  <si>
    <t>Revista Cuidarte</t>
  </si>
  <si>
    <t>https://www.scopus.com/inward/record.uri?eid=2-s2.0-85134335109&amp;doi=10.15649%2fcuidarte.2388&amp;partnerID=40&amp;md5=d1a6b37ece13b67d592a13e69e4c0bd7</t>
  </si>
  <si>
    <t>Universidad Pedagogica y Tecnologica de Colombia, Tunja, Colombia; Fundacion Universitaria de Ciencias de la Salud (FUCS), Bogota, Colombia</t>
  </si>
  <si>
    <t>Sierra, N.R., Universidad Pedagogica y Tecnologica de Colombia, Tunja, Colombia; Rodriguez, E.S., Universidad Pedagogica y Tecnologica de Colombia, Tunja, Colombia; Montanez, R.A.C., Fundacion Universitaria de Ciencias de la Salud (FUCS), Bogota, Colombia; Algarra, A.J.C., Fundacion Universitaria de Ciencias de la Salud (FUCS), Bogota, Colombia; Hernandez-Zambrano, S.M., Fundacion Universitaria de Ciencias de la Salud (FUCS), Bogota, Colombia</t>
  </si>
  <si>
    <t>Introduction: Individual and cultural aspects condition alcohol intake. Objective: To identify the effect of interventions conducted in Latin America on consumption patterns or associated risk factors for alcohol consumption among young university students. Materials and Methods: Systematic review based on a PICO question. A literature search was conducted from April to August 2020 in PubMed, CUIDEN, BVS, Scielo, Google Scholar, and Governmental Repositories. DeCS and MeSH descriptors in Spanish, English, and Portuguese were used with Boolean operators AND and OR. Eligibility criteria included experimental and quasi-experimental studies published between 2014 and 2020. Forty-nine articles were identified, and critical reading allowed the selection of 8 articles to which the AMSTAR2, TREND, and CONSORT appraisal tools were used, leaving 6 articles for analysis. In accordance with Article 10 of Resolution 008430/93, this was considered risk-free research. Results: Single-component interventions reported effects on behavioral beliefs, attitudes, knowledge of the substance, academic performance, lower frequency of drinking, and not driving under the influence of alcohol. Multicomponent interventions reduced consumption risk by 3.03% and reported positive perceptions regarding the usefulness of activities, expectations fulfillment, overall satisfaction, quality of materials used, attendance, and punctuality. Discussion: The studies suggest implementing new interventions, strategies and policies in primary health to promote a social, educational and health transformation that generate a favorable impact to mitigate the current problem of alcohol consumption in university students. Conclusions: This systematic review made it possible to synthesize and evaluate the available evidence on single- and multicomponent interventions in Latin America and the Caribbean that positively modify risk factors and consumption patterns in young university students. © Revista Cuidarte.All rights reserved.</t>
  </si>
  <si>
    <t>Alcohol Drinking; Health Education; Primary Prevention; University students</t>
  </si>
  <si>
    <t>(2018) Informe sobre la situación mundial del alcohol y la salud, pp. 1-28. , https://iris.paho.org/bitstream/handle/10665.2/51352/OPSNMH19012_spa.pdf?Sequence=1&amp;isallowed=y, 2019; (2016) Plan de acción para reducir el consumo nocivo de alcohol: examen de mitad de período, , https://iris.paho.org/bitstream/handle/10665.2/33645/CD55-INF-12-D-s.pdf?sequence=21&amp;isAllowed=y, PAHO; OMS: Consumo de alcohol de hombres casi cuadruplica al de mujeres en Chile (2018), http://www.ipsuss.cl/ipsuss/analisis-y-estudios/omsconsumo-de-alcohol-de-hombres-casi-cuadruplica-al-de-mujeres-en-chile/2018-09-27/171122.html, IPSUSS; (2016) Estudio Nacional de consumo de sustancias psicoactivas en población escolar - Colombia 2016, , http://www.odc.gov.co/Portals/1/publicaciones/pdf/consumo/estudios/nacionales/CO03142016_estudio_consumo_escolares_2016.pdf, MinJusticia; Betancourth Zambrano, S., Tacán Bastidas, L., Córdoba Paz, E., Consumo de alcohol en estudiantes universitarios colombianos (2017) Universidad y Salud, 19 (1), pp. 37-50. , https://doi.org/10.22267/rus.171901.67; Ahumada-Cortez, JG, Gámez-Medina, ME, Valdez-Montero, C., El consumo de alcohol como problema de salud pública (2017) Ra Ximhai, 13, pp. 13-24. , https://www.redalyc.org/articulo.oa?id=46154510001; Telumbre Terrero, JY, López Cisneros, MA, Peralta Telumbre, LE, Velazquez Linares, OD, Torres Obregon, R, Esparza Almanza, SE., Relación del Malestar Emocional y el Consumo de alcohol en adolescentes (2018) J Health NPEPS, 3 (1), pp. 38-50. , http://dx.doi.org/10.30681/252610102758; Heredia, LP, Ramirez, EG, Pereira, C, de Vargas, D., Efeito das variáveis sociodemográficas e de vulnerabilidade no padrão de uso de álcool em mulheres universitárias (2017) Enferm, 26 (3), pp. 1-8. , https://doi.org/10.1590/0104-07072017006860015; Suárez, P, Vélez, M., El papel de la familia en el desarrollo social del niño: una mirada desde la afectividad, la comunicación familiar y estilos de educación parental (2018) Revista Psicoespacios, 12 (20), pp. 173-198. , https://dialnet.unirioja.es/servlet/articulo?codigo=6573534; Alonso-Castillo, MM, Un-Aragón, LT, Armendáriz-García, NA, Navarro-Oliva, EIP, López-Cisneros, MA., Sentido de coherencia y consumo de alcohol en jóvenes universitarios (2018) Universidad Autónoma de Aguascalientes, 26 (75), pp. 66-72. , https://www.redalyc.org/journal/674/67457300008/html/; Yañez-Castillo, BG, Villar-Luis, MA, Alonso-Castillo, MM., Espiritualidad, autotrascendencia y consumo de alcohol en jóvenes universitarios / Spirituality, self-transcendence and alcohol consumption in university students / Espiritualidade, autotranscendência e consumo de álcool em estudantes universitarios (2018) Journal Health NPEPS, 3 (1), pp. 5-21. , https://periodicos.unemat.br/index.php/jhnpeps/article/view/2736; Mora, CA, Herrán, OF., Prevalencia de consumo de alcohol y de alcoholismo en estudiantes universitarios de Villavicencio, Colombia (2019) Rev.fac.med, 67 (2), pp. 225-233. , https://doi.org/10.15446/revfacmed.v67n2.69282; Ponce Guerra, CE, Reyes Valenzuela, C., Consumo de alcohol en estudiantes en tres facultades de la Universidad Nacional de Chimborazo (2018) Rev Eug Esp, 12 (2), pp. 42-49. , https://doi.org/10.37135/ee.004.05.05; Villaquiran, AF, Cuero, P, Ceron, GM, Ordoñez, A, Jácome, S., Características antropométricas, hábitos nutricionales, actividad física y consumo de alcohol en estudiantes universitarios (2020) Rev. Univ. Ind. Santander. Salud, 52 (2), pp. 111-120. , https://doi.org/10.18273/revsal.v52n2-2020005; González Angulo, P, Hernández Martínez, EK, Rodríguez Puente, LA, Castillo Vargas, R, Salazar Mendoza, J, Camacho Martínez, JU., Percepción de riesgo ante el consumo de alcohol y tabaco en estudiantes de ciencias de la salud de Saltillo (2019) Enferm. Glob, 18 (56), pp. 398-422. , http://scielo.isciii.es/scielo.php?script=sci_arttext&amp;pid=S169561412019000400014&amp;lng=es; Hernández-Zambrano, SM, Andrés, AP, González, AA, Amezcua, M., Eficacia de los programas escolares en la reducción de riesgos asociados al consumo de alcohol entre los adolescentes (2018) Enfermería Comunitaria, 14. , http://ciberindex.com/c/ec/e12303; Orcasita, LT., Factores psicosociales asociados a los patrones de consumo de alcohol en adolescentes escolarizados. Psicología desde el Caribe (2018) Salud Uninorte, 35 (1), pp. 33-48. , https://rcientificas.uninorte.edu.co/index.php/psicologia/article/view/7953; Hernández-Zambrano, SM., Intervenciones de prevención sobre el consumo de alcohol en jóvenes universitarios (2022), https://doi.org/10.17632/59m69xdx2r.1, Mendeley Data; Pizarro, AB, Carvajal, S, Buitrago-López, A., Assessing the methodological quality of systematic reviews using the AMSTAR tool (2021) Colombian Journal of Anesthesiology, 49 (1), p. 913. , https://doi.org/10.5554/22562087.e913; Cobos-Carbó, A., Ensayos clínicos aleatorizados (CONSORT) (2005) Medicina Clínica, 125 (1), pp. 21-27. , https://doi.org/10.1016/S0025-7753(05)72205-3; Vallvéa, C, Artésb, M, Cobo, E., Estudios de intervención no aleatorizados (TREND) (2005) Med Clin (Barc), 125 (1), pp. 38-42. , https://doi.org/10.1016/S0025-7753(05)72208-9; (2013) Developed by the Joanna Briggs Institute Levels of Evidence and Grades of Recommendation Working Party, pp. 1-4. , https://jbi.global/sites/default/files/2019-05/JBI-Levels-of-evidence_2014_0.pdf, Joanna Briggs Institute; (1993), https://www.minsalud.gov.co/sites/rid/Lists/BibliotecaDigital/RIDE/DE/DIJ/RESOLUCION-8430-DE-1993.PDF, Ministerio de Salud. Resolución Número 8430 De 1993. MinSalud; Albán Obando, JJ., Eficacia del programa preventivo y motivacional en el rendimiento académico, la motivación por los estudios, y el consumo de alcohol, en los estudiantes de la Escuela de Psicología de la Universidad Técnica de Babahoyo, Provincia de Los Ríos Ecuador (2017), pp. 1-253. , https://hdl.handle.net/20.500.12672/6958, Universidad de San Marcos; Almeida, ND, Roazzi, A., Álcool e Direção em Universitários, Comunicação Persuasiva e Prevenção (2014) Psicol Ciência e Profissão, 34 (3), pp. 715-732. , https://doi.org/10.1590/1982-3703000632013; Cabrera Rodriguez, D, Díaz, NR, Sanchez Miranda, M, Rodriguez Carcballo, Y, Cruz Betancourt, A., Intervención educativa. Prevención de la drogodependencia en estudiantes de medicina, Cacocum (2016), http://socecsholguin2017.sld.cu/index.php/socecsholguin/2017/paper/view/184/126, Jornada Científica de la SOCECS; Salazar Mendoza, J., (2014) Intervención de Enfermería ante el consumo de alcohol en estudiantes universitarios, pp. 1-270. , http://cdigital.uv.mx/handle/1944/49151, Universidad Veracruzana, México; Sawicki, WC, Fram, DS, Silva, AG., Intervenção breve aplicada a universitários consumidores de risco de bebidas alcoólicas (2018) Rev. Eletrônica Saúde Mental Álcool Drog, 14 (4), pp. 226-233. , https://doi.org/10.11606/issn.1806-6976.smad.2018.000414; Muñoz, ML., Diseño y evaluación de un programa de prevención de consumo de alcohol en una institución universitaria diseñado con los estudiantes (2014) Psicogente, 17 (32), pp. 365-378. , http://www.scielo.org.co/scielo.php?script=sci_arttext&amp;pid=S0124-01372014000200009; Pons, J, Buelga, S., Factores Asociados al Consumo Juvenil de Alcohol: Una Revisión desde una Perspectiva Psicosocial y Ecológica (2011) Psychosocial Intervention, 20 (1), pp. 75-94. , https://dx.doi.org/10.5093/in2011v20n1a7; Kaner, EFS, Beyer, FR, Muirhead, C, Campbell, F, Pienaar, ED, Bertholet, N, Effectiveness of brief alcohol interventions in primary care populations (2018) Cochrane Database of Systematic Reviews, , https://doi.org/10.1002/14651858.CD004148.pub4; Jiloha, RC., Prevention, early intervention, and harm reduction of substance use in adolescents (2017) Psiquiatría india J, 59 (1), pp. 111-118. , https://www.ncbi.nlm.nih.gov/pmc/articles/PMC5418996/; Nieto, I., Consumo de alcohol entre los estudiantes de la Universidad de Extremadura (2016) Metas Enferm, 19 (8), pp. 6-11. , https://www.enfermeria21.com/revistas/metas/articulo/80970/consumo-dealcohol-entre-los-estudiantes-de-la-universidad-de-extremadura/; Rojas Collado, MJ., Eficacia de intervenciones educativas en la prevención del consumo de alcohol en adolescentes (2018) Metas Enferm, 21 (5), pp. 10-16. , https://doi.org/10.35667/MetasEnf.2019.21.1003081241; Vázquez, N, Muñoz, L, Juárez, O, Ariza, C., ¿Qué funciona en la prevención selectiva del consumo de alcohol y cánnabis en jóvenes vulnerables? (2018) Rev Esp Salud Pública, 92, p. 8. , https://scielo.isciii.es/scielo.php?script=sci_arttext&amp;pid=S1135-57272018000100431&amp;lng=pt&amp;nrm=iso&amp;tlng=es; Gilligan, C, Wolfenden, L, Foxcroft, DR, Williams, AJ, Kingsland, M, Hodder, RK, Familybased prevention programmes for alcohol use in young people (2019) Cochrane Database Syst Rev, , https://doi.org/10.1002/14651858.CD012287.pub2; Stead, M, Parkes, T, Nicoll, A, Wilson, S, Burgess, C, Eadie, D, Delivery of alcohol brief interventions in community-based youth work settings: exploring feasibility and acceptability in a qualitative study (2017) Salud Pública de BMC, 17 (1), p. 357. , https://pubmed.ncbi.nlm.nih.gov/28438195/; MacArthur, G, Caldwell, DM, Redmore, J, Watkins, SH, Kipping, R, White, J, Individual-, family, and school-level interventions targeting multiple risk behaviours in young people (2018) Cochrane Database Syst Rev, 10 (10). , https://doi.org/10.1002/14651858.CD009927.pub2; Amezcua, M., Hernández Zambrano, SM, Rodríguez Rodríguez, A, Quesada García, E., Riesgo ante el consumo colectivo de alcohol entre los jóvenes: Percepciones desde el entorno educativo (2015) Index Enferm, 24 (1-2), pp. 25-30. , https://dx.doi.org/10.4321/S1132-12962015000100006; Sarasa-Renedo, A, Sordo, L, Molist, G, Hoyos, J, Guitart, AM, Barrio, G., Principales daños sanitarios y sociales relacionados con el consumo de alcohol (2014) Rev. Esp. Salud Pública, 88 (4), pp. 469-491. , https://dx.doi.org/10.4321/S1135-57272014000400004; Bedendo, A, Andrade, ALM, Noto, AR., Intervenções via Internet para redução do consumo de álcool entre universitários: uma revisão sistemática (2018) Rev Panam Salud Publica, 42, p. 54. , https://doi.org/10.26633/RPSP.2018.54; Mori-Gamarra, F, Moure-Rodríguez, L, Sureda, X, Carbia, C, Royé, D, Montes-Martínez, A, Densidad de los puntos de venta de alcohol y su consumo en jóvenes de Galicia (2020) Gac Sanit, 34 (1), pp. 15-20. , https://doi.org/10.1016/j.gaceta.2018.09.005; Betancourth Zambrano, S, Tacán Bastidas, L, Córdoba Paz, E., Consumo de alcohol en estudiantes universitarios colombianos (2017) Universidad y Salud, 19 (1), pp. 37-50. , http://dx.doi.org/10.22267/rus.171901.67; Hutton, A, Prichard, I, Whitehead, D, Thomas, S, Rubin, M, Sloand, E, Health Interventions to Reduce Alcohol Use in Young People: A Systematic Review of the Literature (2020) Compr Child Adolesc Nurs, 43 (3), pp. 171-202. , https://doi.org/10.1080/24694193.2019.1616008; Rodríguez Muñoz, PM, Carmona Torres, JM, Hidalgo Lopezosa, P, Cobo Cuenca, AI, Rodríguez Borrego, MA., Evolución del consumo de alcohol y tabaco en jóvenes en España, posterior a la ley 42/2010 frente al tabaquismo: 2011-2014 (2019) Adicciones, 31 (4), p. 274. , https://www.adicciones.es/index.php/adicciones/article/view/1035/1018; Conde, K, Brandariz, RA, Cremonte, M., Problemas por uso de alcohol en estudiantes secundarios y universitarios (2016) Rev chil neuro-psiquiatr, 54 (2), pp. 84-93. , http://dx.doi.org/10.4067/S0717-92272016000200002; Ahumada-Cortez, JG, Gámez-Medina, ME, Valdez-Montero, C., El consumo de alcohol como problema de salud pública (2017) Revista Ximhai, 13 (2), pp. 13-24. , http://www.redalyc.org/articulo.oa?id=46154510001; Silva, TS, Christino, JMM, Moura, LRC, de Morais, VHF., Gênero e consumo de álcool entre jovens: avaliação e validação do Inventário de Conformidade com Normas Masculinas (2019) Cien Saude Colet, 24 (9), pp. 3495-3506. , https://doi.org/10.1590/1413-81232018249.23952017; Fernández Rodríguez, MA, Dema Moreno, S, Fontanil Gómez, Y., La influencia de los roles de género en el consumo de alcohol: estudio cualitativo en adolescentes y jóvenes en Asturias (2019) Adicciones, 31 (4), pp. 260-273. , https://www.adicciones.es/index.php/adicciones/article/view/1003/0; de Brito Guimarães, BE, Aquino, R, de Brito Lima Prado, NM, Rodrigues, PVA., O consumo excessivo de álcool e a insatisfação com a imagem corporal por adolescentes e jovens de um município baiano, Brasil PVA (2019) Cad Saude Publica, 36 (1). , https://doi.org/10.1590/0102-311X044919; Meneses, K, Cisneros, MV, Braganza, ME., Análisis socioeconómico del consumo excesivo de alcohol en Ecuador (2019) Rev cienc salud, 17 (2), p. 293. , http://dx.doi.org/10.12804/revistas.urosario.edu.co/revsalud/a.7938; Hernández Martínez, EK, Calixto Olalde, MG, Álvarez Aguirre, A., Intervenciones para disminuir el consumo de alcohol en adolescentes: una revisión sistemática (2018) Enfermería Global, 17 (1), p. 529. , http://dx.doi.org/10.6018/eglobal.17.1.284891</t>
  </si>
  <si>
    <t>Hernandez-Zambrano, S.M.; Fundacion Universitaria de Ciencias de la Salud (FUCS)Colombia; email: smhernandez3@fucsalud.edu.co</t>
  </si>
  <si>
    <t>Rev. Cuidarte.</t>
  </si>
  <si>
    <t>2-s2.0-85134335109</t>
  </si>
  <si>
    <t>Pachón Y.V., Balaguera-López H.E., Florez-Velasco N.</t>
  </si>
  <si>
    <t>57798788000;57208339001;56540033200;</t>
  </si>
  <si>
    <t>Postharvest behavior and chilling injury in avocado (Persea americana Mill) fruit cv. Hass treated with 1-methylcyclopropene, ethylene, and intermittent warming [Comportamiento poscosecha y daños por frío en frutos de aguacate (Persea americana Mill) cv. Hass tratado con 1-metilciclopropeno, etileno y calentamiento intermitente]</t>
  </si>
  <si>
    <t>https://www.scopus.com/inward/record.uri?eid=2-s2.0-85134054345&amp;doi=10.15446%2frfnam.v75n2.98741&amp;partnerID=40&amp;md5=4459ae18edfef3fb24a065b5009535e3</t>
  </si>
  <si>
    <t>Escuela de Ingeniería Agronómica, Universidad Pedagógica y Tecnológica de Colombia, Tunja, Colombia; Facultad de Ciencias Agrarias, Universidad Nacional de Colombia, Bogotá, Colombia</t>
  </si>
  <si>
    <t>Pachón, Y.V., Escuela de Ingeniería Agronómica, Universidad Pedagógica y Tecnológica de Colombia, Tunja, Colombia; Balaguera-López, H.E., Facultad de Ciencias Agrarias, Universidad Nacional de Colombia, Bogotá, Colombia; Florez-Velasco, N., Facultad de Ciencias Agrarias, Universidad Nacional de Colombia, Bogotá, Colombia</t>
  </si>
  <si>
    <t>Persea americana, cv. Hass has become an important crop in Colombia due to increased exports to European markets; however, the avocado is a climacteric fruit sensitive to chilling injury, reducing its shelf-life and affecting commercialization abroad. This research aimed to evaluate the effect of 1-methylcyclopropene, ethylene, and intermittent warming on chilling injury and postharvest behavior of avocado cv. Hass. Five treatments were evaluated: Control; Intermittent warming cycles of 4 days at 2 °C + 1 day at 18 °C; Intermittent warming cycles of 7 days at 2 °C + 1 day at 18 °C; 1-methylcyclopropene, and ethylene. The fruits were stored for 29 days at 2 °C and then up to 14 days in the shelf-life period. The intermittent warming treatment 4-days cycles reduced chilling injuries. However, this treatment increased weight loss, respiration, epidermal color index, and electrolyte leakage during the storage period at 2 °C. Intermittent warming showed that Hass avocado fruit ripens faster, regardless of the application of ethylene in the shelf-life period. The results indicated that intermittent warming reduced the chilling injury, the treatment with 1-methylcyclopropene delayed ripening but it is not recommended for avocado cv. Hass when stored at 2 °C because the chilling injury is not reduced. © 2022, Universidad Nacional de Colombia. All rights reserved.</t>
  </si>
  <si>
    <t>Chilling injury; Postharvest quality; Ripening; Shelf-life</t>
  </si>
  <si>
    <t>Arias Bustos, C, Moors, E.H.M., Reducing postharvest food losses through innovative collaboration: Insights from the Colombian and Mexican avocado supply chains (2018) Journal of Cleaner Production, 199, pp. 1020-1034. , https://doi.org/10.1016/j.jclepro.2018.06.187; Balaguera-López, HE, Espinal-Ruiz, M, Rodríguez-Nieto, JM, Herrera-Arévalo, A, Zacarías, L., 1-Methylcyclopropene inhibits ethylene perception and biosynthesis: A theoretical and experimental study on cape gooseberry (Physalis peruviana L.) fruits (2021) Postharvest Biology and Technology, 174. , https://doi.org/10.1016/j.postharvbio.2021.111467; Balaguera-López, HE, Ortega, EAP, Consuegra, SAL., Effects of thermal treatments on chilling injury and shelf life time of Citrus reticulata Blanco (2019) Pesquisa Agropecuaria Tropical, 49, p. E56821. , https://doi.org/10.1590/1983-40632019v4956821; Balaguera-López, HE, Palacios, E.A., Postharvest behavior of mandarin fruits (Citrus reticulata Blanco) var. Arrayana: Effect of different thermal treatments (2018) Revista Colombiana de Ciencias Hortícolas, 12 (2), pp. 369-378. , https://doi.org/10.17584rcch.2018v12i2.7702; Bhuyan, DJ, Alsherbiny, MA, Perera, S, Low, M, Basu, A, Devi, OA, Barooah, MS, Papoutsis, K., The odyssey of bioactive compounds in avocado (Persea Americana) and their health benefits (2019) Antioxidants, 8 (10), p. 426. , https://doi.org/10.3390/antiox8100426; Blankenship, SM, Dole, J.M., 1-methylcyclopropene: A review (2003) Postharvest Biology and Technology, 28 (1), pp. 1-25. , https://doi.org/10.1016/S0925-5214(02)00246-6; Botía-Niño, YC, Almanza-Merchán, P, Balaguera-López, HE., Efecto de la temperatura sobre la maduración complementaria en curuba (Passiflora mollissima Bailey) (2008) Revista U.D.C.A Actualidad &amp; Divulgación Científica, 11 (2), pp. 187-196. , https://doi.org/10.31910/rudca.v11.n2.2008.635; Choi, ST, Huber, DJ., Influence of aqueous 1-methylcyclopropene concentration, immersion duration, and solution longevity on the postharvest ripening of breaker-turning tomato (Solanum lycopersicum L.) fruit (2008) Postharvest Biology and Technology, 49 (1), pp. 147-154. , https://doi.org/10.1016/j.postharvbio.2008.01.003; Choi, ST, Tsouvaltzis, P, Lim, CIl, Huber, DJ., Suppression of ripening and induction of asynchronous ripening in tomato and avocado fruits subjected to complete or partial exposure to aqueous solutions of 1-methylcyclopropene (2008) Postharvest Biology and Technology, 48 (2), pp. 206-214. , https://doi.org/10.1016/j.postharvbio.2007.10.008; Corrales-García, JE, del Rosario García-Mateos, M, MartínezLópez, E, Barrientos-Priego, AF, Ybarra-Moncada, MC, Ibarra Estrada, E, Méndez-Zúñiga, SM, Becerra-Morales, D., Anthocyanin and oil contents, fatty acids profiles and antioxidant activity of Mexican landrace avocado fruits (2019) Plant Foods for Human Nutrition, 74 (2), pp. 210-215. , https://doi.org/10.1007/s11130-019-00721-1; Dai, H, Wang, Y, Ji, S, Kong, X, Zhang, F, Zhou, X, Zhou, Q., Effect of intermittent warming on the quality and lipid metabolism of blueberry (Vaccinium corymbosum L., cv. Duke) Fruit (2021) Frontiers in Plant Science, 11, p. 590928. , https://doi.org/10.3389/fpls.2020.590928; Daulagala, C, Daundasekera, WAM., Effect of 1-methylcyclopropene (1-MCP) treatment on postharvest quality and antifungal activity of avocado cv.’pollock’under tropical storage conditions (2015) Ceylon Journal of Science (Bio. Sci.), 44 (2), pp. 75-83. , https://doi.org/10.4038/cjsbs.v44i2.7352; Feng, X, Apelbaum, A, Sisler, EC, Goren, R., Control of ethylene responses in avocado fruit with 1-methylcyclopropene (2000) Postharvest Biology and Technology, 20 (2), pp. 143-150. , https://doi.org/10.1016/S0925-5214(00)00126-5; González, AK, González-Martínez, LF, Córdoba, LD, Rincón, P, Balaguera-López, HE., Regulating the postharvest life of Campomanesia lineatifolia R. &amp; P. fruits through the interaction of ethylene, 1-methylcyclopropene and low temperatures (2021) Revista Colombiana de Ciencias Hortícolas, 15 (2), p. E12499. , https://doi.org/10.17584/rcch.2021v15i2.12499; Ghasemnezhad, M, Marsh, K, Shilton, R, Babalar, M, Wolf, A., Effect of hot water treatments on chilling injury and heat damage in ‘satsuma’ mandarins: Antioxidant enzymes and vacuolar ATPase, and pyrophosphatase (2008) Postharvest Biology and Technology, 48, pp. 364-371. , https://doi.org/10.1016/j.postharvbio.2007.09.014; Heyes, JA., Chilling Injury in Tropical Crops after Harvest (2018) Annual Plant Reviews, 1, pp. 1-31. , https://doi.org/10.1002/9781119312994.apr0605; Ho, PL, Tran, DT, Hertog, MLA, Nicolaï, BM., Modelling respiration rate of dragon fruit as a function of gas composition and temperature (2020) Scientia Horticulturae, 263, p. 109138. , https://doi.org/10.1016/j.scienta.2019.109138; Jeong, J, Huber, DJ, Sargent, SA., Influence of 1-methylcyclopropene (1-MCP) on ripening and cell-wall matrix polysaccharides of avocado (Persea americana) fruit (2002) Postharvest Biology and Technology, 25 (3), pp. 241-256. , https://doi.org/10.1016/S0925-5214(01)00184-3; Liu, H, Jiang, W, Cao, J, Ma, L., A combination of 1-methylcyclopropene treatment and intermittent warming alleviates chilling injury and affects phenolics and antioxidant activity of peach fruit during storage (2018) Scientia Horticulturae, 229, pp. 175-181. , https://doi.org/10.1016/j.scienta.2017.11.010; Liu, H, Song, L, You, Y, Li, Y, Duan, X, Jiang, Y, Joyce, DC, Lu, W., Cold storage duration affects litchi fruit quality, membrane permeability, enzyme activities and energy charge during shelf time at ambient temperature (2011) Postharvest Biology and Technology, 60 (1), pp. 24-30. , https://doi.org/10.1016/j.postharvbio.2010.11.008; Liu, M, Pirrello, J, Chervin, C, Roustan, JP, Bouzayen, M., Ethylene control of fruit ripening: Revisiting the complex network of transcriptional regulation (2015) Plant Physiology, 169 (4), pp. 2380-2390. , https://doi.org/10.1104/pp.15.01361; Lurie, S, Pedreschi, R., Fundamental aspects of postharvest heat treatments (2014) Horticulture Research, , https://doi.org/10.1038/hortres.2014.30; Ma, Q, Suo, J, Huber, DJ, Dong, X, Han, Y, Zhang, Z, Rao, J., Effect of hot water treatments on chilling injury and expression of a new C-repeat binding factor (CBF) in “Hongyang” kiwifruit during low temperature storage (2014) Postharvest Biology and Technology, 97, pp. 102-110. , https://doi.org/10.1016/j.postharvbio.2014.05.018; Munhuweyi, K, Mpai, S, Sivakumar, D., Extension of avocado fruit postharvest quality using non-chemical treatments (2020) Agronomy, 10 (2), p. 212. , https://doi.org/10.3390/agronomy10020212; Pesis, E, Ackerman, M, Ben-Arie, R, Feygenberg, O, Feng, X, Apelbaum, A, Goren, R, Prusky, D., Ethylene involvement in chilling injury symptoms of avocado during cold storage (2002) Postharvest Biology and Technology, 24 (2), pp. 171-181. , https://doi.org/10.1016/S0925-5214(01)00134-X; Ramírez-Gil, JG, Franco, G, Henao-Rojas, JC., Review of the concept of quality in Hass avocado and the pre-harvest and harvest factors that determine it under tropical conditions (2019) Revista Colombiana de Ciencias Hortícolas, 13 (3), pp. 359-370. , https://doi.org/10.17584/rcch.2019v13i3.10503; Rodrigo, MJ, Zacarias, L., Effect of postharvest ethylene treatment on carotenoid accumulation and the expression of carotenoid biosynthetic genes in the flavedo of orange (Citrus sinensis L. Osbeck) fruit (2007) Postharvest Biology and Technology, 43 (1), pp. 14-22. , https://doi.org/10.1016/j.postharvbio.2006.07.008; Rodrigues, C, Gaspar, PD, Simões, MP, Silva, PD, Andrade, LP., Review on techniques and treatments toward the mitigation of the chilling injury of peaches (2020) Journal of Food Processing and Preservation, p. e14358. , https://doi.org/10.1111/jfpp.14358, 00; Salvador, A, Arnal, L, Monterde, A, Cuquerella, J., Reduction of chilling injury symptoms in persimmon fruit cv. “Rojo Brillante” by 1-MCP (2004) Postharvest Biology and Technology, 33 (3), pp. 285-291. , https://doi.org/10.1016/j.postharvbio.2004.03.005; Sivankalyani, V, Feygenberg, O, Maorer, D, Zaaroor, M, Fallik, E, Alkan, N., Combined treatments reduce chilling injury and maintain fruit quality in avocado fruit during cold quarantine (2015) PLoS ONE, 10 (10), p. E0140522. , https://doi.org/10.1371/journal.pone.0140522; Smith, DL, Abbott, JA, Gross, KC., Down-regulation of tomato β-galactosidase 4 results in decreased fruit softening (2002) Plant Physiology, 129 (4), pp. 1755-1762. , https://doi.org/10.1104/pp.011025; Sun, B, Yan, H, Liu, N, Wei, J, Wang, Q., Effect of 1-MCP treatment on postharvest quality characters, antioxidants and glucosinolates of Chinese kale (2012) Food Chemistry, 131 (2), pp. 519-526. , https://doi.org/10.1016/j.foodchem.2011.09.016; Wang, YW, Malladi, A, Doyle, J, Scherm, H, Nambeesan, S., The effect of ethephon, abscisic acid, and methyl jasmonate on fruit ripening in rabbiteye blueberry (Vaccinium virgatum) (2018) Horticulturae, 4 (3), p. 24. , https://doi.org/10.3390/horticulturae4030024; Wei, C, Ma, L, Cheng, Y, Guan, Y, Guan, J., Exogenous ethylene alleviates chilling injury of ‘Huangguan’ pear by enhancing the proline content and antioxidant activity (2019) Scientia Horticulturae, 257, p. 108671. , https://doi.org/10.1016/j.scienta.2019.108671; Woolf, A, Arpaia, M, Defilippi, B, Bower, J., Chapter 18.1 - Subtropical fruits: Avocados (2020) controlled and modified atmospheres for fresh and fresh-cut produce, pp. 389-397. , https://doi.org/10.1016/B978-0-12-804599-2.00026-0; Woolf, AB, Cox, KA, White, A, Ferguson, IB., Low temperature conditioning treatments reduce external chilling injury of “Hass” avocados (2003) Postharvest Biology and Technology, 28 (1), pp. 113-122. , https://doi.org/10.1016/S0925-5214(02)00178-3; Xi, WP, Zhang, B, Shen, JY, Sun, C, Xu, C, Song, K., Intermittent warming alleviated the loss of peach fruit aroma-related esters by regulation of AAT during cold storage (2012) Postharvest Biology and Technology, 74, pp. 42-48. , https://doi.org/10.1016/j.postharvbio.2012.07.003; Yahia, E, Woolf, A., Avocado (Persea americana Mill.) (2011) Postharvest Biology and Technology of Tropical and Subtropical Fruits, 2, pp. 125-185. , Yahia E. (ed). Acai to citrus. Woodhead Publishing ltd. Cambridge 560; Yahida, E., (2020) Preventing food losses and waste to achieve food security and sustainability, p. 852. , Burleigh Dodds Science Publishing; Yudou, C, Liu, L, Feng, Y, Dong, Y, Guan, J., Effects of 1-MCP on fruit quality and core browning in ‘Yali’ pear during cold storage (2019) Scientia Horticulturae, 243, pp. 350-356. , https://doi.org/10.1016/j.scienta.2018.08.041; Zhang, W, Zhao, H, Jiang, H, Xu, Y, Cao, J, Jiang, W., Multiple 1-MCP treatment more effectively alleviated postharvest nectarine chilling injury than conventional one-time 1-MCP treatment by regulating ROS and energy metabolism (2020) Food Chemistry, 330, p. 127256. , https://doi.org/10.1016/j.foodchem.2020.127256; Zhu, LQ, Zhou, J, Zhu, SH., Effect of a combination of nitric oxide treatment and intermittent warming on prevention of chilling injury of “Feicheng” peach fruit during storage (2010) Food Chemistry, 121 (1), pp. 165-170. , https://doi.org/10.1016/j.foodchem.2009.12.025</t>
  </si>
  <si>
    <t>Balaguera-López, H.E.; Facultad de Ciencias Agrarias, Colombia; email: nflorezv@unal.edu.co</t>
  </si>
  <si>
    <t>2-s2.0-85134054345</t>
  </si>
  <si>
    <t>Garda-Molano J.F., Cuervo-Bejarano W.J., Rodolfi M., Jaramillo-Garda L.S., Ganino T.</t>
  </si>
  <si>
    <t>57759778200;57221122005;56162789200;57759441400;22634199900;</t>
  </si>
  <si>
    <t>https://www.scopus.com/inward/record.uri?eid=2-s2.0-85132551755&amp;doi=10.3390%2fagronomy12051159&amp;partnerID=40&amp;md5=80c7b33722f20a0712cc7dded4419a17</t>
  </si>
  <si>
    <t>Grupo de Investigation en Agricultura Organizaciones &amp; Frutos (AO&amp;F), Programa de Ingenieria Agropecuaria, Fundacion Universitaria Juan de Castellanos, Tunja, 150001, Colombia; Grupo de Investigation Agroecolog^a y Seguridad Alimentaria, Programa de Ingenieria Agroecologica, Corporation Universitaria Minuto de Dios—UNIMINUTO, Zipaquira, 250252, Colombia; Department of Food and Drug, University of Parma, Parco Area delle Scienze 27/A, Parma, 43124, Italy; Grupo de Investigation en Agricultura Organizaciones &amp; Frutos (AO&amp;F), Facultad de Ciencias Basicas Escuela de Biologa, Universidad Pedagogica y Tecnologica de Colombia, Tunja, 150003, Colombia; National Research Council, Institute of BioEconomy (IBE), Via Madonna del Piano, 10, Sesto Fiorentino, 50019, Italy</t>
  </si>
  <si>
    <t>Garda-Molano, J.F., Grupo de Investigation en Agricultura Organizaciones &amp; Frutos (AO&amp;F), Programa de Ingenieria Agropecuaria, Fundacion Universitaria Juan de Castellanos, Tunja, 150001, Colombia; Cuervo-Bejarano, W.J., Grupo de Investigation Agroecolog^a y Seguridad Alimentaria, Programa de Ingenieria Agroecologica, Corporation Universitaria Minuto de Dios—UNIMINUTO, Zipaquira, 250252, Colombia; Rodolfi, M., Department of Food and Drug, University of Parma, Parco Area delle Scienze 27/A, Parma, 43124, Italy; Jaramillo-Garda, L.S., Grupo de Investigation en Agricultura Organizaciones &amp; Frutos (AO&amp;F), Facultad de Ciencias Basicas Escuela de Biologa, Universidad Pedagogica y Tecnologica de Colombia, Tunja, 150003, Colombia; Ganino, T., Department of Food and Drug, University of Parma, Parco Area delle Scienze 27/A, Parma, 43124, Italy, National Research Council, Institute of BioEconomy (IBE), Via Madonna del Piano, 10, Sesto Fiorentino, 50019, Italy</t>
  </si>
  <si>
    <t>(1) Background: Olive in Colombia is not a traditional crop, but in the Andean Region, ancient olive trees are widespread. The area is characterized by a climate condition with a high intensity of UV rays and meteoric events that negatively affect the olive grown. In this work, changes in the soil of olive trees subjected to different pruning will be established. (2) Methods: Olive trees of 1- years-old were cultivated in Boyaca (Colombia). Trees were pruned into a vase shape, globe shape, and natural shape. Physical, chemical, and biological soil analyses were carried out. (3) Results: In the olive tree, V and G pruning significantly increase the P content in the soil compared to NS, and these pruning forms reduce the OOC significantly in the rhizosphere soil by 87.5% and 78.3%, respectively. In all conditions, the roots established an association with Arbuscular Mycorhizal Fungi and stimulated the presence of other microorganisms, despite the trees being more vegetative than productive in this latitude. (4) Conclusions: The results of the study indicate that, in Colombian conditions, the pruning does not affect the rhizospheric soil conditions. © 2022 by the authors.</t>
  </si>
  <si>
    <t>Chemical soil properties; Enzymatic activity; Nitrogen-fixing; Olea europaea L; Physical soil properties; Symbiosis</t>
  </si>
  <si>
    <t>Garda-Molano, J.F., Acercamiento a la olivicultura en Boyaca (2010) Cult. Sci, 8, pp. 8-14; Ruiz, S.L.M., Carvajal, R.D.C., Garda, J.F., Almanza-Merchan, P.J., Production de Aceitunas y Aceite de Oliva en el Clima de la Region del Alto Ricaurte en Boyaca, Colombia (2019) Rev. Colomb. Cienc. Hortic, 13, p. e9202. , [CrossRef]; Lopez-Bernal, A., Garcia-Tejera, O., Testi, L., Villalobos, F.J., Genotypic variability in radial resistance to water flow in olive roots and its response to temperature variations (2020) Tree Physiol, 40, pp. 445-453. , [CrossRef] [PubMed]; Garda-Molano, J.F., Cheverria-Gonzalez, E.Y., Comportamiento fenologico del olivo (Olea europaea L.) en el Alto Ricaurte (Boyaca) (2014) Rev. Logos Cienc. Tecnol, 6, pp. 1-13. , [CrossRef]; Haberman, A., Bakhshian, O., Cerezo-Medina, S., Paltiel, J., Adler, C., Ben-Ari, G., Mercado, J.A., Samach, A., A possible role for flowering locus T-encoding genes in interpreting environmental and internal cues affecting olive (Olea europaea L.) flower induction (2017) Plant Cell Environ, 40, pp. 1263-1280. , [CrossRef]; Rosati, A., Marchionni, D., Mantovani, D., Ponti, L., Famiani, F., Intercepted Photosynthetically Active Radiation (PAR) and spatial and temporal distribution of transmitted PAR under high-density and super high-density olive orchards (2021) Agriculture, 11, p. 351. , [CrossRef]; Gomez-Del-Campo, M., Trentacoste, E.R., Connor, D.J., Long-term effects of row spacing on radiation interception, fruit character-istics and production of hedgerow olive orchard (cv. Arbequina) (2020) Sci. Hortic, 272, p. 109583. , [CrossRef]; Erel, R., Yermiyahu, U., Yasuor, H., Cohen Chamus, D., Schwartz, A., Ben-Gal, A., Dag, A., Phosphorous nutritional level, carbohydrate reserves and flower quality in olives (2016) PLoS ONE, 11, p. e0167591. , [CrossRef]; Chatzistathis, T., Monokrousos, N., Psoma, P., Tziachris, P., Metaxa, I., Strikos, G., Papadopoulos, F.H., Papadopoulos, A.H., How fully productive olive trees (Olea europaea L., cv. "Chondrolia Chalkidikis") manage to over-satisfy their P nutritional needs under low Olsen P availability in soils? (2020) Sci. Hortic, 265, p. 109251. , [CrossRef]; Christopoulou, N., Chatzistathis, T., Papatheodorou, E.M., Aschonitis, V., Monokrousos, N., The crucial role of soil organic matter in satisfying the phosphorus requirements of olive trees (Olea europaea L.) (2021) Agriculture, 11, p. 111. , [CrossRef]; Dabbaghi, O., Oden, S., Willems, T., Attia, F., Hammami, M., Prinsen, E., Mechri, B., Foliar application of bio-fertilizers influenced the endogenous concentrations of phytohormones and amino acids in leaves and roots of olive trees (Olea europaea L. cv. Chemlali) (2018) Afr. J. Agric. Res, 13, pp. 1777-1786. , [CrossRef]; Aneed, N., Al-Isaw, M., Mohammed, A., Al-Janabi, I., Effect of foliar application with kinetin and amino acids in the vegetative growth and chemical content of young olive trees cv. "K18 (2021) Ann. Rom. Soc. Cell Biol, 25, pp. 10067-10076; El-Tanany, M.M., Shaimaa, A.M., Effect of foliar application of cytokinin, active dry yeast and potassium on fruit size, yield, fruit quality and leaf mineral composition of Valencia orange trees (2016) Egypt. J. Hortic, 43, pp. 389-414. , [CrossRef]; Dastkar, E., Soleimani, A., Jafary, H., de Dios Alche, J., Bahari, A., Zeinalabedini, M., Salami, S.A., Differential expression of genes in olive leaves and buds of ON- versus OFF-crop trees (2020) Sci. Rep, 10, p. 15762. , [CrossRef] [PubMed]; Fichtner, E.J., Chao, Y.Y., Ferguson, L., Verreynne, J.S., Tang, L., Lovatt, C.J., Repeating cycles of ON and OFF yields in alternate bearing olive, pistachio and citrus trees—Different mechanisms, common solutions (2021) Acta Hortic, 1315, pp. 1-10. , [CrossRef]; Fichtner, E.J., Lovatt, C.J., Alternate bearing in olive (2018) Proceedings of the VIII International Olive Symposium, pp. 2281-2297. , Split, Croatia, 30 April; Motisi, N., Ribeyre, F., Poggi, S., Coffee tree architecture and its interactions with microclimates drive the dynamics of coffee berry disease in coffee trees (2019) Sci. Rep, 9, p. 2544. , [CrossRef]; Jimenez-Brenes, F.M., Lopez-Granados, F., De Castro, A.I., Torres-Sanchez, J., Serrano, N., Pena, J.M., Quantifying pruning impacts on olive tree architecture and annual canopy growth by using UAV-based 3D modelling (2017) Plant Methods, 13, p. 55. , [CrossRef]; Miranda-Fuentes, A., Llorens, J., Gamarra-Diezma, J.L., Gil-Ribes, J.A., Gil Moya, E., Towards an optimized method of olive tree crown volume measurement (2015) Sensors, 15, pp. 3671-3687. , [CrossRef]; Albarracm, V., Hall, A.J., Searles, P.S., Rousseaux, M.C., Responses of vegetative growth and fruit yield to winter and summer mechanical pruning in olive trees (2017) Sci. Hortic, 225, pp. 185-194. , [CrossRef]; Lodolini, E.M., Polverigiani, S., Paolasini, F., Evangelista, G., Tarragoni, A., Neri, D., Effect of root pruning on vegetative- reproductive balance of young olive trees (2017) Proceedings of the X International Symposium on Modelling in Fruit Research and Orchard Management, pp. 113-118. , Montpellier, France, 10 May; Assirelli, A., Romano, E., Bisaglia, C., Lodolini, E.M., Neri, D., Brambilla, M., Canopy index evaluation for precision management in an intensive olive orchard (2021) Sustainability, 13, p. 8266. , [CrossRef]; Contreras, R.L.G., Duarte, R.M., Carvajal, A.L., Contreras, F.R., Ramirez, F.N., Effect of rejuvenation pruning on the vegetative growth and productivity in olive under hot and arid environment of Mexico (2020) Asian J. Agric. Hortic. Res, 6, pp. 46-52. , [CrossRef]; Martrn-Rodrfguez, J.A., Huertas, R., Ho-Plagaro, T., Ocampo, J.A., Tureckova, V., Tarkowska, D., Ludwig-Muller, J., Garda- Garrido, J.M., Gibberellin-abscisic acid balances during arbuscular mycorrhiza formation in tomato (2016) Front. Plant Sci, 7, p. 1273. , [CrossRef] [PubMed]; Liao, D., Wang, S., Cui, M., Liu, J., Chen, A., Xu, G., Phytohormones regulate the development of arbuscular mycorrhizal symbiosis (2018) Int. J. Mol. Sci, 19, p. 3146. , [CrossRef] [PubMed]; Abu-Elsaoud, A.M., Nafady, N.A., Abdel-Azeem, A.M., Arbuscular mycorrhizal strategy for zinc mycoremediation and dimin¬ished translocation to shoots and grains in wheat (2017) PLoS ONE, 12, p. e0188220. , [CrossRef] [PubMed]; Tedersoo, L., Bahram, M., Mycorrhizal types differ in ecophysiology and alter plant nutrition and soil processes (2019) Biol. Rev, 94, pp. 1857-1880. , [CrossRef]; van der Heijden, M.G.A., Dombrowski, N., Schlaeppi, K., Continuum of root-fungal symbioses for plant nutrition (2017) Proc. Natl. Acad. Sci. USA, 114, pp. 11574-11576. , [CrossRef]; Begum, N., Qin, C., Ahanger, M.A., Raza, S., Khan, M.I., Ashraf, M., Ahmed, N., Zhang, L., Role of arbuscular mycorrhizal fungi in plant growth regulation: Implications in abiotic stress tolerance (2019) Front. Plant Sci, 10, p. 1068. , [CrossRef]; Boutaj, H., Chakhchar, A., Meddich, A., Wahbi, S., El Alaoui-Talibi, Z., Douira, A., Filali-Maltouf, A., El Modafar, C., Bioprotection of olive tree from Verticillium wilt by autochthonous endomycorrhizal fungi (2020) J. Plant Dis. Prot, 127, pp. 349-357. , [CrossRef]; Boutaj, H., Chakhchar, A., Meddich, A., Wahbi, S., El Alaoui-Talibi, Z., Douira, A., Filali-Maltouf, A., El Modafar, C., Mycorrhizal autochthonous consortium induced defense-related mechanisms of olive trees against Verticillium dahliae (2020) J. Plant Dis. Prot, 128, pp. 225-237. , [CrossRef]; Hao, Z., Xie, W., Chen, B., Arbuscular mycorrhizal symbiosis affects plant immunity to viral infection and accumulation (2018) Viruses, 11, p. 534. , [CrossRef]; Dara, S.K., Non-entomopathogenic roles of entomopathogenic fungi in promoting plant health and growth (2019) Insects, 10, p. 277. , [CrossRef]; Mohanty, S.P., Hughes, D.P., Salathe, M., Using deep learning for image-based plant disease detection (2016) Front. Plant Sci, 7, p. 1419. , [CrossRef]; Soudzilovskaia, N.A., Douma, J.C., Akhmetzhanova, A.A., van Bodegom, P.M., Cornwell, W.K., Moens, E.J., Treseder, K.K., Cornelissen, J.H.C., Global patterns of plant root colonization intensity by mycorrhizal fungi explained by climate and soil chemistry (2015) Glob. Ecol. Biogeogr, 24, pp. 371-382. , [CrossRef]; Lehmann, J., Kleber, M., The contentious nature of soil organic matter (2015) Nature, 528, pp. 60-68. , [CrossRef]; Tisdall, J., Formation of soil aggregates and accumulation of soil organic matter (2020) Structure and Organic Matter Storage in Agricultural Soils, pp. 57-96. , CRC Press: Boca Raton, FL, USA; Parton, W.J., Ojima, D.S., Schimel, D.S., Models to evaluate soil organic matter storage and dynamics (2020) Structure and Organic Matter Storage in Agricultural Soils, pp. 421-448. , CRC Press: Boca Raton, FL, USA; Ameloot, N., Sleutel, S., Das, K.C., Kanagaratnam, J., de Neve, S., Biochar amendment to soils with contrasting organic matter level: Effects on N mineralization and biological soil properties (2013) GCB Bioenergy, 7, pp. 135-144. , [CrossRef]; Marzi, M., Shahbazi, K., Kharazi, N., Rezaei, M., The influence of organic amendment source on carbon and nitrogen mineralization in different soils (2020) J. Soil Sci. Plant Nutr, 20, pp. 177-191. , [CrossRef]; Oldfield, E.E., Wood, S.A., Bradford, M.A., Direct effects of soil organic matter on productivity mirror those observed with organic amendments (2017) Plant Soil, 423, pp. 363-373. , [CrossRef]; Caulfield, M.E., Fonte, S.J., Tittonell, P., Vanek, S.J., Sherwood, S., Oyarzun, P., Borja, R.M., Groot, J.C.J., Inter¬community and on-farm asymmetric organic matter allocation patterns drive soil fertility gradients in a rural Andean landscape (2020) Land Degrad. Dev, 31, pp. 2973-2985. , [CrossRef]; Lazicki, P., Geisseler, D., Lloyd, M., Nitrogen mineralization from organic amendments is variable but predictable (2020) J. Environ. Qual, 49, pp. 483-495. , [CrossRef]; Bello-Alvarez, O.F., Garda-Molano, J.F., Cuervo-Bejarano, W.J., Cuantificacion de diazotrofos en la rizosfera del olivo (Olea europaea L.) cultivado en Boyaca, Colombia (2016) Acta Agron, 65, pp. 109-115. , [CrossRef]; Beghe, D., Garda-Molano, J.F., Fabbri, A., Ganino, T., Olive biodiversity in Colombia. A molecular study of local germplasm (2015) Sci. Hortic, 189, pp. 122-131. , [CrossRef]; Bouyoucos, G.J., Hydrometer method improved for making particle size analyses of soils (1962) Agron. J, 54, pp. 464-465. , [CrossRef]; Yoder, R.E., A direct method of aggregate analysis of soils and a study of the physical nature of erosion losses (1936) Agron. J, 28, pp. 337-351. , [CrossRef]; (2006) Metodos Analtticos del Laboratorio de Suelos, , Republica de Colombia Departamento Administrativo Nacional de Estad^stica: Bogota, Colombia; Munsell, A., (1994) Munsell Soil Color Charts, , Munsell Color: New Windsor, NY, USA; Walkley, A., Black, I.A., An examination of the Degtjareff method for determining soil organic matter, and a proposed modification of the chromic acid titration method (1934) Soil Sci, 37, pp. 29-38. , [CrossRef]; Sieverding, E., (1983) Manual de Metodos de Investigation para la Micorriza Veswulo-Arbuscular en el Laboratorio, , Consultative Group on International Agricultural Research (CGIAR): Montpellier, France; Posada, R.H., Sanchez de Prager, M., Pomar, D., Castillo, M., (2010) Metodologias Basicas para el Trabajo con Micorriza Arbuscular y Hongos Formadores de Micorriza Arbuscular, , Posada, R.H., Sanchez de Prager, M., Velasquez Pomar, D., Narvaez, M., Eds.; Universidad Nacional de Colombia: Palmira, Colombia, ISBN 978-958-8095-60-8; Dobereiner, J., Day, J., Associative symbiosis and free-living systems (1974) Proceedings of the 1st International Symposium on Nitrogen Fixation, pp. 518-538. , Pullman, WA, USA, 3-7 June Washington State University Press: Pullman, WA, USA, 1976; Wood, P.J., Specificity in the interaction of direct dyes with polysaccharides (1980) Carbohydr. Res, 85, pp. 271-287. , [CrossRef]; Osorio, N.W., Habte, M., Synergistic influence of an arbuscular mycorrhizal fungus and a P solubilizing fungus on growth and P uptake of Leucaena leucocephala in an oxisol (2001) Arid Land Res. Manag, 15, pp. 263-274. , [CrossRef]; Tabatabai, M.A., Bremner, J.M., Use of P-nitrophenyl phosphate for assay of soil phosphatase activity (1969) Soil Biol. Biochem, 1, pp. 301-307. , [CrossRef]; Miller, G.L., Use of dinitrosalicylic acid reagent for determination of reducing sugar (1959) Anal. Chem, 31, pp. 426-428. , [CrossRef]; Cribari-Neto, F., Zeileis, A., Beta regression in R (2010) J. Stat. Softw, 34, pp. 1-24. , [CrossRef]; Lenth, R., Singmann, H., Love, J., Buerkner, P., Herve, M., (2019) Emmeans: Estimated Marginal Means, aka Least-Squares Means, , Https://CRAN.R-project.org/package=emmeans, (accessed on 14 March 2022); Newson, R., Parameters behind "Nonparametric" statistics: Kendall's tau, Somers' D and median differences (2002) Stata J, 2, pp. 45-64. , [CrossRef]; (2019) RStudio: Integrated Development Environment for R, , RStudio Team: Boston, MA, USA; Le, S., Josse, J., Husson, F., FactoMineR: An R package for multivariate analysis (2008) J. Stat. Softw, 25, pp. 1-18. , [CrossRef]; Wickham, H., (2016) Ggplot2: Elegant Graphics for Data Analysis, , Springer: New York, NY, USA; Wei, T., Simko, V. R, (2017) Package "Corrplot": Visualization of a Correlation Matrix, , RStudio Team: Boston, MA, USA; Venables, W.N., Ripley, B.D., (2002) Modern Applied Statistics with S, , 4th ed.; Springer: New York, NY, USA, ISBN 0-387-95457-0; Weissgerber, T.L., Milic, N.M., Winham, S.J., Garovic, V.D., Beyond bar and line graphs: Time for a new data presentation paradigm (2015) PLoS Biol, 13, p. e1002128. , [CrossRef]; Signorell, A., Aho, K., Alfons, A., Anderegg, N., Aragon, T., Arachchige, C., (2019) DescTools: Tools for Descriptive Statistics, , R Package Version 0.99; R Studio Team: Boston, MA, USA; Pio, R., de Souza, F.B.M., Coelho, V.A.T., Rodas, C.L., da Silva, I.P., de Melo, E.T., Visual symptoms and nutritional deficiencies in olive trees under subjected to nutrient deprivation (2019) Acta Sci. Agron, 41, p. 39582. , [CrossRef]; Tekaya, M., El-Gharbi, S., Mechri, B., Chehab, H., Bchir, A., Chraief, I., Ayachi, M., Hammami, M., Improving performance of olive trees by the enhancement of key physiological parameters of olive leaves in response to foliar fertilization (2016) Acta Physiol. Plant, 38, p. 101. , [CrossRef]; Zipori, I., Erel, R., Yermiyahu, U., Ben-Gal, A., Dag, A., Sustainable management of olive orchard nutrition: A review (2019) Agriculture, 10, p. 11. , [CrossRef]; Erel, R., Yermiyhu, Y., Ben-Gal, A., Dag, A., Olive fertilization under intensive cultivation management (2018) Acta Hortic, 1217, pp. 207-224. , [CrossRef]; Tejada, M., Bemtez, C., Effects of different organic wastes on soil biochemical properties and yield in an olive grove (2020) Appl. Soil Ecol, 146, p. 103371. , [CrossRef]; Alcaras, L.M.A., Rousseaux, M.C., Searles, P.S., Responses of several soil and plant indicators to post-harvest regulated deficit irrigation in olive trees and their potential for irrigation scheduling (2016) Agric. Water Manag, 171, pp. 10-20. , [CrossRef]; Torres, M., Pierantozzi, P., Searles, P., Rousseaux, M.C., Garcia-Inza, G., Miserere, A., Bodoira, R., Maestri, D., Olive cultivation in the southern hemisphere: Flowering, water requirements and oil quality responses to new crop environments (2017) Front. Plant Sci, 8, p. 1830. , [CrossRef]; Fikrinda, F., Syafruddin, S., Sufardi, S., Sriwati, R., Combined application of native mycorrhizal and cellulolytic fungi to manage drought effects on maize (2019) IOP Conf. Ser. Earth Environ. Sci, 334, p. 012072. , [CrossRef]; Hinsinger, P., Herrmann, L., Lesueur, D., Robin, A., Trap, J., Waithaisong, K., Plassard, C., Impact of roots, microorganisms and microfauna on the fate of soil phosphorus in the rhizosphere (2015) Annu. Plant Rev, 48, pp. 375-407. , [CrossRef]; Rich, M., Eschorderet, M., Ereinhardt, D., The role of the cell wall compartment in mutualistic symbioses of plants (2014) Front. Plant Sci, 5, p. 238. , [CrossRef]; Essahibi, A., Benhiba, L., Babram, M.A., Ghoulam, C., Qaddoury, A., Influence of arbuscular mycorrhizal fungi on the functional mechanisms associated with drought tolerance in carob (Ceratonia siliqua L.) (2017) Trees, 32, pp. 87-97. , [CrossRef]; Zheng, H., Liu, Y., Zhang, J., Chen, Y., Yang, L., Li, H., Wang, L., Factors influencing soil enzyme activity in China's forest ecosystems (2017) Plant Ecol, 219, pp. 31-44. , [CrossRef]; Ramos, F.T., Dores, E.F.D.C., Weber, O.L.D.S., Beber, D.C., Campelo, J.H., Maia, J.C.D.S., Soil organic matter doubles the cation exchange capacity of tropical soil under no-till farming in Brazil (2018) J. Sci. Food Agric, 98, pp. 3595-3602. , [CrossRef]; Matsui, K., Takata, Y., Matsuura, S., Wagai, R., Soil organic carbon was more strongly linked with soil phosphate fixing capacity than with clay content across 20,000 agricultural soils in Japan: A potential role of reactive aluminum revealed by soil database approach (2021) Soil Sci. Plant Nutr, 67, pp. 233-242. , [CrossRef]; Fink, J.R., Inda, A.V., Tiecher, T., Barron, V., Iron oxides and organic matter on soil phosphorus availability (2016) Cienc. AgroTecnol, 40, pp. 369-379. , [CrossRef]; Yang, X., Chen, X., Yang, X., Effect of organic matter on phosphorus adsorption and desorption in a black soil from northeast China (2019) Soil Tillage Res, 187, pp. 85-91. , [CrossRef]; Rodriguez Sousa, A., Parra-Lopez, C., Sayadi-Gmada, S., Barandica, J.M., Rescia, A.J., Impacts of erosion on the sustainability of organic olive groves: A case study (Estepa region, southwestern Spain) (2021) Sustainability, 13, p. 7983. , [CrossRef]; Yu, K., Chen, X., Pan, G., Zhang, X., Chen, C., Dynamics of soil available phosphorus and its impact factors under simulated climate change in typical farmland of Taihu Lake region, China (2016) Environ. Monit. Assess, 188, p. 88. , [CrossRef]; Lemanowicz, J., Dynamics of phosphorus content and the activity of phosphatase in forest soil in the sustained nitrogen compounds emissions zone (2018) Environ. Sci. Pollut. Res, 25, pp. 33773-33782. , [CrossRef] [PubMed]; Do Nascimento, C.A.C., Pagliari, P.H., da Faria, L.A., Vitti, G.C., Phosphorus mobility and behavior in soils treated with calcium, ammonium, and magnesium phosphates (2018) Soil Sci. Soc. Am. J, 82, pp. 622-631. , [CrossRef]; Cisse, G., Essi, M., Kedi, B., Mollier, A., Staunton, S., Contrasting effects of long-term phosphorus fertilization on glomalin-related soil protein (GRSP) (2021) Eur. J. Soil Biol, 107, p. 103363. , [CrossRef]; Liu, H., Wang, X., Liang, C., Ai, Z., Wu, Y., Xu, H., Xue, S., Liu, G., Glomalin-related soil protein affects soil aggregation and recovery of soil nutrient following natural revegetation on the Loess Plateau (2020) Geoderma, 357, p. 113921. , [CrossRef]; Zhang, D., Easterling, K.A., Pitra, N.J., Coles, M.C., Buckler, E.S., Bass, H.W., Matthews, P.D., Non-mendelian single-nucleotide polymorphism inheritance and atypical meiotic configurations are prevalent in hop (2017) Plant Genome, 10, p. 32. , [CrossRef] [PubMed]; Syib'li, M.A., Muhibuddin, A., Djauhari, S., Arbuscular mycorrhiza fungi as an indicator of soil fertility (2013) Agrivita J. Agric. Sci, 35, pp. 44-53. , [CrossRef]; Kabir, A.H., Debnath, T., Das, U., Prity, S.A., Haque, A., Rahman, M.M., Parvez, M.S., Arbuscular mycorrhizal fungi alleviate Fe-deficiency symptoms in sunflower by increasing iron uptake and its availability along with antioxidant defense (2020) Plant Physiol. Biochem, 150, pp. 254-262. , [CrossRef]; Zou, Y.-N., Zhang, D.-J., Liu, C.-Y., Wu, Q.-S., Relationships between mycorrhizas and root hairs (2019) Pak. J. Bot, 51, pp. 727-733. , [CrossRef]; Igiehon, N.O., Babalola, O.O., Rhizosphere microbiome modulators: Contributions of nitrogen fixing bacteria towards sustainable agriculture (2018) Int. J. Environ. Res. Public Health, 15, p. 574. , [CrossRef]; Aasfar, A., Bargaz, A., Yaakoubi, K., Hilali, A., Bennis, I., Zeroual, Y., Meftah Kadmiri, I., Nitrogen fixing Azotobacter species as potential soil biological enhancers for crop nutrition and yield stability (2021) Front. Microbiol, 12, p. 628379. , [CrossRef]; Menezes-Blackburn, D., Giles, C., Darch, T., George, T.S., Blackwell, M., Stutter, M., Shand, C., Wendler, R., Opportunities for mobilizing recalcitrant phosphorus from agricultural soils: A review (2018) Plant Soil, 427, pp. 5-16. , [CrossRef] [PubMed]; Cruz-Paredes, C., Diera, T., Davey, M., Rieckmann, M.M., Christensen, P., dela Cruz, M., Laursen, K.H., Nybroe, O., Disentangling the abiotic and biotic components of AMF suppressive soils (2021) Soil Biol. Biochem, 159, p. 108305. , [CrossRef]; Della Monica, I.F., Godeas, A.M., Scervino, J.M., In vivo modulation of arbuscular mycorrhizal symbiosis and soil quality by fungal P solubilizers (2020) Microb. Ecol, 79, pp. 21-29. , [CrossRef] [PubMed]; Liu, M., Shen, Y., Li, Q., Xiao, W., Song, X., Arbuscular mycorrhizal fungal colonization and soil pH induced by nitrogen and phosphorus additions affects leaf C:N:P stoichiometry in Chinese fir (Cunninghamia lanceolata) forests (2021) Plant Soil, 461, pp. 421-440. , [CrossRef]; De Souza-Torres, A., Govea-Alcaide, E., Gomez-Padilla, E., Masunaga, S.H., Effenberger, F.B., Rossi, L.M., Lopez-Sanchez, R., Jardim, R.F., Fe3O4 nanoparticles and Rhizobium inoculation enhance nodulation, nitrogen fixation and growth of common bean plants grown in soil (2020) Rhizosphere, 17, p. 100275. , [CrossRef]; Da Pereira, A.P.A., Santana, M.C., Zagatto, M.R.G., Brandani, C.B., Wang, J.-T., Verma, J.P., Singh, B.K., Cardoso, E.J., Nitrogen- fixing trees in mixed forest systems regulate the ecology of fungal community and phosphorus cycling (2021) Sci. Total Environ, 758, p. 143711. , [CrossRef]; Singh, S., Varma, A., Structure, Function, and Estimation of Leghemoglobin (2017) Rhizobium Biology and Biotechnology, pp. 309-330. , Springer: Cham, Switzerland; Aleixo, S., Gama-Rodrigues, A.C., Gama-Rodrigues, E.F., Campello, E.F.C., Silva, E.C., Schripsema, J., Can soil phosphorus availability in tropical forest systems be increased by nitrogen-fixing leguminous trees? (2020) Sci. Total Environ, 712, p. 136405. , [CrossRef]; Widdig, M., Schleuss, P.-M., Weig, A.R., Guhr, A., Biederman, L.A., Borer, E.T., Crawley, M.J., Wragg, P.D., Nitrogen and phosphorus additions alter the abundance of phosphorus-solubilizing bacteria and phosphatase activity in grassland soils (2019) Front. Environ. Sci, 7, p. 185. , [CrossRef]; Margalef, O., Sardans, J., Fernandez-Martinez, M., Molowny-Horas, R., Janssens, I.A., Ciais, P., Goll, D., Asensio, D., Global patterns of phosphatase activity in natural soils (2017) Sci. Rep, 7, p. 1337. , [CrossRef]; Nehls, U., Plassard, C., Nitrogen and phosphate metabolism in ectomycorrhizas (2018) New Phytol, 220, pp. 1047-1058. , [CrossRef]; Bucking, H., Kafle, A., Role of arbuscular mycorrhizal fungi in the nitrogen uptake of plants: Current knowledge and research gaps (2015) Agronomy, 5, pp. 587-612. , [CrossRef]; Munoz-Cobo, M.P., Guillen, J.H., Poda del olivo. Moderna olivicoltura (1998) Editorial Agricola Espanola, 52, p. 77</t>
  </si>
  <si>
    <t>Garda-Molano, J.F.; Grupo de Investigation en Agricultura Organizaciones &amp; Frutos (AO&amp;F), Colombia; email: jgarcia@jdc.edu.co</t>
  </si>
  <si>
    <t>Rodolfi</t>
  </si>
  <si>
    <t>2-s2.0-85132551755</t>
  </si>
  <si>
    <t>Yaguna C.E., Zapata Ó.</t>
  </si>
  <si>
    <t>8451471300;15133702600;</t>
  </si>
  <si>
    <t>Fermion and scalar two-component dark matter from a Z4 symmetry</t>
  </si>
  <si>
    <t>Physical Review D</t>
  </si>
  <si>
    <t>https://www.scopus.com/inward/record.uri?eid=2-s2.0-85131668512&amp;doi=10.1103%2fPhysRevD.105.095026&amp;partnerID=40&amp;md5=6a1c47d42b619e7acf99a5e2c6cbdd10</t>
  </si>
  <si>
    <t>Escuela de Física, Universidad Pedagógica y Tecnológica de Colombia, Avenida Central del Norte # 39-115, Tunja, Colombia; Instituto de Física, Universidad de Antioquia, Calle 70 # 52-21, Apartado Aéreo 1226, Medellín, Colombia</t>
  </si>
  <si>
    <t>Yaguna, C.E., Escuela de Física, Universidad Pedagógica y Tecnológica de Colombia, Avenida Central del Norte # 39-115, Tunja, Colombia; Zapata, Ó., Instituto de Física, Universidad de Antioquia, Calle 70 # 52-21, Apartado Aéreo 1226, Medellín, Colombia</t>
  </si>
  <si>
    <t>We revisit a two-component dark matter model in which the dark matter particles are a singlet fermion (ψ) and a singlet scalar (S), both stabilized by a single Z4 symmetry. The model - proposed by Cai and Spray - is remarkably simple, with its phenomenology determined by just five parameters: the two dark matter masses and three dimensionless couplings. In fact, S interacts with the Standard Model particles via the usual Higgs portal, whereas ψ only interacts directly with S, via the Yukawa terms ψc¯(ys+ypγ5)ψS. We consider the two possible mass hierarchies among the dark matter particles, MS&lt;Mψ and Mψ&lt;MS, and numerically investigate the consistency of the model with current bounds. The main novelties of our analysis are the inclusion of the yp coupling, the update of the direct-detection limits, and a more detailed characterization of the viable parameter space. For dark matter masses below 1.3 TeV or so, we find that not only is the model compatible with all known constraints, but it also gives rise to observable signals in future dark matter experiments. Our results show that both dark matter particles may be observed in direct-detection experiments and that the most relevant indirect-detection channel is due to the annihilation of ψ. We also argue that this setup can be extended to other ZN symmetries and additional dark matter particles. © 2022 authors. Published by the American Physical Society. Published by the American Physical Society under the terms of the "https://creativecommons.org/licenses/by/4.0/"Creative Commons Attribution 4.0 International license. Further distribution of this work must maintain attribution to the author(s) and the published article's title, journal citation, and DOI. Funded by SCOAP3.</t>
  </si>
  <si>
    <t>80740-492-2021; 2017-16286, 2020-33177</t>
  </si>
  <si>
    <t>The work of O. Z. is supported by Sostenibilidad-Universidad de Antioquia (UdeA), the UdeA/Comité para el Desarrollo de la Investigación (CODI) Grants 2017-16286 and 2020-33177. O. Z. additionally received funding from Ministerio de Ciencias through the Grant 80740-492-2021.</t>
  </si>
  <si>
    <t>Aghanim, N., (2020) Astron. Astrophys, 641, p. A6. , (Planck Collaboration), AAEJAF 0004-6361; Jungman, G., Kamionkowski, M., Griest, K., (1996) Phys. Rep, 267, p. 195. , PRPLCM 0370-1573; Bertone, G., Hooper, D., Silk, J., (2005) Phys. Rep, 405, p. 279. , PRPLCM 0370-1573; Arcadi, G., Dutra, M., Ghosh, P., Lindner, M., Mambrini, Y., Pierre, M., Profumo, S., Queiroz, F. S., (2018) Eur. Phys. J. C, 78, p. 203. , EPCFFB 1434-6044; Bernal, N., Heikinheimo, M., Tenkanen, T., Tuominen, K., Vaskonen, V., (2017) Int. J. Mod. Phys. A, 32, p. 1730023. , IMPAEF 0217-751X; Boehm, C., Fayet, P., Silk, J., (2004) Phys. Rev. D, 69, p. 101302. , PRVDAQ 0556-2821; Ma, E., (2006) Ann. Fond. Louis de Broglie, 31, p. 285. , AFLBDU 0182-4295; Cao, Q.-H., Ma, E., Wudka, J., Yuan, C. P., arXiv:0711.3881; Hur, T., Lee, H.-S., Nasri, S., (2008) Phys. Rev. D, 77, p. 015008. , PRVDAQ 1550-7998; Lee, H.-S., (2008) Phys. Lett. B, 663, p. 255. , PYLBAJ 0370-2693; Zurek, K. M., (2009) Phys. Rev. D, 79, p. 115002. , PRVDAQ 1550-7998; Barger, V., Langacker, P., McCaskey, M., Ramsey-Musolf, M., Shaughnessy, G., (2009) Phys. Rev. D, 79, p. 015018. , PRVDAQ 1550-7998; Profumo, S., Sigurdson, K., Ubaldi, L., J. Cosmol. Astropart. Phys, 2009 (12), p. 016. , JCAPBP 1475-7516; Batell, B., (2011) Phys. Rev. D, 83, p. 035006. , PRVDAQ 1550-7998; Belanger, G., Park, J.-C., J. Cosmol. Astropart. Phys, 2012, p. 038. , 03 JCAPBP 1475-7516; Baer, H., Lessa, A., Rajagopalan, S., Sreethawong, W., J. Cosmol. Astropart. Phys, 2011, p. 031. , 06 JCAPBP 1475-7516; Liu, Z.-P., Wu, Y.-L., Zhou, Y.-F., (2011) Eur. Phys. J. C, 71, p. 1749. , EPCFFB 1434-6044; Ivanov, I. P., Keus, V., (2012) Phys. Rev. D, 86, p. 016004. , PRVDAQ 1550-7998; Belanger, G., Kannike, K., Pukhov, A., Raidal, M., J. Cosmol. Astropart. Phys, 2012, p. 010. , 04 JCAPBP 1475-7516; Modak, K. P., Majumdar, D., Rakshit, S., J. Cosmol. Astropart. Phys, 2015, p. 011. , 03 JCAPBP 1475-7516; Bélanger, G., Boudjema, F., Pukhov, A., Semenov, A., (2015) Comput. Phys. Commun, 192, p. 322. , CPHCBZ 0010-4655; Esch, S., Klasen, M., Yaguna, C. E., J. High Energy Phys, 2014, p. 108. , 09 JHEPFG 1029-8479; Bélanger, G., Kannike, K., Pukhov, A., Raidal, M., J. Cosmol. Astropart. Phys, 2014, p. 021. , 06 JCAPBP 1475-7516; Cai, Y., Spray, A. P., J. High Energy Phys, 2016, p. 087. , 01 JHEPFG 1029-8479; Biswas, A., Majumdar, D., Roy, P., J. High Energy Phys, 2015, p. 065. , 04 JHEPFG 1029-8479; Arcadi, G., Gross, C., Lebedev, O., Mambrini, Y., Pokorski, S., Toma, T., J. High Energy Phys, 2016 (12), p. 081. , JHEPFG 1029-8479; Bhattacharya, S., Poulose, P., Ghosh, P., J. Cosmol. Astropart. Phys, 2017, p. 043. , 04 JCAPBP 1475-7516; Bhattacharya, S., Ghosh, P., Maity, T. N., Ray, T. S., J. High Energy Phys, 2017 (10), p. 088. , JHEPFG 1029-8479; Pandey, M., Majumdar, D., Modak, K. P., J. Cosmol. Astropart. Phys, 2018, p. 023. , 06 JCAPBP 1475-7516; Ahmed, A., Duch, M., Grzadkowski, B., Iglicki, M., (2018) Eur. Phys. J. C, 78, p. 905. , EPCFFB 1434-6044; Bhattacharya, S., Ghosh, P., Sahu, N., J. High Energy Phys, 2019, p. 059. , 02 JHEPFG 1029-8479; Yaser Ayazi, S., Mohamadnejad, A., (2019) Eur. Phys. J. C, 79, p. 140. , EPCFFB 1434-6044; Bernal, N., Restrepo, D., Yaguna, C., Zapata, O., (2019) Phys. Rev. D, 99, p. 015038. , PRVDAQ 2470-0010; Poulin, A., Godfrey, S., (2019) Phys. Rev. D, 99, p. 076008. , PRVDAQ 2470-0010; Carvajal, C. D. R., Zapata, O., (2019) Phys. Rev. D, 99, p. 075009. , PRVDAQ 2470-0010; Borah, D., Roshan, R., Sil, A., (2019) Phys. Rev. D, 100, p. 055027. , PRVDAQ 2470-0010; Nanda, D., Borah, D., (2020) Eur. Phys. J. C, 80, p. 557. , EPCFFB 1434-6044; Yaguna, C. E., Zapata, O., J. High Energy Phys, 2020, p. 109. , 03 JHEPFG 1029-8479; Betancur, A., Palacio, G., Rivera, A., (2021) Nucl. Phys, B962, p. 115276. , NUPBBO 0550-3213; Hernandez-Sanchez, J., Keus, V., Moretti, S., Rojas-Ciofalo, D., Sokolowska, D., arXiv:2012.11621; Bélanger, G., Pukhov, A., Yaguna, C. E., Zapata, O., J. High Energy Phys, 2020, p. 030. , 09 JHEPFG 1029-8479; Choi, S.-M., Kim, J., Ko, P., Li, J., J. High Energy Phys, 2021, p. 028. , 09 JHEPFG 1029-8479; Belanger, G., Mjallal, A., Pukhov, A., (2022) Phys. Rev. D, 105, p. 035018. , PRVDAQ 2470-0010; Yaguna, C. E., Zapata, O., J. High Energy Phys, 2021 (10), p. 185. , JHEPFG 1029-8479; Díaz Sáez, B., Escalona, P., Norero, S., Zerwekh, A. R., J. High Energy Phys, 2021 (10), p. 233. , JHEPFG 1029-8479; Carvajal, C. D. R., Longas, R., Rodríguez, O., Zapata, O., (2022) Phys. Rev. D, 105, p. 015003. , PRVDAQ 2470-0010; Mohamadnejad, A., J. High Energy Phys, 2022, p. 188. , 03 JHEPFG 1029-8479; Silveira, V., Zee, A., (1985) Phys. Lett, 161B, p. 136. , PYLBAJ 0370-2693; McDonald, J., (1994) Phys. Rev. D, 50, p. 3637. , PRVDAQ 0556-2821; Burgess, C., Pospelov, M., ter Veldhuis, T., (2001) Nucl. Phys, B619, p. 709. , NUPBBO 0550-3213; Cline, J. M., Kainulainen, K., Scott, P., Weniger, C., (2013) Phys. Rev. D, 88, p. 055025. , PRVDAQ 1550-7998; Cline, J. M., Kainulainen, K., Scott, P., Weniger, C., (2015) Phys. Rev. D, 92, p. 039906. , (E) PRVDAQ 1550-7998; Athron, P., Cornell, J. M., Kahlhoefer, F., Mckay, J., Scott, P., Wild, S., (2018) Eur. Phys. J. C, 78, p. 830. , EPCFFB 1434-6044; Steigman, G., Dasgupta, B., Beacom, J. F., (2012) Phys. Rev. D, 86, p. 023506. , PRVDAQ 1550-7998; Hall, L. J., Jedamzik, K., March-Russell, J., West, S. M., J. High Energy Phys, 2010, p. 080. , 03 JHEPFG 1029-8479; Kim, Y. G., Lee, K. Y., (2007) Phys. Rev. D, 75, p. 115012. , PRVDAQ 1550-7998; Kim, Y. G., Lee, K. Y., Shin, S., J. High Energy Phys, 2008, p. 100. , 05 JHEPFG 1029-8479; Lopez-Honorez, L., Schwetz, T., Zupan, J., (2012) Phys. Lett. B, 716, p. 179. , PYLBAJ 0370-2693; Esch, S., Klasen, M., Yaguna, C. E., (2013) Phys. Rev. D, 88, p. 075017. , PRVDAQ 1550-7998; Hambye, T., J. High Energy Phys, 2009, p. 028. , 01 JHEPFG 1029-8479; D'Eramo, F., Thaler, J., J. High Energy Phys, 2010, p. 109. , 06 JHEPFG 1029-8479; Aprile, E., (2018) Phys. Rev. Lett, 121, p. 111302. , (XENON Collaboration), PRLTAO 0031-9007; Sirunyan, A. M., (2019) Phys. Lett. B, 793, p. 520. , (CMS Collaboration), PYLBAJ 0370-2693; (2020), ATLAS Collaboration, Report No. ATLAS-CONF-2020-008; Akerib, D. S., (2020) Phys. Rev. D, 101, p. 052002. , (LUX-ZEPLIN Collaboration), PRVDAQ 2470-0010; Aalbers, J., J. Cosmol. Astropart. Phys, 2016 (11), p. 017. , (DARWIN Collaboration), JCAPBP 1475-7516; Ackermann, M., (2015) Phys. Rev. Lett, 115, p. 231301. , (Fermi-LAT Collaboration), PRLTAO 0031-9007; Charles, E., (2016) Phys. Rep, 636, p. 1. , (Fermi-LAT Collaboration), PRPLCM 0370-1573; Queiroz, F. S., Siqueira, C., J. Cosmol. Astropart. Phys, 2019, p. 048. , 04 JCAPBP 1475-7516; Silverwood, H., Weniger, C., Scott, P., Bertone, G., J. Cosmol. Astropart. Phys, 2015, p. 055. , 03 JCAPBP 1475-7516; Patt, B., Wilczek, F., arXiv:hep-ph/0605188</t>
  </si>
  <si>
    <t>Phy. Rev. D</t>
  </si>
  <si>
    <t>2-s2.0-85131668512</t>
  </si>
  <si>
    <t>Cuenú-Cabezas F., Abonia R., Gómez Castaño J.A.</t>
  </si>
  <si>
    <t>57381843000;7004055138;57215004240;</t>
  </si>
  <si>
    <t>https://www.scopus.com/inward/record.uri?eid=2-s2.0-85130739794&amp;doi=10.3390%2fcryst12050714&amp;partnerID=40&amp;md5=465549512cff0e13ebe8062d59f597b1</t>
  </si>
  <si>
    <t>Laboratorio de Química Inorgánica y Catálisis, Programa de Química, Universidad del Quindío, Carrera 15, Calle 12 Norte, Armenia, 630004, Colombia; Grupo de Investigación de Compuestos Heterocíclicos, Departamento de Química, Universidad del Valle, Calle 13 No. 100-00, A.A. 25360, Cali, 76001, Colombia; Grupo Química-Física Molecular y Modelamiento Computacional (QUIMOL®), Facultad de Ciencias, Universidad Pedagógica y Tecnológica de Colombia (UPTC), Avenida Central del Norte, Tunja, 050030, Colombia</t>
  </si>
  <si>
    <t>Cuenú-Cabezas, F., Laboratorio de Química Inorgánica y Catálisis, Programa de Química, Universidad del Quindío, Carrera 15, Calle 12 Norte, Armenia, 630004, Colombia; Abonia, R., Grupo de Investigación de Compuestos Heterocíclicos, Departamento de Química, Universidad del Valle, Calle 13 No. 100-00, A.A. 25360, Cali, 76001, Colombia; Gómez Castaño, J.A., Grupo Química-Física Molecular y Modelamiento Computacional (QUIMOL®), Facultad de Ciencias, Universidad Pedagógica y Tecnológica de Colombia (UPTC), Avenida Central del Norte, Tunja, 050030, Colombia</t>
  </si>
  <si>
    <t>Pyrazole-phenylmethanimines (Shiff bases), Py–N=CH–Ph, form molecular crystals whose supramolecular and self-assembly properties can be tuned according to the substitution made on the aromatic and pyrazole rings. In pursuit of the first pyrazole-pyridinemethanimine member, Py–N=CH–Pyr, by following the well-known synthetic scheme for these Shiff bases, two hitherto un-known crystalline derivatives of dipyrazolo-1,5-diazocine and dipyrazolopyrimidine were obtained instead, this depending on the use or not of acetic acid as the catalyst. 1,5-diazocine crystallizes in a single P-1 triclinic packing system (Z = 2, Z′ = 1), while dipyrazolopyrimidine exhibits isostructural dimorphic behavior by adopting two (pale pink and yellow) alike P21 /c monoclinic systems (both Z = 4, Z′ = 1) as a function of the solvent used. Crystal structures were resolved by means of X-ray diffraction technique and their intramolecular, intermolecular, and supramolecular assemblies analyzed with the assistance of decorated Hirshfeld surfaces and the topology study of electron density using the quantum-theory of atoms in molecules (QTAIM). Although both dipyrazolopyrimidine polymorphs are stabilized by the same type of noncovalent motifs, the pale pink crystal has a slightly more compact structure, with more efficient inter-and intramolecular interactions. © 2022 by the authors. Licensee MDPI, Basel, Switzerland.</t>
  </si>
  <si>
    <t>1,5-diazocine; phenylmethanimines; polymorphism; pyrazolopyrimidine; Schiff bases</t>
  </si>
  <si>
    <t>Universidad del Quindío: 1050; Universidad Nacional Autónoma de México, UNAM</t>
  </si>
  <si>
    <t>Acknowledgments: The authors are grateful to Universidad del Quindío, Universidad del Valle, and Instituto de Química de la Universidad Nacional Autónoma de México (UNAM) for financial support. The authors especially acknowledge Armando Cabrera Ortiz (RIP) from UNAM for his academic assistance and beautiful friendship. J.A.G.C. is especially grateful to the Universidad Pedagógica y Tecnológica de Colombia (UPTC) for the computational facilities provided through the Laboratorio de Química Teórica y Computacional.</t>
  </si>
  <si>
    <t>Funding: This research was funded by the Universidad del Quindío through the project 1050.</t>
  </si>
  <si>
    <t>More, P.G., Karale, N.N., Lawand, A.S., Narang, N., Patil, R.H., Synthesis and anti-biofilm activity of thiazole Schiff bases (2014) Med. Chem. Res, 23, pp. 790-799. , [CrossRef]; Borthakur, S.K., Borthakur, S., Goswami, D., Boruah, P., Kalita, P.K., Synthesis and Antifungal Activities of Some New 5,7-Disubstituted[1,2,4]Triazolo[1,5-a]Pyrimidin-6-one Derivatives (2016) J. Heterocycl. Chem, 53, pp. 2079-2083. , [CrossRef]; Attaryan, H.S., Rstakyan, V.I., Hayotsyan, S.S., Asratyan, G.V., Non-catalytic Alkylation of Benzylamine with 1,3,5-Trimethyl-1H-pyrazol-4-ylmethanol (2013) Russ. J. Gen. Chem, 83, pp. 1178-1179. , [CrossRef]; Novikov, M.S., Khlebnikov, A.F., Sidorina, E.S., Masalev, A.E., Kopf, J., Kostikov, R.R., 1,3-Dipolar Cycloaddition of Azomethine Ylides Generated from Schiff Bases and Difluorocarbene to Symmetric Olefins (2002) Russ. J. Org. Chem, 38, pp. 672-682. , [CrossRef]; Chigurupati, S., Muralidharan, S., Cin, L.S., Raser, W.Y., Santhi, K., Kesavanarayanan, K.S., Studying Newly Synthesized and Developed 4-Hydroxy-3-Methoxybenzaldehyde Schiff Bases by Uv Spectrophotometry and High Performance Liquid Chromatography (2017) Pharm. Chem. J, 50, pp. 851-856. , [CrossRef]; Yang, T., Yu, Q., Wang, H., Photocatalytic Reduction of CO2 to CH3 OH Coupling with the Oxidation of Amine to Imine (2018) Catal. Lett, 148, pp. 2382-2390. , [CrossRef]; Chen, H., Li, J., Shen, Z., Zhou, H., Hao, L., Xu, H., Zhou, X., One-step synthesis of methyl eugenol/Schiff base mesoporous silica nanoparticles sustained-release performance with high lure efficiency (2019) J. Solgel Sci. Technol, 92, pp. 723-735. , [CrossRef]; Negm, N.A., Kandile, N.G., Mohamad, M.A., Characterization and Surface Activity of New Eco-friendly Schiff Bases Vanillin Derived Cationic Surfactants (2011) J. Surfact. Deterg, 14, pp. 325-331. , [CrossRef]; Feng, C., Guo, J.-J., Sun, L.-N., Zhao, H., Pyrazole Schiff bases cross-linked supramolecules: Structural elucidation and antibacterial activity (2018) J. Iran. Chem. Soc, 15, pp. 2871-2876. , [CrossRef]; Fernandez, D., Restrepo-Acevedo, A., Rocha-Roa, C., Le Lagadec, R., Abonia, R., Zacchino, S.A., Gómez Castaño, J.A., Cuenú-Cabezas, F., Synthesis, Structural Characterization, and In Vitro and In Silico Antifungal Evaluation of Azo-Azomethine Pyrazoles (PhN2 (PhOH)CHN(C3 N2 (CH3)3)PhR, R = H or NO2) (2021) Molecules, 26, p. 7435. , [CrossRef]; Moreno-Fuquen, R., Cuenú, F., Torres, J.E., De la Vega, G., Galarza, E., Abonia, R., Kennedy, A.R., Presence of π…π and C-H…π interactions in the new Schiff base 2-{(E)-[(3-tert-butyl-1-phenyl-1H-pyrazol-5-yl)imino]methyl}phenol: Experimental and DFT computational studies (2017) J. Mol. Struct, 1150, pp. 366-373. , [CrossRef]; Cuenú, F., Londoño-Salazar, J., Torres, J.E., Abonia, R., D’Vries, R.F., Synthesis, Structural Characterization and Theoretical Studies of a new Schiff Base 4-(((3-(tert-Butyl)-(1-phenyl)pyrazol-5-yl)imino)methyl)phenol (2018) J. Mol. Struct, 1152, pp. 163-176. , [CrossRef]; Cuenú, F., Restrepo-Acevedo, A., Murillo, M.I., Torres, J.E., Moreno-Fuquen, R., Abonia, R., Kennedy, A.R., Lehmann, C.W., Synthesis, structural characterization, and theoretical studies of new pyrazole (E)-2-{[(5-(tert-butyl)-1H-pyrazol-3-yl)imino]methyl}phenol and (E)-2-{[(1-(4-bromophenyl)-3-(tert-butyl)-1H-pyrazol-5-yl]imino]methyl}phenol (2019) J. Mol. Struct, 1184, pp. 59-71. , [CrossRef]; Molano, M.F., Lorett, V.P., Erben, M.F., Nossa, D.L., Loaiza, A.E., Echeverria, G.A., Piro, O.E., Gómez Castaño, J.A., Crystal structure, spectroscopic characterization and Hirshfeld surface analysis of aquadichlorido{N-[(pyridin-2-yl)methylidene]aniline}copper(II)monohydrate (2020) Acta Cryst, E76, pp. 148-154. , [CrossRef]; Kumar Jha, K., Dutta, S., Kumar, V., Munshi, P., Isostructural Polymorphs: Qualitative Insights from Energy Frameworks (2016) CrystEngComm, 18, pp. 8497-8505. , [CrossRef]; Dey, D., Thomas, S.P., Spackman, M.A., Chopra, D., ‘Quasi-isostructural polymorphism’ in molecular crystals: Inputs from interaction hierarchy and energy frameworks (2016) Chem. Commun, 52, pp. 2141-2144. , [CrossRef] [PubMed]; (2012), APEX2; Bruker AXS Inc.: Madison, WI, USA; (2012), SAINT; Bruker AXS Inc.: Madison, WI, USA; Dolomanov, O.V., Bourhis, L.J., Gildea, R.J., Howard, J.A.K., Puschmann, H., OLEX2: A complete structure solution, refinement and analysis program (2009) J. Appl. Crystallogr, 42, pp. 339-341. , [CrossRef]; Sheldrick, G.M., A short history of SHELX (2008) Acta Crystallogr. Sect. A, 64, pp. 112-122. , [CrossRef]; Brandenburg, K., Putz, H., In diamond, impact, C (2006) Crystal Impact, 102, p. 53227. , Kreuzherrenstr: Bonn, Germany; Macrae, C.F., Bruno, I.J., Chisholm, J.A., Edgington, P.R., McCabe, P., Pidcock, E., Rodriguez-Monge, L., Wood, P.A., Mercury CSD 2.0 e new features for the visualization and investigation of crystal structures (2008) J. Appl. Crystallogr, 41, pp. 466-470. , [CrossRef]; Biegler-König, F., Schönbohm, J., Update of the AIM2000-Program for atoms in molecules (2002) J. Comput. Chem, 23, pp. 1489-1494. , [CrossRef]; Frisch, M., Trucks, G., Schlegel, H., Scuseria, G., Robb, M., Cheeseman, J., Scalmani, G., Petersson, G.A., (2013) Gaussian 09, , Revision D.01; Gaussian, Inc.: Wallingford, CT, USA; Bader, R.F., (1990) Atom in Molecules: A Quantum Theory, , Oxford University Press: Oxford, UK; Spackman, M.A., Jayatilaka, D., Hirshfeld surface analysis (2009) CrystEngComm, 11, pp. 19-32. , [CrossRef]; McKinnon, J.J., Jayatilaka, D., Spackman, M.A., Towards quantitative analysis of intermolecular interactions with Hirshfeld surfaces (2007) Chem. Commun, pp. 3814-3816. , [CrossRef]; Spackman, P.R., Turner, M.J., McKinnon, J.J., Wolff, S.K., Grimwood, D.J., Jayatilaka, D., Spackman, M.A., CrystalExplorer: A program for Hirshfeld surface analysis, visualization and quantitative analysis of molecular crystals (2021) J. Appl. Cryst, 54, p. 3. , [CrossRef] [PubMed]; Kalman, A., Parkanyi, L., Argay, G., Classification of the Isostructurality of Organic Molecules in the Crystalline State (1993) Acta Cryst, B49, pp. 1039-1049. , [CrossRef]; László, F., Kalman, A., Volumetric measure of isostructurality (1999) Acta Cryst, B55, pp. 1099-1108. , [CrossRef]; Rohlicek, J., Skorepova, E., Babor, M., Cejka, J., CrystalCMP: An easy-to-use tool for fast comparison of molecular packing (2016) J. Appl. Cryst, 49, pp. 2172-2183. , [CrossRef]; Turner, M.J., McKinnon, J.J., Jayatilaka, D., Spackman, M.A., Visualization and characterization of voids in crystalline materials (2011) CrystEngComm, 13, pp. 1804-1813. , [CrossRef]; Mackenzie, C.F., Spackman, P.R., Jayatilaka, D., Spackman, M.A., CrystalExplorer model energies and energy frameworks: Extension to metal coordination compounds, organic salts, solvates and open-shell systems (2017) IUCrJ, 4, pp. 575-587. , [CrossRef]; Sajesh, T., Spackman, M.A., The Polymorphs of ROY: A Computational Study of Lattice Energies and Conformational Energy Differences (2018) Aust. J. Chem, 71, pp. 279-284. , [CrossRef]</t>
  </si>
  <si>
    <t>Cuenú-Cabezas, F.; Laboratorio de Química Inorgánica y Catálisis, Carrera 15, Calle 12 Norte, Colombia; email: fercuenu@uniquindio.edu.co</t>
  </si>
  <si>
    <t>2-s2.0-85130739794</t>
  </si>
  <si>
    <t>Marquez-Terraza A.V.</t>
  </si>
  <si>
    <t>57695690400;</t>
  </si>
  <si>
    <t>Social representations in the elderly and their influence on self-care [Representacoes sociais em idosos e sua influência no autocuidado]</t>
  </si>
  <si>
    <t>e2107</t>
  </si>
  <si>
    <t>10.15649/cuidarte.2107</t>
  </si>
  <si>
    <t>https://www.scopus.com/inward/record.uri?eid=2-s2.0-85130157663&amp;doi=10.15649%2fcuidarte.2107&amp;partnerID=40&amp;md5=ba2b3879d696d7ddb32f604f4d13536f</t>
  </si>
  <si>
    <t>Universidad Nacional de San Luis, CONICET, Universidad de Congreso, Mendoza, Argentina</t>
  </si>
  <si>
    <t>Marquez-Terraza, A.V., Universidad Nacional de San Luis, CONICET, Universidad de Congreso, Mendoza, Argentina</t>
  </si>
  <si>
    <t>Introduction: Social representations are constructions that can determine the behaviors that older people carry out, including self-care behavior. Objective: This study is aimed to describe emergent representations of health, illness and quality of life and how these relate to self-care practices in a group of older people in the eastern region of the Mendoza province. Materials and Methods: A qualitative grounded theory study was conducted based on an emerging design with 30 people over 60 years old in the eastern region of the Mendoza province, who were not institutionalized patients and had not been diagnosed with a mental illness before. A non-probability voluntary response sample was used for selection and a semi-structured interview was applied as an instrument. Results: Older people were found to have a multidimensional social representation of health, illness causes and quality of life, including physical, psychological, social and cultural elements in their representations, which is in line with self-care strategies that older people consider important to carry them out. Discussions: Although the psychological dimension was given priority in health and illness social representation, the physical self-care strategies were excelled. Conclusions: Understanding the social representations of health, illness and older people's quality of life can be a valuable tool when designing educational strategies and health and self-care promotion for such population. © 2022 Universidad de Santander. All Rights Reserved.</t>
  </si>
  <si>
    <t>Cognition; Disease; Health; Quality of Life; Self Care</t>
  </si>
  <si>
    <t>(2020) Observatorio Demográfico de América Latina y el Caribe 2019: Proyecciones de población, , https://www.cepal.org/es/publicaciones/45198-observatorio-demografico-america-latina-caribe-2019-proyeccionespoblacion, CEPAL; Huenchuan, S., (2013) Envejecimiento, solidaridad y protección social en América Latina y el Caribe. La hora de avanzar hacia la igualdad, , https://www.bivica.org/files/envejecimiento_famerica_latina.pdf, Santiago de Chile: CEPAL; (2002) Declaración Política y Plan de Acción Internacional de Madrid sobre el Envejecimiento, , https://social.un.org/ageing-working-group/documents/mipaa-sp.pdf, ONU; Envejecimiento activo: un marco político (2002) Rev Esp Geriatr Gerontol, 37 (S2), pp. 74-105. , https://ccp.ucr.ac.cr/bvp/pdf/vejez/oms_envejecimiento_activo.pdf; (2015) Informe Mundial sobre el envejecimiento y la salud, , https://apps.who.int/iris/bitstream/handle/10665/186466/9789240694873_spa.pdf, Estados Unidos de América. WHO; Cancio-Bello Ayes, C, Ruiz, AL, Alarcó Estévez, G., Autocuidado: una aproximación teórica al concepto (2020) Inf Psicológicos, 20 (2), pp. 119-138. , https://doi.org/10.18566/infpsic.v20n2a9; López Díaz, AL., Cuidando al adulto y al anciano. Teoría del déficit de autocuidado de OREM (2003) Aquichan, 3 (1), pp. 52-59. , https://aquichan.unisabana.edu.co/index.php/aquichan/article/view/38; Sanhueza Parra, MI, del, P, Castro Salas, M, Merino Escobar, JM., Optimizando la funcionalidad del adulto mayor a través de una estrategia de autocuidado (2012) Av En Enferm, 30 (1), pp. 23-31. , http://www.scielo.org.co/pdf/aven/v30n1/v30n1a03; Santamaría Salazar, EM., (2019) Calidad de vida y capacidad del autocuidado en adultos mayores, , http://repositorio.uigv.edu.pe/handle/20.500.11818/4961, Hospital María Auxiliadora, [Tesis de Licenciatura]. Universidad Inca Garcilaso de la Vega, Repositorio Institucional. 2019; Fernández, AR, Manrique-Abril, FG., Agencia de autocuidado y factores básicos condicionantes en adultos mayores (2011) Av En Enferm, 29 (1), pp. 30-41. , https://revistas.unal.edu.co/index.php/avenferm/article/view/35846; Molocho Carrasco, CE, Gálvez Díaz, N, del, C, Teque Julcarima, MS., Impacto del programa "Autocuidado para una vejez activa" en la funcionalidad del adulto mayor peruano (2020) TZHOECOEN, 12 (2), pp. 228-237. , https://doi.org/10.26495/tzh.v12i2.1261; Puello Alcocer, EC, Amador Ahumada, C, Ortega Montes, JE., Impacto de las acciones de un programa de enfermería con enfoque promocional y de autocuidado en la capacidad funcional de adultos mayores (2017) Univ Salud, 19 (2), pp. 152-162. , https://doi.org/10.22267/rus.171902.78; Abric, JC., (2001) Prácticas sociales y representaciones, , https://www.academia.edu/4035650/ABRIC_Jean_Claude_org_Practicas_Sociales_y_Representaciones, México: Coyoacán; Jodelet, D., Ciencias sociales y representaciones: Estudio de los fenómenos representativos y de los procesos sociales. De lo local a lo global (2018) ReLMeCS, 8 (2). , https://www.relmecs.fahce.unlp.edu.ar/article/view/Relmecse041; Paz Martín, S., La fuerza irresistible de las representaciones sociales: ¿una teoría orientada al cambio? (2021) Rev Inclusiones, 8 (3), pp. 1-8. , https://revistainclusiones.org/index.php/inclu/article/view/2935; Berenbaum, L, Rodríguez, M, Sambán, S, Eguidazu, S, Reciniello, P., Taller de estimulación de la memoria: un espacio para las representaciones y el lazo social de adultos mayores (2017) Revista Debate Público Reflexión Trab Soc, 7 (13-14), pp. 21-28. , http://trabajosocial.sociales.uba.ar/wpcontent/uploads/sites/13/2017/09/13_Barenbaum.pdf; Aim, M-A, Decarsin, T, Bovina, I, Dany, L., Health and Social Representations: A Structural Approach (2018) Papers on Social Representations, 27 (1), pp. 1-321. , 3. file:///D:/_Datos/Descargas/460-ArticleText-810-1-10-20180611.pdf; Guerra, HD., Las representaciones sociales de la enfermedad del adulto mayor de "La Casa-Hogar Santa Elizabeth de Turingia", barrio Nelson Mandela - sector Las Vegas, Cartagena (2012) Cienc Salud Virtual, 4 (1), pp. 102-112. , https://doi.org/10.22519/21455333.252; Dias Casimiro Valença, T, da Silva Santos, W, Lima, PV, dos Santos Santana, E, Araújo dos Reis, L., Physical disability in old age: a structural study of social representations (2017) Esc Anna Nery, 21 (1). , file:///D:/_Datos/Descargas/Physical_disability_in_old_age_A_structural_study_.pdf; Ramos-Esquivel, J, Figueroa-Ochoa, H, Marcela, A, Rubio, IA, Martínez-González, MG., La vejez y la calidad de vida desde el punto de vista de las personas mayores: un estudio sobre las representaciones sociales de un grupo social (2013) Rev Educ Desarro, 26, pp. 53-63. , https://www.cucs.udg.mx/revistas/edu_desarrollo/anteriores/26/026_Ramos.pdf; Razo González, AM, Díaz Castillo, R, López González, MP., Construcción de las Representaciones Sociales de la Calidad de Vida en diferentes etapas de la edad adulta (2018) Constr Soc Represent Qual Life Differ Stages Adulthood, 27 (1), pp. 149-167. , https://www.redalyc.org/journal/122/12260455015/html/; Gonçalves Ferreira, MC, Rangel Tura, LF, da Silva, RC, Ferreira M de, A., Social representations of older adults regarding quality of life (2017) Rev Bras Enferm, 70 (4), pp. 806-813. , https://doi.org/10.1590/0034-7167-2017-0097; Mendoza-Núñez, VM, Sarmiento-Salmorán, E, Marín-Cortés, R, Martínez-Maldonado MD la, L, Ruiz-Ramos, M., Influence of the Self-Perception of Old Age on the Effect of a Healthy Aging Program (2018) J Clin Med, 7 (5), p. 106. , https://doi.org/10.3390/jcm7050106; Strauss, A, Corbin, J., Bases de la investigación cualitativa. Técnicas y procedimientos para desarrollar la teoría fundamentada (2016), https://diversidadlocal.files.wordpress.com/2012/09/bases-investigacion-cualitativa.pdf, Contus editorial Universidad de Antioquia; Marquez-Terraza, A., Replication Data for: Representaciones Sociales En Las Personas Mayores y Su Influencia En El Autocuidado (2022) https://doi.org/10.7910/dvn/hlmgj6, Harvard Dataverse. Accedido 25 de abril de 2022; Farr, R., De las representaciones colectivas a las representaciones sociales: ida y vuelta (2003) Las representaciones sociales: Problemas teóricos y conocimientos infantiles, pp. 153-175. , En: Barcelona, España: Gedisa; Knapp Rodríguez, E, León Hernández, I, Mesa Borroto, M, Suárez Alemán, M, del, C., Representación social de la salud humana (2003) Rev Cuba Psicol, 20 (2), pp. 153-164. , http://pepsic.bvsalud.org/pdf/rcp/v20n2/07.pdf; Nieto Murillo, E., Representaciones de la vejez en relación con el proceso salud-enfermedad de un grupo de ancianos (2006) Hacia Promoc Salud, pp. 107-118. , https://revistasojs.ucaldas.edu.co/index.php/hacialapromociondelasalud/article/view/1938; Peña, S., (2018) Representaciones sociales sobre vejez en adultos mayores, , https://repositorio.uesiglo21.edu.ar/handle/ues21/16161, [Tesis de Licenciatura]. Repositorio Universidad Siglo XXI; (1986), https://www.paho.org/hq/dmdocuments/2013/Carta-de-ottawa-para-la-apromocion-de-la-salud-1986-SP.pdf, Carta de Ottawa. PAHO; (1978) Declaración de Alma Ata. PAHO, , https://www.paho.org/hq/dmdocuments/2012/Alma-Ata-1978Declaracion.pdf; (2014) Documentos básicos, , https://apps.who.int/gb/bd/PDF/bd48/basic-documents-48th-edition-sp.pdf, 48.a ed. Italia: OMS; Torres López, TM, Munguía Cortés, JA, Pozos Radillo, BE, Aguilera Velasco, M, Representaciones sociales sobre la salud y la enfermedad de la población adulta de Guadajalara, México (2010) Aten Primaria, 42 (3), pp. 154-161. , https://doi.org/10.1016/j.aprim.2009.07.002, de los Á; Vargas Santillán M de, L, Arana Gómez, B, García Hernández M de, L, Ruelas González, G, Melguizo Herrera, E, Ruíz Martínez, AO., Prácticas de autocuidado en adultos mayores: un estudio cualitativo en una población mexicana (2018) Rev Enferm Ref, 4 (16), pp. 117-126. , https://www.redalyc.org/jatsRepo/3882/388256613012/388256613012.pdf; Urrea, A, Zamora, A, Grondona, G, Anabalón Sepúlveda, M., (2006) Representaciones sociales de los adultos mayores sobre, la automedicación, la medicación y los profesionales de la salud [Tesis de Licenciatura], , http://bibliotecadigital.academia.cl:8080/xmlui/handle/123456789/2447, Repositorio Universidad Academia de Humanismo Cristiano; Ramos-Esquivel, J, Figueroa-Ochoa, H, Marcela, A, Rubio, IA, Martínez-González, MG., La vejez y la calidad de vida desde el punto de vista de las personas mayores: un estudio sobre las representaciones sociales de un grupo social (2013) Rev Educ Desarro, 26, pp. 53-63. , https://www.cucs.udg.mx/revistas/edu_desarrollo/anteriores/26/026_Ramos.pdf; Varela, LE, Gallego, EA., Percepción de la calidad de vida en un grupo de adultos mayores de Envigado (Colombia) (2015) Salud Soc UPTC, 2 (1), pp. 7-14. , https://revistas.uptc.edu.co/index.php/salud_sociedad/article/view/3974; Ardila, R., Calidad de vida: una definición integradora: una definición integradora (2003) Rev Latinoam Psicol, 35 (2), pp. 161-164. , file:///D:/_Datos/Descargas/Calidad_de_vida_una_definicion_ integradora.pdf; García Viniegras, CRV., (2008) Calidad de vida: Aspectos teóricos y metodológicos, p. 144. , https://books.google.com.co/books/about/Calidad_de_vida_aspectos_te%C3%B3ricos_y_met.html?id=T49ePgAACAAJ&amp;redir_esc=y, 1ra ed. Buenos Aires, Argentina: Paidós; (Tramas sociales); Razo-González, AM, Díaz-Castillo, R, Morales-Rossell, R, Cerda-Barceló, R., Metaanálisis del concepto de calidad de vida en América Latina. Una nueva propuesta: sentido de vida (2014) Rev CONAMED, 19 (4), pp. 149-156. , https://www.medigraphic.com/pdfs/conamed/con-2014/con144b.pdf; Cisneros-Cisneros, MA, Pemberthy-Gallo, LS, Chaguendo-Muñoz, MK., Gestión Del Conocimiento: Una Apuesta Desde La Gobernanza Para La Educación En Salud En El Cauca (2020) Revista Opera, (27), pp. 63-89. , https://www.redalyc.org/journal/675/67565570004/</t>
  </si>
  <si>
    <t>Marquez-Terraza, A.V.; Universidad Nacional de San Luis, Argentina; email: terrazama@gmail.com</t>
  </si>
  <si>
    <t>2-s2.0-85130157663</t>
  </si>
  <si>
    <t>Ojeda Silva J.H., Laroze D., Maiti S.K.</t>
  </si>
  <si>
    <t>57203845153;8450437100;9739477100;</t>
  </si>
  <si>
    <t>European Physical Journal Plus</t>
  </si>
  <si>
    <t>https://www.scopus.com/inward/record.uri?eid=2-s2.0-85129484712&amp;doi=10.1140%2fepjp%2fs13360-022-02732-5&amp;partnerID=40&amp;md5=e71f366b6ff8344ee8afa73d462349e3</t>
  </si>
  <si>
    <t>Grupo de Física de Materiales, Facultad de Ciencias, Universidad Pedagógica y Tecnológica de Colombia, Boyacá, Tunja, 150003, Colombia; Laboratorio de Química Teórica y Computacional, Grupo de Investigación Química-Física Molecular y Modelamiento Computacional (QUIMOL), Facultad de Ciencias, Universidad Pedagógica y Tecnológica de Colombia, Boyacá, Tunja, 150003, Colombia; Instituto de Alta Investigación, CEDENNA, Universidad de Tarapacá, Casilla 7D, Arica, Chile; Physics and Applied Mathematics Unit, Indian Statistical Institute, 203 Barrackpore Trunk Road, Kolkata, 700 108, India</t>
  </si>
  <si>
    <t>Ojeda Silva, J.H., Grupo de Física de Materiales, Facultad de Ciencias, Universidad Pedagógica y Tecnológica de Colombia, Boyacá, Tunja, 150003, Colombia, Laboratorio de Química Teórica y Computacional, Grupo de Investigación Química-Física Molecular y Modelamiento Computacional (QUIMOL), Facultad de Ciencias, Universidad Pedagógica y Tecnológica de Colombia, Boyacá, Tunja, 150003, Colombia; Laroze, D., Instituto de Alta Investigación, CEDENNA, Universidad de Tarapacá, Casilla 7D, Arica, Chile; Maiti, S.K., Physics and Applied Mathematics Unit, Indian Statistical Institute, 203 Barrackpore Trunk Road, Kolkata, 700 108, India</t>
  </si>
  <si>
    <t>Thermoelectric properties of the Thiolated Arylethynylene with a 9,10-Dihydroanthracene core molecular system, which consists of a finite homogeneous chain of benzene rings connected to two semi-infinite contacts, are investigated. The study is based on the strong bonding approach to first neighbors, using semi-analytical methods of Green’s function techniques within a real space renormalization group scheme. The thermoelectric quantities like electrical conductance, thermal conductance, Seebeck coefficient, and figure of merit are determined in terms of molecule-to-electrode coupling, voltage bias as well as temperature. The obtained results show that such a molecular system can be utilized as an efficient energy converter from heat energy to usable electric energy. Our analysis can be extended to other simple and more complex molecular systems possessing loop sub-structures for designing thermoelectric devices. © 2022, The Author(s), under exclusive licence to Società Italiana di Fisica and Springer-Verlag GmbH Germany, part of Springer Nature.</t>
  </si>
  <si>
    <t>AFB180001; Fondo Nacional de Desarrollo Científico y Tecnológico, FONDECYT: 1180905; Centro para el Desarrollo de la Nanociencia y la Nanotecnología, CEDENNA</t>
  </si>
  <si>
    <t>JHOS acknowledges the financial support from Universidad Pedagógica y Tecnológica de Colombia. DL acknowledge partial financial support from FONDECYT 1180905 and from Centers of Excellence with BASAL/ANID financing Grant AFB180001, CEDENNA.</t>
  </si>
  <si>
    <t>JHOS acknowledges the financial support from Universidad Pedag?gica y Tecnol?gica de Colombia. DL acknowledge partial financial support from FONDECYT 1180905 and from Centers of Excellence with BASAL/ANID financing Grant AFB180001, CEDENNA.</t>
  </si>
  <si>
    <t>Aviram, A., Ratner, M.A., (1974) Chem. Phys. Lett., 29, p. 277; Tian, W., Datta, S., Hong, S., Reifenberger, R., Henderson, J.I., Kubiak, C.P., (1998) J. Chem. Phys., 109, p. 2874; Joachim, C., Gimzewski, J.K., Aviram, A., (2000) Nature, 408, p. 541; Pease, A.R., Jeppesen, J.O., Stoddart, J.F., Luo, Y., Collier, C.P., Heath, J.R., (2001) Acc. Chem. Res., 34, p. 433; Salomon, A., Cahen, D., Lindsay, S., Tomfohr, J., Engelkes, V.B., Frisbie, C.D., (2003) Adv. Mater., 15, p. 1881; Brandes, T., (2005) Phys. Rep., 408, p. 315; Tao, N.J., (2006) Nat. Nanotech., 1, p. 173; Pedersen, J.N., Lassen, B., Wacker, A., (2007) Phys. Rev. B, 75; Lindsay, S.M., Ratner, M.A., (2007) Adv. Mater., 19, p. 23; Pauly, F., Viljas, J.K., Cuevas, J.C., Schön, G., (2008) Phys. Rev. B, 77, p. 155312; Andrews, D.Q., Van Duyne, R.P., Ratner, M.A., (2008) Nano Lett., 8, p. 1120; Bao, Q., Lu, Z., Li, J., Loh, K.P., Li, C.M., (2009) J. Phys. Chem. C, 113, p. 12530; Ojeda, J.H., Pacheco, M., Orellana, P.A., (2009) Nanotechnology, 20; Kondo, H., Nara, J., Kino, H., Ohno, T., (2009) J. Phys. Condens. Matter, 21, p. 064220; Aradhya, S.V., Venkataraman, L., (2013) Nat. Nanotech., 8, p. 399; Ojeda, J.H., Orellana, P.A., Laroze, D., (2014) J. Chem. Phys., 140; Perrin, M.L., Frisenda, R., Koole, M., Seldenthuis, J.S., Celis, J.A., Valkenier, H., Hummelen, J.C., van der Zant, H.S.J., (2014) Nat. Nanotech., 9, p. 830; Parashar, S., Srivastavaa, P., Pattanaik, M., Kumar-Jain, S., (2014) Eur. Phys. J. B, 87, p. 220; Medina, F.G., Ojeda, J.H., Duque, C.A., Laroze, D., (2015) Superlatt. Microstruct., 87, p. 89; Koole, M., Thijssen, J.M., Valkenier, H., Hummelen, J.C., Van der Zant, H.S.J., (2015) Nano Lett., 15, p. 5569; Li, Z., (2017) Chinese Phys. B, 2 (26); Oberhofer, H., Reuter, K., Blumberger, J., (2017) Chem. Rev., 117, p. 10319; Fratini, S., Nikolka, M., Salleo, A., Schweicher, G., Sirringhaus, H., (2020) Nat. Mat., 19, p. 491; Evers, F., Korytár, R., Tewari, S., van Ruitenbeek, J.M., (2020) Rev. Mod. Phys., 92; Jiang, X., Liu, W., Zhao, J., (2021) J. Appl. Math. Phys., 9, p. 503; Berdiyorov, G.R., Hamoudi, H., (2021) J. Mater. Res. Technol., 12, p. 193; Berdiyorov, G.R., Hamoudi, H., (2021) J. Comput. Sci., 48, p. 101261; Darugar, V., Vakili, M., Faramarz Tayyari, S., (2021) Optik, 236, p. 1166475; Fracasso, D., Valkenier, H., Hummelen, J.C., Solomon, G.C., Chiechi, R.C., (2011) J. Am. Chem. Soc., 133, p. 9556; Van der Molen, S.J., (2012) Nat. Nanotech., 7, p. 305; Lambert, C.J., (2015) Chem. Soc. Rev., 44, p. 875; Ojeda, J.H., Duque, C.A., Laroze, D., (2017) Org. Electron., 41, p. 369; Su, W.X., Zuo, X., Xie, Z., Zhang, G.P., Wang, C.K., (2017) RSC Adv., 7, p. 14200; Liu, Y., Ornago, L., Carlotti, M., Ai, Y., Abbassi, M.E., Soni, S., Asyuda, A., Chiechi, R.C., (2020) J. Phys. Chem. C, 124, p. 22776; Saha, K.K., Markussen, T., Thygesen, K.S., Nikolic, B.K., (2011) Phys. Rev. B, 84, p. 041412(R); Di Ventra, M., Lang, N.D., (2000) Appl. Phys. Lett., 76, p. 23; Cardamone, D.M., Stafford, C.A., Mazumdar, S., (2006) Nano Lett., 6, p. 2422; Ojeda, J.H., Pacheco, M., Rosales, L., Orellana, P.A., (2012) Org. Electron., 13, p. 1420; Zhang, Y., Yam, C.Y., Chen, G.H., (2015) J. Chem. Phys., 142; Datta, S., (1997) Electronic Transport in Mesoscopic Systems, , Cambridge University Press, Cambridge; Di Ventra, M., (2008) Electrical Transport in Nanoscale Systems, , University Press, Cambridge; Blanter, Y.M., Büttiker, M., (2000) Phys. Rep., 1, p. 336; Timár, M., Barcza, G., Gebhard, F., Veis, L., Legezaa, Ö., (2016) Phys. Chem., 18, p. 18835; Streitwieser, A., (1961) Molecular Orbital Theory for Organic Chemists, , Wiley, New York; (1993) J. Mol. Strut., 282, p. 1; Pastawski, H.M., Torres, L.F., Medina, E., (2002) Chem. Phys., 281, p. 257; Ojeda, J.H., Rey-González, R.R., Laroze, D., (2013) J. App. Phys., 114; Ojeda, J.H., Duque, C.A., Laroze, D., (2014) Phys. E, 62, p. 15; Zerah-Harush, E., Dubi, Y., (2015) Phys. Rev. App., 3; Zimbovskaya, N.A., (2016) J. Phys. Condens. Matter, 28, p. 183002; Ganguly, S., Maiti, S.K., (2021) J. Phys. D Appl. Phys., 54, p. 025301; Ganguly, S., Maiti, S.K., Sil, S., (2021) Carbon, 172, p. 302; Finch, C.M., García-Suárez, V.M., Lambert, C.J., (2009) Phys. Rev. B, 79; Silva, J.H.O., Maiti, S.K., (2019) Chem. Phys. Chem., 20, p. 3346; Yang, N.-X., Yan, Q., Sun, Q.-F., (2020) Phys. Rev. B, 102; Walczak, K., (2004) Phys. Status Solidi B, 241, p. 2555; Lundin, U., McKenzie, R.H., (2002) Phys. Rev. B, 66; Maiti, S.K., (2007) Phys. Lett. A, 366, p. 114; Maiti, S.K., (2009) Phys. Lett. A, 373, p. 4470; Dey, M., Maiti, S.K., karmakar, S.N., (2011) Org. Electron., 12, p. 1017; Silva, J.H.O., Barbosa, J.S.P., Echeverri, C.A.D., (2020) Molecules, 25, p. 3215</t>
  </si>
  <si>
    <t>Ojeda Silva, J.H.; Laboratorio de Química Teórica y Computacional, Boyacá, Colombia; email: judith.ojeda@uptc.edu.co</t>
  </si>
  <si>
    <t>2-s2.0-85129484712</t>
  </si>
  <si>
    <t>Bilbao R.A.</t>
  </si>
  <si>
    <t>57556580500;</t>
  </si>
  <si>
    <t>Chaos, Solitons and Fractals</t>
  </si>
  <si>
    <t>https://www.scopus.com/inward/record.uri?eid=2-s2.0-85127313943&amp;doi=10.1016%2fj.chaos.2022.112009&amp;partnerID=40&amp;md5=00efc0904af4303a836f6ce5a26faadd</t>
  </si>
  <si>
    <t>Escuela de Matemática y Estatística, UPTC, Sede Central del Norte Av. Central del Norte 39 - 115, Boyacá, Tunja, cod. 150003, Colombia</t>
  </si>
  <si>
    <t>Bilbao, R.A., Escuela de Matemática y Estatística, UPTC, Sede Central del Norte Av. Central del Norte 39 - 115, Boyacá, Tunja, cod. 150003, Colombia</t>
  </si>
  <si>
    <t>In the present paper, we study the distribution of the return points in the fibers for a random nonuniformly expanding dynamical system, preserving an ergodic probability. We also show the abundance of nonlacunarity of hyperbolic times that are obtained along the orbits through the fibers. We conclude that any ergodic measure with positive Lyapunov exponents satisfies the nonuniform specification property among fibers. As consequences, we prove that any expanding measure is the limit of probability measures whose measures of disintegration on the fibers are supported on a finite number of return points and we prove that the average of the measures on the fibers corresponding to a disintegration, along the orbit (θn(w))n≥0 in the base dynamics is the limit of Dirac measures supported on return orbits on the fibers. © 2022 Elsevier Ltd</t>
  </si>
  <si>
    <t>Expanding measure; Nonuniform specification property; Random dynamical systems</t>
  </si>
  <si>
    <t>Disintegration; Dynamical systems; Lyapunov methods; Probability distributions; Specifications; Dirac measures; Ergodic measures; Ergodics; Expanding measure; Finite number; Nonuniform specification property; Probability measures; Property; Random dynamical system; Fibers</t>
  </si>
  <si>
    <t>The author would like to thank K. Oliveira for pointing out this problem and E. Santana for comments and for useful conversations. We also thank IM-UFAL, Brazil for the hospitality and the opportunity to develop part of this work.</t>
  </si>
  <si>
    <t>Alves, J.F., Statistical Analysis of Non-Uniformly Expanding Dynamical Systems. Impa-24 (2003), Colóquio Brasileiro de Matemáticas; Alves, J.F., Araújo, V., Random perturbations of nonuniformly expanding maps (2003) Astérisque, 286, pp. 25-62; Araújo, V., Solano, J., Absolutely continuous invariant measures for random non-uniformly expanding maps (2014) Math. Z., 277, pp. 1199-1235; Arbieto, A., Matheus, C., Oliveira, K., Equilibrium states for random non-uniformly expanding maps (2004) Nonlinearity, 17, pp. 581-593; Bilbao, R., Oliveira, K., Maximizing entropy measures for random dynamical systems (2017) Stochastics and Dynamics, 17 (5). , 19 pages; Bowen, R., Periodic orbits for hyperbolic flows (1972) Am. J. Math., 94, pp. 1-30; Dieks, D., Is there a unique physical entropy? Micro versus macro (2013) The Philosophy of Science in a European Perspective, 4. , Springer Dordrecht; IJpelaar, F., Entropy in Physics: An Overview of Definitions and Applications in Quantum Mechanics (2021), Van Swinderen Institute. rijkuniversiteit groningen Master's Thesis Physics; Kwietniak, D., Lacka, M., Oprocha, P., A panorama of specification-like and their consequences (2016) Contemp. Math., 669; Ludwing, A., Random dynamical systems (1998) Springer Monogr. Math., 1, pp. XV-586; Mayer, V., Skorulski, B., Urbanski, M., Distance Expanding Random Mappings, Thermodynamic Formalism, Gibbs Measures and Fractal Geometry (2011), Springer; Oliveira, K., Every expanding measure has the nonuniform specification property (2012) Am. Math. Soc., 140 (4), pp. 1309-1320; Oliveira, K., Viana, M., Existence and uniqueness of maximizing measures for robust classes of local diffeomorphisms (2006) Discrete Contin. Dynam. Systems, 15 (1), pp. 225-236; Przytycki, F., Urbanski, M., Conformal fractals- Ergodic theory methods (2010) London Mathematical Society Lecture Note, 371; Rokhlin, V.A., On the fundamental ideas of measure theory (1962) Transl. Am. Math. Soc, 1 (10), pp. 1-52; Stadlbauer, M., Suzuki, S., Varandas, P., Thermodynamic formalism for random non-uniformly expanding maps (2021) Commun. Math. Phys, 385, pp. 369-427; Varandas, P., Viana, M., Existence, uniqueness and stability of equilibrium states for non-uniformly expanding maps (2010) Ann. I. H. Poincaré, 27, pp. 555-593</t>
  </si>
  <si>
    <t>Bilbao, R.A.; Universidade Federal de Alagoas, Av. Lourival Melo Mota, S/N Tabuleiro dos Martins, AL, Brazil; email: rafael.alvarez@uptc.edu.co</t>
  </si>
  <si>
    <t>CSFOE</t>
  </si>
  <si>
    <t>2-s2.0-85127313943</t>
  </si>
  <si>
    <t>Achicanoy Puchana D.M., Lasso Andrade F.A., Achicanoy Puchana D.F., Boada Fuentes M.A., Álvarez Duarte M.A., Angarita Acuña K., Jaime Aguirre A.C., Muñoz Murillo J.A., González Lago A.M., Alegria Cuellar D.A., Orozco Morales L.K., Lasso Anacona M.Z.Z., Alvarado Rengifo A.E., Rosero Rosero J.R.</t>
  </si>
  <si>
    <t>57405080900;57194903911;57405080900;57471446300;57470940400;57470773700;57210437873;57470940500;57471274900;57470270900;57470607600;57224454782;57470271000;57470272300;</t>
  </si>
  <si>
    <t>Mucinous carcinoma of the breast: Diagnosis and management of an unusually young patient</t>
  </si>
  <si>
    <t>Radiology Case Reports</t>
  </si>
  <si>
    <t>10.1016/j.radcr.2022.02.011</t>
  </si>
  <si>
    <t>https://www.scopus.com/inward/record.uri?eid=2-s2.0-85125476632&amp;doi=10.1016%2fj.radcr.2022.02.011&amp;partnerID=40&amp;md5=471644e61358966a02672b00750f66b3</t>
  </si>
  <si>
    <t>Universidad de Nariño, Residente de Imagenología diagnóstica y terapéutica, Universidad Nacional Autónoma de México, Mexico; Universidad del Cauca, Especialista Epidemiología, Universidad Autónoma de Bucaramanga, Residente Anestesiología y Reanimación, Universidad Nacional de Colombia. Estudiante Maestría en Epidemiología – Universidad CES, Bogotá, Colombia; Universidad de Nariño, Especialista de Imagenología diagnóstica y terapéutica, Universidad Nacional Autónoma de México, Mexico; Fundación Universitaria Juan N. Corpas, Colombia; Estudiante de Medicina, Universidad Pontificia Bolivariana, Medellín, Colombia; Universidad del Norte de Barranquilla, Barranquilla, Colombia; Universidad Pedagógica y Tecnológica de Colombia, Boyacá, Tunja; Fundación Universitaria San Martín, Colombia, Colombia; Estudiante Medicina, Universidad del Cauca, Popayán, Colombia; Universidad del Cauca, Popayán, Colombia; Fundación Universitaria San Martín, Colombia, Colombia; Universidad Cooperativa de Colombia, Pasto, Colombia; Universidad Santiago de Cali, Cali, Colombia</t>
  </si>
  <si>
    <t>Achicanoy Puchana, D.M., Universidad de Nariño, Residente de Imagenología diagnóstica y terapéutica, Universidad Nacional Autónoma de México, Mexico, Universidad de Nariño, Especialista de Imagenología diagnóstica y terapéutica, Universidad Nacional Autónoma de México, Mexico; Lasso Andrade, F.A., Universidad del Cauca, Especialista Epidemiología, Universidad Autónoma de Bucaramanga, Residente Anestesiología y Reanimación, Universidad Nacional de Colombia. Estudiante Maestría en Epidemiología – Universidad CES, Bogotá, Colombia; Achicanoy Puchana, D.F., Universidad de Nariño, Residente de Imagenología diagnóstica y terapéutica, Universidad Nacional Autónoma de México, Mexico, Universidad de Nariño, Especialista de Imagenología diagnóstica y terapéutica, Universidad Nacional Autónoma de México, Mexico; Boada Fuentes, M.A., Fundación Universitaria Juan N. Corpas, Colombia; Álvarez Duarte, M.A., Estudiante de Medicina, Universidad Pontificia Bolivariana, Medellín, Colombia; Angarita Acuña, K., Universidad del Norte de Barranquilla, Barranquilla, Colombia; Jaime Aguirre, A.C., Universidad Pedagógica y Tecnológica de Colombia, Boyacá, Tunja; Muñoz Murillo, J.A., Universidad Pedagógica y Tecnológica de Colombia, Boyacá, Tunja; González Lago, A.M., Fundación Universitaria San Martín, Colombia, Colombia; Alegria Cuellar, D.A., Estudiante Medicina, Universidad del Cauca, Popayán, Colombia; Orozco Morales, L.K., Universidad del Cauca, Popayán, Colombia; Lasso Anacona, M.Z.Z., Fundación Universitaria San Martín, Colombia, Colombia; Alvarado Rengifo, A.E., Universidad Cooperativa de Colombia, Pasto, Colombia; Rosero Rosero, J.R., Universidad Santiago de Cali, Cali, Colombia</t>
  </si>
  <si>
    <t>Mucinous carcinoma of the breast is a type of well-differentiated adenocarcinoma, a rare subtype of infiltrating ductal carcinoma. It represents approximately 2% of all invasive breast carcinomas. The mean age of presentation is 65 years, with an incidence of 1% in women younger than 35 years. Depending on the mucin content of the carcinoma, they are described as pure or mixed; the distinction between the 2 is important for prognosis and treatment. The treatment of special types of breast cancer is still controversial due to the limited amount of evidence, however, the main treatment for breast cancer is still surgery. We present a case of a 29-year-old patient with mucinous carcinoma of the breast with a delay in its management, but with a favorable postoperative result. © 2022</t>
  </si>
  <si>
    <t>Breast cancer; Hormone receptor positive; Mucinous carcinoma; Multidisciplinary care; Tumor board; Young</t>
  </si>
  <si>
    <t>anthracycline; endogenous compound; hormone receptor; Ki 67 antigen; mucin; paclitaxel; adult; aged; Article; breast cancer; breast imaging reporting and data system; breast reconstruction; cancer patient; cancer prognosis; cancer surgery; case report; clinical article; colloid carcinoma; female; histopathology; hormone receptor-positive, HER2-negative breast cancer; human; human tissue; mammography; microcalcification; modified radical mastectomy; mucinous carcinoma of the breast; neoadjuvant therapy; nipple; outpatient care</t>
  </si>
  <si>
    <t>paclitaxel, 33069-62-4</t>
  </si>
  <si>
    <t>Ferguson, M.J., Act, B., Multifocal invasive mucinous carcinoma of the breast (2020) J Med Radiat Sci, 67 (2), pp. 155-158. , https://onlinelibrary.wiley.com/doi/full/10.1002/jmrs.379, [cited 2022 Jan 21]Available from:; Bitencourt, A.G.V., Graziano, L., Osório, C.A.B.T., Guatelli, C.S., Souza, J.A., Mendonça, M.H.S., www.ajronline.org, MRI features of mucinous cancer of the breast: correlation with pathologic findings and other imaging methods.2016;206 (2):238–46.[cited 2022 Jan 21] Available from:; [Internet]; Dhillon, R., Depree, P., Metcalf, C., Wylie, E., Screen-detected mucinous breast carcinoma: potential for delayed diagnosis (2006) Clin Radiol, 61 (5), pp. 423-430. , http://www.clinicalradiologyonline.net/article/S0009926005003491/fulltext, [cited 2022 Jan 21]Available from:; Tan, J.Z.Y., Waugh, J., Kumar, B., Evans, J., Mucinous carcinomas of the breast: imaging features and potential for misdiagnosis (2013) J Med Imaging Radiat Oncol, 57 (1), pp. 25-31. , https://onlinelibrary.wiley.com/doi/full/10.1111/1754-9485.12006, [cited 2022 Jan 21]Available from:; Bode, M.K., Rissanen, T., Imaging findings and accuracy of core needle biopsy in mucinous carcinoma of the breast (2011) Acta Radiologica, 52 (2), pp. 128-133. , https://journals.sagepub.com/doi/10.1258/ar.2010.100239?url_ver=Z39.88-2003&amp;rfr_id=ori%3Arid%3Acrossref.org&amp;rfr_dat=cr_pub++0pubmed, [cited 2022 Jan 21]Available from:; Liu, H., Tan, H., Cheng, Y., Zhang, X., Gu, Y., Peng, W., Imaging findings in mucinous breast carcinoma and correlating factors (2011) Eur J Radiol, 80 (3), pp. 706-712. , http://www.ejradiology.com/article/S0720048X10002822/fulltext, [cited 2022 Jan 21]Available from:; Memis, A., Ozdemir, N., Parildar, M., Ustun, E.E., Erhan, Y., Mucinous (colloid) breast cancer: mammographic and US features with histologic correlation (2000) Eur J Radiol, 35 (1), pp. 39-43. , http://www.ejradiology.com/article/S0720048X99001242/fulltext, [cited 2022 Jan 21]Available from:; Lakhani, S.R., , 1. , https://publications.iarc.fr/Book-And-Report-Series/Who-Classification-Of-Tumours/WHO-Classification-Of-Tumours-Of-The-Breast-2012, Cancer IA for R on, Weltgesundheitsorganisation. WHO classification of tumours of the breast [Internet]. 1st ed. Lakhani SR, editor. World Health Organization classification of tumours. internat. agency for research on cancer; 2012 [cited 2022 Jan 21]. 60–63. Available from:; Chaudhry, A.R., el Khoury, M., Gotra, A., Eslami, Z., Omeroglu, A., Omeroglu-Altinel, G., Imaging features of pure and mixed forms of mucinous breast carcinoma with histopathological correlation (2019) Br J Radiol, 92 (1095). , https://www.birpublications.org/doi/abs/10.1259/bjr.20180810, [cited 2022 Jan 21]Available from:; https://reader.elsevier.com/reader/sd/pii/S0960977619305946?token=F182BFF76C94AB36670CDA04157F3B094A41DF9B6AD84092E39EE68EF87B87EACF229CDB0B8E47D781527532BF416D82&amp;originRegion=us-east-1&amp;originCreation=20220122174219, Mucinous breast cancer: A narrative review of the literature and a retrospective tertiary single-centre analysis | Lector mejorado de Elsevier [Internet]. [cited 2022 Jan 21]. Available from:; di Saverio, S., Gutierrez, J., Avisar, E., A retrospective review with long term follow up of 11,400 cases of pure mucinous breast carcinoma (2007) Breast Cancer Research and Treatment, 111 (3), pp. 541-547. , https://link.springer.com/article/10.1007/s10549-007-9809-z, 111:3 [Internet]. 2007 Nov 18 [cited 2022 Jan 21]Available from:; Denduluri, N., Somerfield, M.R., Chavez-MacGregor, M., Comander, A.H., Dayao, Z., Eisen, A., Selection of optimal adjuvant chemotherapy and targeted therapy for early breast cancer: ASCO guideline update (2021) J Clin Oncol, 39 (6), pp. 685-693</t>
  </si>
  <si>
    <t>Lasso Andrade, F.A.; Universidad del Cauca, Colombia; email: fabriciolasso@gmail.com</t>
  </si>
  <si>
    <t>Radiol. Case Rep.</t>
  </si>
  <si>
    <t>2-s2.0-85125476632</t>
  </si>
  <si>
    <t>Diaz-Merchan J.A., Martinez-Ovalle S.A., Vega-Carrillo H.R.</t>
  </si>
  <si>
    <t>57194142455;54583883900;6604070532;</t>
  </si>
  <si>
    <t>https://www.scopus.com/inward/record.uri?eid=2-s2.0-85124978618&amp;doi=10.1016%2fj.apradiso.2022.110154&amp;partnerID=40&amp;md5=dd4153232768d3daf57e1a407637689e</t>
  </si>
  <si>
    <t>Grupo de Física Nuclear Aplicada y Simulación, Universidad Pedagógica y Tecnológica de Colombia, Avenida Central del Norte 39-115, Boyacá, Tunja, Colombia; Centro de Cancerología de Boyacá, Avenida Universitaria 46-71, Boyacá, Tunja, Colombia; Unidad Academica de Estudios Nucleares, Universidad Autonoma de Zacatecas, C. Cipres 10, Fracc. La Peñuela, Zac, Zacatecas, 98060, Mexico</t>
  </si>
  <si>
    <t>Diaz-Merchan, J.A., Grupo de Física Nuclear Aplicada y Simulación, Universidad Pedagógica y Tecnológica de Colombia, Avenida Central del Norte 39-115, Boyacá, Tunja, Colombia, Centro de Cancerología de Boyacá, Avenida Universitaria 46-71, Boyacá, Tunja, Colombia; Martinez-Ovalle, S.A., Grupo de Física Nuclear Aplicada y Simulación, Universidad Pedagógica y Tecnológica de Colombia, Avenida Central del Norte 39-115, Boyacá, Tunja, Colombia, Centro de Cancerología de Boyacá, Avenida Universitaria 46-71, Boyacá, Tunja, Colombia; Vega-Carrillo, H.R., Unidad Academica de Estudios Nucleares, Universidad Autonoma de Zacatecas, C. Cipres 10, Fracc. La Peñuela, Zac, Zacatecas, 98060, Mexico</t>
  </si>
  <si>
    <t>Features of new material to be used as bolus in external radiotherapy were determined and their performance were evaluated. The characterization was carried out using Monte Carlo methods with the Geant4 code where the Percentage Depth Dose (PDD) due to electrons was estimated. In the Monte Carlo model the linear accelerator head was included. Calculated results were experimentally validated with measurements made for 6, 9, 12 and 16 MeV electron beams. The key characteristics of the implemented material were identified, guaranteeing a low cost bolus, easy to be customized and to be used in clinical applications. In comparison with commercial materials the new materials are superior from the cost to the effectiveness of their use in clinical treatments. © 2022 Elsevier Ltd</t>
  </si>
  <si>
    <t>Bolus; Geant4; Materials; Monte Carlo; Percentage depth dose</t>
  </si>
  <si>
    <t>Costs; Monte Carlo methods; Bolus; Depth dose; External radiotherapy; Geant4; GEANT4 code; Monte carlo; MonteCarlo methods; Novel materials; Percentage depth dose; Performance; Radiotherapy; organic compound; Article; cancer radiotherapy; clinical effectiveness; comparative study; dosimetry; electron; electron beam; experimental study; external beam radiotherapy; Monte Carlo method; radiation dose; radiation measurement; skin cancer; validation study; human; magnetic and electromagnetic equipment; procedures; radiometry; radiotherapy; radiotherapy dosage; skin tumor; Electrons; Humans; Monte Carlo Method; Particle Accelerators; Radiometry; Radiotherapy; Radiotherapy Dosage; Skin Neoplasms</t>
  </si>
  <si>
    <t>Special thanks to the Ministerio de Ciencia, Tecnologia e Innovacion of Colombia for the financial support through the financing contract 761 of 2020, as well as to the management of the Centro de Cancerología de Boyacá for the support.</t>
  </si>
  <si>
    <t>Agostinelli, S., Allison, J., Amako, K.A., Apostolakis, J., Araujo, H., Arce, P., GEANT4—a simulation toolkit (2003) Nucl. Instrum. Methods Phys. Res., 506, pp. 250-303; Allison, J., Amako, K., Apostolakis, J., Arce, P., Asai, M., Aso, T., Recent developments in Geant4 (2016) Nucl. Instrum. Methods Phys. Res., 835, pp. 186-225; Apostolakis, J., Asai, M., Bogdanov, A.G., Burkhardt, H., Cosmo, G., Elles, S., Geometry and physics of the geant4 toolkit for high and medium energy applications (2009) Radiat. Phys. Chem., 78 (10), pp. 859-873; Berger, M.J., Hubbell, J.H., XCOM: Photon Cross Sections on a Personal Computer (No. NBSIR-87-3597) (1987), National Bureau of Standards Washington, DC. USA; Bernal, M.A., Bordage, M.C., Brown, J.M.C., Davídková, M., Delage, E., El Bitar, Z., Track structure modeling in liquid water: a review of the Geant4-DNA very low energy extension of the Geant4 Monte Carlo simulation toolkit (2015) Phys. Med., 31, pp. 861-874; Biltekin, F., Yazici, G., Ozyigit, G., Characterization of 3D-printed bolus produced at different printing parameters (2021) Med. Dosim., 46, pp. 157-163; Boman, E., Ojala, J., Rossi, M., Kapanen, M., Monte Carlo investigation on the effect of air gap under bolus in post-mastectomy radiotherapy (2018) Phys. Med., 55, pp. 82-87; Canters, R.A., Lips, I.M., Wendling, M., Kusters, M., van Zeeland, M., Gerritsen, R.M., Poortmans, P., Verhoef, C.G., Clinical implementation of 3D printing in the construction of patient specific bolus for electron beam radiotherapy for non-melanoma skin cancer (2016) Radiother. Oncol., 121, pp. 148-153; CT-Siemens, (2020), https://www.siemens-healthineers.com/en-us/computed-tomography/Ecoline-refurbished-systems/somatom-scope, [Online] [Reviewed on May 2020]; Ferlay, J., Colombet, M., Soerjomataram, I., Parkin, D.M., Piñeros, M., Znaor, A., Bray, F., Cancer statistics for the year 2020: an overview (2021) Int. J. Cancer, 149, pp. 778-789; Hubbell, J.H., Seltzer, S.M., Tables of X-Ray Mass Attenuation Coefficients and Mass Energy-Absorption Coefficients 1 keV to 20 MeV for Elements Z= 1 to 92 and 48 Additional Substances of Dosimetric Interest (No. PB-95-220539/XAB; NISTIR-5632) (1995), National Institute of Standards and Technology-PL Gaithersburg, MD. USA; Tissue substitutes in radiation dosimetry and measurement. ICRU Report 44 (1989) J. ICRU, 23; Kadri, O., Ivanchenko, V.N., Gharbi, F., Trabelsi, A., GEANT4 simulation of electron energy deposition in extended media (2007) Nucl. Instrum. Methods Phys. Res. Sect. B Beam Interact. Mater. Atoms, 258 (2), pp. 381-387; Khan, F.M., Doppke, K.P., Hogstrom, K.R., Kutcher, G.J., Nath, R., Prasad, R.C., Purdy, J.A., Werner, B.L., Clinical electron-beam dosimetry: report of AAPM radiation therapy committee task group No. 25 (1991) Med. Phys., 18, pp. 73-109; Khan, F.M., Gibbons, J.P., Khan's the Physics of Radiation Therapy (2014), Lippincott Williams &amp; Wilkins; Lin, J., Lin, M.-H., Hall, A., Zhang, B., Singh, D., Regine, W.F., Comparison of bolus electron conformal therapy plans to traditional electron and proton therapy to treat melanoma in the medial canthus (2016) Practical Radiation Oncology, 6, pp. 105-109; McDermott, P.N., Surface dose and acute skin reactions in external beam breast radiotherapy (2020) Med. Dosim., 45, pp. 153-158; Opp, D., Forster, K., Li, W., Zhang, G., Harris, E.E., Evaluation of bolus electron conformal therapy compared with conventional techniques for the treatment of left chest wall postmastectomy in patients with breast cancer (2013) Med. Dosim., 38, pp. 448-453; Podgoršak, E.B., Radiation Physics for Medical Physicists (2010), Springer; PTW, (2020), https://www.ptwdosimetry.com/fileadmin/user_upload/DETECTORS_Cat_en_16522900_12/blaetterkatalog/index.html#page_18, [Online] [Reviewed on June, 2020]; Schneider, C., Rasband, W., Eliceiri, K., NIH Image to Image J: 25 years of image analysis (2012) Nat. Methods, 9, pp. 671-675; Seco, J., Verhaegen, F., Monte Carlo Techniques in Radiation Therapy (2013), CRC press; Varian, (2020), https://www.equiphos.com/wp-content/uploads/2015/05/CLINAC-CX-ESPECIFICACIONES.pdf, [Online] [Reviewed on May 2020]; Visscher, S., Barnett, E., Comparison of bolus materials to highly absorbent polypropylene and rayon cloth (2017) J. Med. Imag. Radiat. Sci., 48, pp. 55-60</t>
  </si>
  <si>
    <t>Diaz-Merchan, J.A.; Grupo de Física Nuclear Aplicada y Simulación, Avenida Central del Norte 39-115, Boyacá, Colombia; email: jose.diaz@uptc.edu.co</t>
  </si>
  <si>
    <t>2-s2.0-85124978618</t>
  </si>
  <si>
    <t>Gómez-Gualdrón S.A., Sánchez-Uzcátegui M.A., Camacho-López P.A.</t>
  </si>
  <si>
    <t>57221957664;57221965495;16047325700;</t>
  </si>
  <si>
    <t>Sociodemographic predictors associated with the spectrum of non-opportunist neuroretinal disease of non-infectious etiology in patients with HIV/AIDS: a scoping review [Predictores sociodemográficos asociados al espectro de enfermedad neurorretiniana no oportunista de etiología no infecciosa en pacientes con VIH/SIDA: revisión integrativa]</t>
  </si>
  <si>
    <t>Archivos de la Sociedad Espanola de Oftalmologia</t>
  </si>
  <si>
    <t>10.1016/j.oftal.2020.11.026</t>
  </si>
  <si>
    <t>https://www.scopus.com/inward/record.uri?eid=2-s2.0-85100716241&amp;doi=10.1016%2fj.oftal.2020.11.026&amp;partnerID=40&amp;md5=c9e0dea5d7ed13ff0cf4e197b36632d1</t>
  </si>
  <si>
    <t>Universidad Pedagógica y Tecnológica de Colombia, Boyacá, Colombia; Hospital Universitario de Santander, Santander, Colombia; Universidad Autónoma de Bucaramanga, Bucaramanga, Colombia; Fundación Oftalmológica de Santander – FOSCAL, Santander, Colombia; Facultad de Ciencias de la Salud, Universidad Autónoma de Bucaramanga, Bucaramanga, Colombia</t>
  </si>
  <si>
    <t>Gómez-Gualdrón, S.A., Universidad Pedagógica y Tecnológica de Colombia, Boyacá, Colombia, Hospital Universitario de Santander, Santander, Colombia; Sánchez-Uzcátegui, M.A., Hospital Universitario de Santander, Santander, Colombia, Universidad Autónoma de Bucaramanga, Bucaramanga, Colombia; Camacho-López, P.A., Fundación Oftalmológica de Santander – FOSCAL, Santander, Colombia, Facultad de Ciencias de la Salud, Universidad Autónoma de Bucaramanga, Bucaramanga, Colombia</t>
  </si>
  <si>
    <t>Background: Non-infectious retinal disease, even in the HAART era, continues to be one of the most common diagnoses in patients with HIV, with prevalences of up to 27% of cases. This study aims to characterize the association between demographic variables and their role. as a risk factor for the development of non-opportunistic non-infectious retinal disease in patients with HIV/AIDS Methods: An integrative review of the literature was carried out according to Arksey O'Malley's approach, based on the PICO methodology and following the preferred reporting items for systematic reviews and meta-analyses (PRISMA) recommendations; An exhaustive search was carried out in databases of articles that were filtered using established criteria, with their extraction and analysis carried out qualitatively. Results: Ocular manifestations from any cause develop from 35 years of age in patients with HIV/AIDS, with the highest risk for age-related macular degeneration over the fourth decade of life and for the development of neuroretinal disorder on the fifth decade of life; some studies report a slight tendency to diagnose macular degeneration in women and those who acquired AIDS through sexual contact; data contrasted with increased risk for diagnosing neuroretinal disorder in homosexual men who also use intravenous drugs, possibly due to oversampling in studies; non-Hispanic whites and African Americans were the races most commonly affected by neuroretinal disease; the means between the 11.3 to 14.5 years elapsed since the HIV diagnosis were more frequently associated with cognitive impairment and both in those with high or low CD4 counts, and in patients with high or low viral loads, neuroretinal disease without Statistically significant differences. Adherence and early initiation of HAART had a modest impact on the development of neuroretinal disease. Discussion: Even in the HAART era, non-infectious neuroretinal disease and cytomegalovirus retinitis remain the most frequent ocular diagnoses, however, different studies argue an increase in age-related non-infectious retinal diseases in patients with HIV, theories that are may explain by the increase in life expectancy, the metabolic effects of HAART itself or the generalized pro-inflammatory state in this group of patients, it is essential to recognize this new diagnostic challenge in order to direct preventive efforts through the use of cost-effective sociodemographic risk predictors towards that technological tools for diagnosis and treatment can be targeted. Conclusions: HIV/AIDS patients who present at the ophthalmological consultation with the suggested sociodemographic predictors have a high risk of visual impairment due to non-infectious retinopathy, therefore prevention, diagnosis and treatment efforts directed at these diseases should be increased. © 2021 Sociedad Española de Oftalmología</t>
  </si>
  <si>
    <t>Age-related macular degeneration (AMD); Highly active antiretroviral therapy (HAART); Neuroretinal disorder (NRD)</t>
  </si>
  <si>
    <t>Agradecimientos al doctor Manuel Fernando Buitrago-Torrado por sus aportes y opiniones que fueron fundamentales en la realización de este estudio.</t>
  </si>
  <si>
    <t>Kawe, L.W., Renard, G., Le Hoang, P., Kayembe, L., Odio, W., Manifestations ophtalmologiques du SIDA en milieu africain. A propos de 45 cas [Ophthalmologic manifestations of AIDS in an African milieu. Report of 45 cases] (1990) J Fr Ophtalmol., 13, pp. 199-204; Jabs, D.A., Green, W.R., Fox, R., Polk, B.F., Bartlett, J.G., Ocular manifestations of acquired immune deficiency syndrome (1989) Ophthalmology., 96, pp. 1092-1099; Hothi, H.S., Gohil, N.R., Parekh, N.V., Patel, S.S., A prevalence study of ocular manifestations in HIV positive patients on highly active anti-retroviral therapy (2019) Biomed Res Clin Pract., 4, pp. 1-4; Lai, T.Y., Wong, R.L., Luk, F.O., Chow, V.W., Chan, C.K., Lam, D.S., Ophthalmic manifestations and risk factors for mortality of HIV patients in the post-highly active anti-retroviral therapy era (2011) Clin Exp Ophthalmol., 39, pp. 99-104; Martin-Odoom, A., Bonney, E.Y., Opoku, D.K., Ocular complications in HIV positive patients on antiretroviral therapy in Ghana (2016) BMC Ophthalmol., 16, pp. 134-139; Ifeanyi, A., Ezenwa, U., Tarilah, T., Ibeinmo, O., Ocular manifestation of HIV/AIDS infection among patients receiving highly active Anti retro viral therapy (HAART) in a tertiary eye care centre (2013) Global Science Research Journals., 1, pp. 64-69. , https://www.globalscienceresearchjournals.org/articles/ocular-manifestation-of-hivaids-infection-among-patients-receiving-highly-active-anti-retro-viral-therapy-haart-in-a-ter.pdf; Linzerová, D., Stepanov, A., Němčanský, J., Ocular Manifestations in Patients with HIV infection (2019) Cesk Slov Oftalmol., 74, pp. 234-2399. , https://www.researchgate.net/publication/333413235_Ocular_Manifestations_in_Patients_with_HIV_infection; Wang, Z., Jia, R., Ge, S., He, T., Zhang, Y., Yang, Y., Ocular complications of human immunodeficiency virus infection in eastern china (2012) Am J Ophthalmol., 153, pp. 363-369; Agarwal, A., Singh, R., Sharma, A., Gupta, V., Dogra, M.R., Ocular manifestations in patients with human immunodeficiency virus infection in the pre-HAART versus the HAART era in the North Indian population (2017) Ocul Immunol Inflamm., 25, pp. 396-404; Lamichhane, G., Shah, D.N., Sharma, S., Chaudhary, M., Ocular manifestations in HIV/AIDS cases in Nepal (2010) Nepal J Ophthalmol., 2, pp. 45-50; Kuppermann, B.D., Petty, J.G., Richman, D.D., Mathews, W.C., Fullerton, S.C., Rickman, L.S., Correlation between CD4+ counts and prevalence of cytomegalovirus retinitis and human immunodeficiency virus-related noninfectious retinal vasculopathy in patients with acquired immunodeficiency syndrome (1993) Am J Ophthalmol., 115, pp. 575-582; Luo, J., Jing, D., Kozak, I., Huiming, Z., Siying, C., Yezhen, Y., Prevalence of ocular manifestations of HIV/AIDS in the highly active antiretroviral therapy (HAART) era: a different spectrum in Central South China (2013) Ophthalmic Epidemiol., 20, pp. 170-175; Kim, Y.S., Sun, H.J., Kim, T.H., Kang, K.D., Lee, S.J., Ocular manifestations of acquired immunodeficiency syndrome (2015) Korean J Ophthalmol., 29, pp. 241-248; Pathai, S., Deshpande, A., Gilbert, C., Lawn, S.D., Prevalence of HIV-associated ophthalmic disease among patients enrolling for antiretroviral treatment in India: a cross-sectional study (2009) BMC Infect Dis., 9, p. 158; Ganekal, S., Jhanji, V., Dorairaj, S., Nagarajappa, A., Evaluation of ocular manifestations and blindness in HIV/AIDS patients in a tertiary care hospital in South India (2012) Ocul Immunol Inflamm., 20, pp. 336-341; Shah, S.U., Kerkar, S.P., Pazare, A.R., Evaluation of ocular manifestations and blindness in HIV/AIDS patients on HAART in a tertiary care hospital in western India (2009) Br J Ophthalmol., 93, pp. 88-90; Tsen, C.-L., Chen, Y.-S., Wu, K.-S., Tsai, H.-C., Chen, Y.-H., Lee, Y.-Y., Ocular manifestations of human immunodeficiency virus infection at a tertiary referral center in Taiwan (2019) Ocul Immunol Inflamm., 27, pp. 1071-1076; Amsalu, A., Desta, K., Nigussie, D., Delelegne, D., Ocular manifestation and their associated factors among HIV/AIDS patients receiving highly active antiretroviral therapy in Southern Ethiopia (2017) Int J Ophthalmol., 10, pp. 776-781; Bekele, S., Gelaw, Y., Tessema, F., Ocular manifestation of HIV/AIDS and correlation with CD4+ cells count among adult HIV/AIDS patients in Jimma town Ethiopia: a cross sectional study (2013) BMC Ophthalmol., 13, pp. 13-20; Nishijima, T., Yashiro, S., Teruya, K., Kikuchi, Y., Katai, N., Oka, S., Routine eye screening by an ophthalmologist is clinically useful for HIV-1-infected patients with CD4 count less than 200 /μL (2015) PLoS One., 10, pp. 1-11; Sezgin, E., Hendrickson, S.L., Jabs, D.A., Van Natta, M.L., Lewis, R.A., Troyer, J.L., Effect of host genetics on incidence of HIV neuroretinal disorder in patients with AIDS (2010) J Acquir Immune Defic Syndr., 54, pp. 343-351; Hendrickson, S.L., Jabs, D.A., Van Natta, M., Lewis, R.A., Wallace, D.C., O'Brien, S.J., Mitochondrial haplogroups are associated with risk of neuroretinal disorder in HIV-positive patients (2010) J Acquir Immune Defic Syndr., 53, pp. 451-455; Pathai, S., Shiels, P.G., Weiss, H.A., Gilbert, C.E., Peto, T., Bekker, L.G., Ocular parameters of biological ageing in HIV-infected individuals in South Africa: relationship with chronological age and systemic biomarkers of ageing (2013) Mech Ageing Dev., 134, pp. 400-406; Sagar, V., Pilakka-Kanthikeel, S., Martinez, P.C., Atluri, V.S.R., Nair, M., Common gene-network signature of different neurological disorders and their potential implications to neuroAIDS (2017) PLoS One., 12, pp. 1-19; Blokhuis, C., Demirkaya, N., Cohen, S., Wit, F.W.N.M., Scherpbier, H.J., Reiss, P., The eye as a window to the brain: neuroretinal thickness is associated with microstructural white matter injury in HIV-Infected Children (2016) Invest Ophthalmol Vis Sci., 57, pp. 3864-3871; Invernizzi, A., Acquistapace, A., Bochicchio, S., Resnati, C., Rusconi, S., Ferrari, M., Correlation between inner retinal layer thickness and cognitive function in HIV: new insights from an exploratory study (2018) AIDS., 32, pp. 1485-1490; Ashraf, D.C., May, K.P., Holland, G.N., Van Natta, M., Wu, A.W., Thorne, J.E., Relationship between human immunodeficiency virus neuroretinal disorder and vision-specific quality of life among people with AIDS (2015) Ophthalmology., 122, pp. 2560-2567; Cheng, S., Klein, H., Bartsch, D.U., Kozak, I., Marcotte, T.D., Freeman, W.R., Relationship between retinal nerve fiber layer thickness and driving ability in patients with human immunodeficiency virus infection (2011) Graefes Arch Clin Exp Ophthalmol., 249, pp. 1643-1647; Arantes, T.E., Garcia, C.R., Tavares, I.M., Mello, P.A., Muccioli, C., Relationship between retinal nerve fiber layer and visual field function in human immunodeficiency virus-infected patients without retinitis (2012) Retina., 32, pp. 152-159; Plummer, D.J., Sample, P.A., Arévalo, J.F., Grant, I., Quiceno, J.I., Dua, R., Visual field loss in HIV-positive patients without infectious retinopathy (1996) Am J Ophthalmol., 122, pp. 542-549; Demirkaya, N., Wit, F.W., Van Den Berg, T.J., Kooij, K.W., Prins, M., Schlingemann, R.O., HIV-associated neuroretinal disorder in patients with well-suppressed HIV-Infection: A comparative cohort study (2016) Invest Ophthalmol Vis Sci., 57, pp. 1388-1397; Plummer, D.J., Marcotte, T.D., Sample, P.A., Wolfson, T., Heaton, R.K., Grant, I., Neuropsychological impairment-associated visual field deficits in HIV infection. HNRC Group HIV Neurobehavioral Research Center (1999) Invest Ophthalmol Vis Sci., 40, pp. 435-442; Kozak, I., Sample, P.A., Hao, J., Freeman, W.R., Weinreb, R.N., Lee, T.-W., Machine learning classifiers detect subtle field defects in eyes of HIV individuals (2007) Trans Am Ophthalmol Soc., 105, pp. 111-120; Shah, K.H., Holland, G.N., Yu, F., Van Natta, M., Nusinowitz, S., Contrast sensitivity and color vision in HIV-infected individuals without infectious retinopathy (2006) Am J Ophthalmol., 142, pp. 284-292; Sommerhalder, J., Baglivo, E., Barbey, C., Hirschel, B., Roth, A., Pelizzone, M., Colour vision in AIDS patients without HIV retinopathy (1998) Vision Res., 38, pp. 3441-3446; Quiceno, J.I., Capparelli, E., Sadun, A.A., Mungia, D., Grant, I., Listhaus, A., Visual dysfunction without retinitis in patients with acquired immunodeficiency syndrome (1992) Am J Ophthalmol., 113, pp. 8-13; Geier, S.A., Kronawitter, U., Bogner, J.R., Hammel, G., Berninger, T., Klauss, V., Impairment of colour contrast sensitivity and neuroretinal dysfunction in patients with symptomatic HIV infection or AIDS (1993) Br J Ophthalmol., 77, pp. 716-720; Solís-Castillo, A., Ramírez-Ponce, L.A., Valdez-González, T., Seijo, E., Voorduin-Ramos, S., López-Star, E.M., Funciones visuales en portadores del virus de inmunodeficiencia humana (2011) Arch Soc Esp Oftalmol., 86, pp. 103-106; Jabs, D.A., Van Natta, M.L., Trang, G., Jones, N.G., Milush, J.M., Cheu, R., Association of age-related macular degeneration with mortality in patients with acquired immunodeficiency syndrome; role of systemic inflammation (2019) Am J Ophthalmol., 199; Jabs, D.A., Van Natta, M.L., Pak, J.W., Danis, R.P., Hunt, P.W., Incidence of intermediate-stage age-related macular degeneration in patients with acquired immunodeficiency syndrome (2017) Am J Ophthalmol., 179, pp. 151-158; Jabs, D.A., Van Natta, M.L., Sezgin, E., Pak, J.W., Danis, R., Prevalence of intermediate-stage age-related macular degeneration in patients with acquired immunodeficiency syndrome (2015) Am J Ophthalmol., 159, pp. 1115-1122; Jabs, D.A., Drye, L., Van Natta, M.L., Thorne, J.E., Holland, G.N., Incidence and long-term outcomes of the human immunodefıciency virus neuroretinal disorder in patients with AIDS (2015) Ophthalmology., 122, pp. 760-768; Accorinti, M., Pirraglia, M.P., Corradi, R., Corsi, C., Fabiani, C., Pivetti-Pezzi, P., Changing patterns of ocular manifestations in HIV seropositive patients treated with HAART (2006) Eur J Ophthalmol., 16, pp. 728-732; Miller, C., Short, W.R., Perez-Povis, L., Lontok, J., Fecarotta, C., Liu, M., The spectrum of eye disease in hospitalized adults living with HIV, 1995-2010 (2014) AIDS Patient Care STDS., 28, pp. 47-55; Freeman, W.R., Van Natta, M.L., Jabs, D., Sample, P.A., Sadun, A.A., Thorne, J., Vision function in HIV-infected individuals without retinitis: report of the Studies of Ocular Complications of AIDS Research Group (2008) Am J Ophthalmol., 145, pp. 453-462; Kahraman, G., Krepler, K., Franz, C., Ries, E., Maar, N., Wedrich, A., Seven years of HAART impact on ophthalmic management of HIV-infected patients (2005) Ocul Immunol Inflamm., 13, pp. 213-218; Barbosa, A., Queiroz, R., Colombini, G., Portes, A., Eyer, S., Araujo, W., Ophthalmologic manifestations of elderly patients with human immunodeficiency virus infection (2019) Rev bras oftalmol., 78, pp. 91-97. , www.scielo.br/scielo.php?script=sci_arttext&amp;pid=S0034-72802019000200091&amp;lng=en, http//; Ebana-Mvogo, C., Ellong, A., Bella, A.L., Luma, H., Achu-Joko, H., Complications oculaires de l'infection a VIH-SIDA en milieu Camerounais: y a-t-il une correlation avec le taux de CD4? (2007) Bull Soc Belge Ophtalmol., pp. 7-12; Ambiya, V., Sagar, A., Patyal, S., Mohanty, A.P., Ocular manifestations in 321 male consecutive cases of human immunodeficiency virus infection/acquired immunodeficiency syndrome at an HIV-referral centre (2012) Med J Armed Forces India., 68, pp. 214-221; Adepoju, F.G., Olawumi, H.O., Adekoya, B.J., HIV seropositivity and related eye diseases in Uith, Ilorin (2007) Niger Postgr Med J., 14, pp. 163-165; Holland, G.N., Kappel, P.J., Van Natta, M.L., Palella, F.J., Lyon, A.T., Shah, K.H., Association between abnormal contrast sensitivity and mortality among people with acquired immunodeficiency syndrome (2010) Am J Ophthalmol., 149, pp. 807-816; Acharya, P.K., Venugopal, K.C., Karimsab, D.P., Balasubramanya, S., Ocular Manifestations in Patients with HIV Infection/AIDS who were Referred from the ART Centre, Hassan, Karnataka, India (2012) J Clin Diagn Res., 6, pp. 1756-1760; Assefa, Y., Melese, A., Ocular manifestations of HIV/AIDS patients in Gondar University Hospital, North West Ethiopia (2006) Ethiop J Health Dev., 20, pp. 166-169. , www.ejhd.org/index.php/ejhd/article/view/608/440, https//; Purushottam, J., Ocular Manifestations in HIV Positive and AIDS Patients in Nepal (2012) Int J Clin Med., 3, pp. 14-21. , www.researchgate.net/publication/272673084_Ocular_Manifestations_in_HIV_Positive_and_AIDS_Patients_in_Nepal, https//; Gogri, P.Y., Misra, S.L., Kothari, R.N., Bhandari, A.J., Gidwani, H.V., Ophthalmic manifestations of HIV patients in a rural area of Western Maharashtra India (2014) Int Sch Res Notices., 2014, pp. 1-8; Sample, P.A., Plummer, D.J., Mueller, A.J., Matsubara, K.I., Sadun, A., Grant, I., Pattern of early visual field loss in HIV-infected patients (1999) Arch Ophthalmol., 117, pp. 755-760; Goldbaum, M.H., Kozak, I., Hao, J., Sample, P.A., Lee, T., Grant, I., Pattern recognition can detect subtle field defects in eyes of HIV individuals without retinitis under HAART (2011) Graefes Arch Clin Exp Ophthalmol., 249, pp. 491-498; Geier, S.A., Hammel, G., Bogner, J.R., Kronawitter, U., Berninger, T., Goebel, F.D., HIV-related ocular microangiopathic syndrome and color contrast sensitivity (1994) Invest Ophthalmol Vis Sci., 35, pp. 3011-3021; Eriksen, M.B., Frandsen, T.F., The impact of patient, intervention, comparison, outcome (PICO) as a search strategy tool on literature search quality: a systematic review (2018) J Med Libr Assoc., 106, pp. 420-431</t>
  </si>
  <si>
    <t>Gómez-Gualdrón, S.A.; Universidad Pedagógica y Tecnológica de ColombiaColombia; email: sergiogomez1995@hotmail.com</t>
  </si>
  <si>
    <t>ASEOA</t>
  </si>
  <si>
    <t>Arch. Soc. Esp. Oftalmol.</t>
  </si>
  <si>
    <t>2-s2.0-85100716241</t>
  </si>
  <si>
    <t>Durante Rincón C.A., González-Laprea J., Mendoza Oliveros M.E., Castro J.A., Quintana E., Fermín J.R.</t>
  </si>
  <si>
    <t>6602764884;37015407600;57223922886;57194468194;57680171500;6701852405;</t>
  </si>
  <si>
    <t>Structural and thermal properties of InSb:Mn with MnSb clusters</t>
  </si>
  <si>
    <t>Journal of Physics: Conference Series</t>
  </si>
  <si>
    <t>10.1088/1742-6596/2238/1/012004</t>
  </si>
  <si>
    <t>https://www.scopus.com/inward/record.uri?eid=2-s2.0-85129898346&amp;doi=10.1088%2f1742-6596%2f2238%2f1%2f012004&amp;partnerID=40&amp;md5=899c40a66f6042d913f85cf08fe3459b</t>
  </si>
  <si>
    <t>Laboratorio De Ciencia De Materiales, Departamento De Física, Facultad Experimental De Ciencias, Universidad Del Zulia, Maracaibo, Venezuela; Facultad De Ciencias Exactas Y Naturales, Escuela De Ciencias Físicas Y Matemática, Pontificia Universidad Católica Del Ecuador, Quito, 1076, Ecuador; Universidad Pedagógica Y Tecnológica De Colombia, Avenida Central del Norte 39-115, Tunja, Colombia; Escuela De Ingeniería Industrial, Facultad De Ingeniería, Universidad Rafael Urdaneta, Maracaibo, Venezuela</t>
  </si>
  <si>
    <t>Durante Rincón, C.A., Laboratorio De Ciencia De Materiales, Departamento De Física, Facultad Experimental De Ciencias, Universidad Del Zulia, Maracaibo, Venezuela; González-Laprea, J., Facultad De Ciencias Exactas Y Naturales, Escuela De Ciencias Físicas Y Matemática, Pontificia Universidad Católica Del Ecuador, Quito, 1076, Ecuador; Mendoza Oliveros, M.E., Universidad Pedagógica Y Tecnológica De Colombia, Avenida Central del Norte 39-115, Tunja, Colombia; Castro, J.A., Laboratorio De Ciencia De Materiales, Departamento De Física, Facultad Experimental De Ciencias, Universidad Del Zulia, Maracaibo, Venezuela; Quintana, E., Laboratorio De Ciencia De Materiales, Departamento De Física, Facultad Experimental De Ciencias, Universidad Del Zulia, Maracaibo, Venezuela; Fermín, J.R., Laboratorio De Ciencia De Materiales, Departamento De Física, Facultad Experimental De Ciencias, Universidad Del Zulia, Maracaibo, Venezuela, Escuela De Ingeniería Industrial, Facultad De Ingeniería, Universidad Rafael Urdaneta, Maracaibo, Venezuela</t>
  </si>
  <si>
    <t>III-V family compounds doped with transition metals are promising materials for spintronic applications. Synthesis of an In0.9Mn0.1Sb ingot was thus carried out by direct fusion of the stoichiometric mixture of the constituent elements, followed by controlled cooling. The ingot obtained showed p-type conductivity. Scanning Electron Microscopy (SEM) images show MnSb clusters in an InSb matrix doped with Mn, a result like that found when the compound is obtained using other techniques. Energy-dispersive X-ray spectroscopy (EDS) shows that the atomic ratio of the clusters is Mn/Sb = 0.896 ± 0.025, while the atomic ratio of the matrix is In/Sb = 1.013 ± 0.005. The indexation of the powder X-ray diffraction pattern at room temperature yielded a majority cubic phase of InSb doped with Mn, with a lattice parameter a = 6.474173 Å and cell unit volume V = 271.36Å3, while non-indexed reflections are associated with the presence of MnSb rich in Sb. The phase transition temperatures were obtained from differential thermal analysis (DTA) measurements on powder samples in evacuated quartz capsules. It can be observed that fusion of the InSb matrix doped with Mn occurs between 485 °C and 528 °C, unlike the congruent fusion of the InSb at 527.7 °C; while the fusion of the Sb-rich MnSb clusters occurs between 494 °C and 509 °C. These temperatures are lower than those reported for the Sb-rich side of the phase diagram of the Mn-Sb binary system, which shows a decrease in the thermal stability of the compounds. The estimated fusion enthalpies for InSb:Mn and antimony-rich MnSb are, respectively, 4.8 Kcal/mol and 117.4 Kcal/mol. © Published under licence by IOP Publishing Ltd.</t>
  </si>
  <si>
    <t>Antimony compounds; Differential thermal analysis; Energy dispersive spectroscopy; III-V semiconductors; Indium antimonides; Ingots; Phase diagrams; Powder metals; Ternary systems; Thermodynamic stability; Transition metals; X ray diffraction; X ray powder diffraction; Atomic ratio; Constituent elements; Controlled cooling; Energy dispersive X ray spectroscopy; matrix; P type conductivity; Scanning electron microscopy image; Spintronics application; Stoichiometric mixtures; X ray diffraction patterns; Scanning electron microscopy</t>
  </si>
  <si>
    <t>Pontificia Universidad Católica del Perú, PUCP: CC-0146-14, O13121</t>
  </si>
  <si>
    <t>This work was funded by the Research Direction of the Pontificia Universidad Católica del Ecuador project O13121 and by CONDES-LUZ project No. CC-0146-14.</t>
  </si>
  <si>
    <t>Gupta, A, (2004) Novel room temperature ferromagnetic semiconductors, , https://cloudfront.escholarship.org/dist/prd/content/qt352984v3/qt352984v3.pdf, Doctoral Dissertation Royal Institute of Technology Sweden 1 7. Available; Kumar, S, Koo, BH, Sharma, SK, Knobel, M, Lee, CG, (2010) Nano, 5, p. 34955; Ohno, H, (1998) Science, 281, p. 9516; Jungwirth, T, Sinova, J, MacDonald, AH, (2003) A. Phys. Pol. A, 104, pp. 103-112; Liu, C, Li, Y, Zeng, Y, (2010) Engineering, 2, pp. 617-624; Zhang, W, Razeghi, M, (2004) Antimony-based materials for electro-optics Steiner T. Semiconductor nanostructures for optoelectronic applications Artech House Inc. Norwood, MA USA, 242, p. 50; Verma, UP, Devi, N, Sharma, S, Jensen, P, (2011) Eur. Phys. J. B, 81, pp. 381-386; Novotortsev, VM, Kochura, AV, Marenkin, SF, Fedorchenko, IV, Drogunov, SV, Lashkul, A, Lähderanta, E, (2011) Russ. J. Inorg. Chem, 56, p. 19516; Pashkova, ON, Sanygin, VP, Ivanov, VA, Padalko, AG, Novotortsev, VM, (2006) Inorg. Mater, 42, pp. 459-462; Sanygin, VP, Pashkova, ON, Filatov, AV, Novotortsev, VM, (2010) Inorg. Mater, 46, pp. 807-811; Rednic, L, Deac, IG, Dorolti, E, Coldea, M, Rednic, V, Neumann, M, (2010) Cent. Eur. J. Phys, 8, pp. 620-627; Roisnel, T, Rodriguez-Carvajal, J, (2001) Mater. Sci. Forum, 378-381 118, p. 23; Vollstädt, H, (1968) Geophysical Journal International, 16, pp. 71-77; Sidorov, VA, (1998) Appl. Phys. Lett, 72, pp. 2174-2175; Rotstein Habarnau, Y, Bergamasco, P, Sacanell, J, Leyva, G, Albornoz, C, Quintero, M, (2012) Physica B: Condensed Matter, 407, p. 33057; Matsushita, H, Endo, S, Irie, T, (1991) Jpn. J. Appl. Phys, 30, pp. 1181-1185; Borchardt, HJ, Daniels, F, (1957) J. Am. Chem. Soc, 79, pp. 41-46; Clavaguera, N, Clavaguera-Mora, MT, Fontana, M, (1998) J. Mater. Res, 13, pp. 744-753; Durante Rincón, CA, (1998) Crecimiento, caracterización y propiedades ópticas de los sistemas CuInxGai-xSe2 y CuInxAh-xSe2, 209, p. 214. , Doctoral Dissertation Universidad Autónoma de Barcelona Bellaterra, Espana; Gumbel, EJ., (1960) Bull. Inst. Internat. de Statistique, 37, pp. 471-475; Nachtrieb, NH, Clement, N, (1958) J. Phys. Chem, 62, pp. 876-877</t>
  </si>
  <si>
    <t>Institute of Physics</t>
  </si>
  <si>
    <t>17th Encuentro de Fisica (Physics Meeting), EPN 2021</t>
  </si>
  <si>
    <t>25 October 2021 through 29 October 2021</t>
  </si>
  <si>
    <t>J. Phys. Conf. Ser.</t>
  </si>
  <si>
    <t>2-s2.0-85129898346</t>
  </si>
  <si>
    <t>Kemajou D.N.</t>
  </si>
  <si>
    <t>57675690600;</t>
  </si>
  <si>
    <t>Climate variability, water supply, sanitation and diarrhea among children under five in Sub-Saharan Africa: a multilevel analysis</t>
  </si>
  <si>
    <t>Journal of Water and Health</t>
  </si>
  <si>
    <t>10.2166/wh.2022.199</t>
  </si>
  <si>
    <t>https://www.scopus.com/inward/record.uri?eid=2-s2.0-85129780435&amp;doi=10.2166%2fwh.2022.199&amp;partnerID=40&amp;md5=afbf5b25a152263c2e7d17544d39d63f</t>
  </si>
  <si>
    <t>University of Yaounde II-IFORD, Yaounde, Cameroon</t>
  </si>
  <si>
    <t>Kemajou, D.N., University of Yaounde II-IFORD, Yaounde, Cameroon</t>
  </si>
  <si>
    <t>Climate variability is expected to increase the risk of diarrhea diseases, a leading cause of child mortality and morbidity in Sub-Saharan Africa (SSA). The risk of diarrhea is more acute when populations have poor access to improved water and sanitation. This study seeks to determine individual and joint effects of climate variation, water supply and sanitation on the occurrence of diarrhea among children under five in SSA using multilevel mixed-effect Poisson regression including cross-level interaction. We merged 57 Demographic and Health Surveys (DHS) from 25 SSA countries covering the period 2000-2019 with climatic data from the DHS geolocation databases. The results of the research indicate that 77.7% of the variation in the occurrence of diarrhea in Sub-Saharan households is due to climatic differences between clusters. Also, a household residing in a cluster with a high incidence of diarrhea is 1.567 times more likely to have diarrhea cases than a household from a cluster with a low incidence. In addition, when average temperature and rainfall increase, households using unimproved sanitation or unimproved water have more cases of diarrhea. For SSA, the results of the multilevel analysis suggest the adoption at both levels; macro (national) and micro (household), of climate change adaption measures in the water sector to reduce the prevalence of diarrhea. © 2022 The Author</t>
  </si>
  <si>
    <t>climate variability; diarrhea; multilevel model; sanitation; water supply</t>
  </si>
  <si>
    <t>drinking water; rain; water; climate variation; diarrheal disease; sanitation; water supply; Africa south of the Sahara; Article; child; childhood disease; childhood mortality; climate change; context effect; demography; dependent variable; diarrhea; female; health survey; household; human; incidence; major clinical study; male; multilevel analysis; Poisson regression; population health; prevalence; residence characteristics; risk; sanitation; temperature; water supply; diarrhea; Sub-Saharan Africa; Child; Diarrhea; Humans; Multilevel Analysis; Sanitation; Water; Water Supply</t>
  </si>
  <si>
    <t>water, 7732-18-5; Water</t>
  </si>
  <si>
    <t>Abu, M., Codjoe, S. N. A., Experience and future perceived risk of floods and diarrheal disease in urban poor communities in Accra, Ghana (2018) International Journal of Environmental Research and Public Health, 15 (12), p. 2830. , https://doi.org/10.3390/ijerph15122830; Akresh, R., Climate change, conflict, and children (2016) The Future of Children, 26 (1), pp. 51-71; Alemayehu, B., Ayele, B. T., Melak, F., Ambelu, A., Exploring the association between childhood diarrhea and meteorological factors in Southwestern Ethiopia (2020) Science of The Total Environment, 741, p. 140189; Asmall, T., Abrams, A., Röösli, M., Cissé, G., Carden, K., Dalvie, M. A., The adverse health effects associated with drought in Africa (2021) Science of The Total Environment, 793, p. 148500; Azage, M., Kumie, A., Worku, A. C., Bagtzoglou, A., Anagnostou, E., Effect of climatic variability on childhood diarrhea and its high risk periods in northwestern parts of Ethiopia (2017) PloS One, 12 (10), p. e0186933. , https://doi.org/10.1371/journal.pone.0186933; Baldursson, S., Karanis, P., Waterborne transmission of protozoan parasites: review of worldwide outbreaks - an update 2004-2010 (2011) Water Research, 45 (20), pp. 6603-6614; Bandyopadhyay, S., Kanji, S., Wang, L., The impact of rainfall and temperature variation on diarrheal prevalence in Sub-Saharan Africa (2012) Applied Geography, 33, pp. 63-72; Barril, P. A., Fumian, T. M., Prez, V. E., Gil, P. I., Martínez, L. C., Giordano, M. O., Masachessi, G., Nates, S. V., Rotavirus seasonality in urban sewage from Argentina: effect of meteorological variables on the viral load and the genetic diversity (2015) Environmental Research, 138, pp. 409-415; Bhandari, D., Bi, P., Dhimal, M., Sherchand, J. B., Hanson-Easey, S., Non-linear effect of temperature variation on childhood rotavirus infection: a time series study from Kathmandu, Nepal (2020) Science of The Total Environment, 748, p. 141376; Bhandari, D., Bi, P., Sherchand, J. B., Dhimal, M., Hanson-Easey, S., Assessing the effect of climate factors on childhood diarrhoea burden in Kathmandu, Nepal (2020) International Journal of Hygiene and Environmental Health, 223 (1), pp. 199-206; Bhavnani, D., Goldstick, J. E., Cevallos, W., Trueba, G., Eisenberg, J. N. S., Impact of rainfall on diarrheal disease risk associated with unimproved water and sanitation (2014) The American Journal of Tropical Medicine and Hygiene, 90 (4), pp. 705-711; Calzadilla, A., Zhu, T., Rehdanz, K., Tol, R. S. J., Ringler, C., Economywide impacts of climate change on agriculture in Sub-Saharan Africa (2013) Ecological Economics, 93, pp. 150-165; Cann, K. F., Thomas, D. R., Salmon, R. L., Wyn-Jones, A. P., Kay, D., Extreme water-related weather events and waterborne disease (2013) Epidemiology and Infection, 141 (4), pp. 671-686; Carlton, E. J., Eisenberg, J. N. S., Goldstick, J., Cevallos, W., Trostle, J., Levy, K., Heavy rainfall events and diarrhea incidence: the role of social and environmental factors (2014) American Journal of Epidemiology, 179 (3), pp. 344-352; Carlton, E. J., Woster, A. P., DeWitt, P., Goldstein, R. S., Levy, K., A systematic review and meta-analysis of ambient temperature and diarrhoeal diseases (2016) International Journal of Epidemiology, 45 (1), pp. 117-130; Chou, W.-C., Wu, J.-L., Wang, Y.-C., Huang, H., Sung, F.-C., Chuang, C.-Y., Modeling the impact of climate variability on diarrhea-associated diseases in Taiwan (1996-2007) (2010) Science of The Total Environment, 409 (1), pp. 43-51; Diez-Roux, A. V., Multilevel analysis in public health research (2000) Annual Review of Public Health, 21, pp. 171-192. , https://doi.org/10.1146/annurev.publhealth.21.1.171; Dunn, G., Johnson, G. D., Balk, D. L., Sembajwe, G., Spatially varying relationships between risk factors and child diarrhea in West Africa, 2008-2013 (2020) Mathematical Population Studies, 27 (1), pp. 8-33; Fagbamigbe, A. F., Ologunwa, O. P., Afolabi, E. K., Fagbamigbe, O. S., Uthman, A. O., Decomposition analysis of the compositional and contextual factors associated with poor-non-poor inequality in diarrhoea among under-five children in low- and middle-income countries (2021) Public Health, 193, pp. 83-93; Galloway, D., Cohen, M. B., 38 - Infectious diarrhea (2021) Pediatric Gastrointestinal and Liver Disease, pp. 398-415. , 6th edn. (R. Wyllie, J. S. Hyams &amp; M. Kay, eds) Elsevier, Philadelphia, e5; Goldstein, H., Browne, W., Rasbash, J., Partitioning variation in multilevel models (2002) Understanding Statistics, 1 (4), pp. 223-231. , https://doi.org/10.1207/S15328031US0104_02; Gray, N. F., Chapter 36: The implications of global warming and climate change on waterborne diseases (2014) Microbiology of Waterborne Diseases, pp. 653-666. , 2nd edn. (S. L. Percival, M. Yates, D. W. Williams, R. M. Chalmers &amp; N. F. Gray, eds). Academic Press, London; Hanna, R., Oliva, P., Implications of climate change for children in developing countries (2016) The Future of Children, 26 (1), pp. 115-132; Hofstra, N., Quantifying the impact of climate change on enteric waterborne pathogen concentrations in surface water (2011) Current Opinion in Environmental Sustainability, 3 (6), pp. 471-479; Holcomb, D. A., Knee, J., Sumner, T., Adriano, Z., de Bruijn, E., Nalá, R., Cumming, O., Stewart, J. R., Human fecal contamination of water, soil, and surfaces in households sharing poor-quality sanitation facilities in Maputo, Mozambique (2020) International Journal of Hygiene and Environmental Health, 226, p. 113496; Hoque, B. A., Hallman, K., Levy, J., Bouis, H., Ali, N., Khan, F., Khanam, S., Shah Alam, M., Rural drinking water at supply and household levels: quality and management (2006) International Journal of Hygiene and Environmental Health, 209 (5), pp. 451-460; (2014) Climate Change 2014 - Impacts, Adaptation and Vulnerability: Part A: Global and Sectoral Aspects: Working Group II Contribution to the IPCC Fifth Assessment Report: Volume 1: Global and Sectoral Aspects, 1. , Intergovernmental Panel on Climate Change Cambridge University Press, Cambridge; Khan, A. M., Bhutta, Z. A., Childhood infectious diseases: overview (2017) International Encyclopedia of Public Health, pp. 517-538. , 2nd edn. (S. R. Quah, ed). Academic Press, Oxford; Koroglu, M., Yakupogullari, Y., Otlu, B., Ozturk, S., Ozden, M., Ozer, A., Sener, K., Durmaz, R., A waterborne outbreak of epidemic diarrhea due to group A rotavirus in Malatya, Turkey (2011) The New Microbiologica, 34 (1), pp. 17-24; Kotloff, K. L., Nasrin, D., Blackwelder, W. C., Wu, Y., Farag, T., Panchalingham, S., Sow, S. O., Levine, M. M., The incidence, aetiology, and adverse clinical consequences of less severe diarrhoeal episodes among infants and children residing in low-income and middle-income countries: a 12-month case-control study as a follow-on to the Global Enteric Multicenter Study (GEMS) (2019) The Lancet Global Health, 7 (5), pp. e568-e584; Lal, A., Hales, S., French, N., Baker, M. G., Seasonality in human zoonotic enteric diseases: a systematic review (2012) PLoS ONE, 7 (4), p. e31883; Lane, S., Lloyd, D., Current trends in research into the waterborne parasite Giardia (2002) Critical Reviews in Microbiology, 28 (2), pp. 123-147. , https://doi.org/10.1080/1040-840291046713; Larr, A. S., Neidell, M., Pollution and climate change (2016) The Future of Children, 26 (1), pp. 93-113; Levy, K., Woster, A. P., Goldstein, R. S., Carlton, E. J., Untangling the impacts of climate change on waterborne diseases: a systematic review of relationships between diarrheal diseases and temperature, rainfall, flooding, and drought (2016) Environmental Science &amp; Technology, 50 (10), pp. 4905-4922; Leyland, A. H., Groenewegen, P. P., (2020) Multilevel Modelling for Public Health and Health Services Research: Health in Context, pp. 13-27. , Springer International Publishing, Cham; Medina, D. C., Findley, S. E., Guindo, B., Doumbia, S., Forecasting non-stationary diarrhea, acute respiratory infection, and malaria time-series in Niono, Mali (2007) PLoS ONE, 2 (11), p. e1181; Merlo, J., Chaix, B., Yang, M., Lynch, J., Råstam, L., A brief conceptual tutorial on multilevel analysis in social epidemiology: interpreting neighbourhood differences and the effect of neighbourhood characteristics on individual health (2005) Journal of Epidemiology &amp; Community Health, 59 (12), pp. 1022-1029; Mordecai, E. A., Ryan, S. J., Caldwell, J. M., Shah, M. M., LaBeaud, A. D., Climate change could shift disease burden from malaria to arboviruses in Africa (2020) The Lancet Planetary Health, 4 (9), pp. e416-e423; Mukabutera, A., Thomson, D., Murray, M., Basinga, P., Nyirazinyoye, L., Atwood, S., Savage, K. P., Hedt-Gauthier, B. L., Rainfall variation and child health: effect of rainfall on diarrhea among under 5 children in Rwanda, 2010 (2016) BMC Public Health, 16 (1), p. 731; Musengimana, G., Mukinda, F. K., Machekano, R., Mahomed, H., Temperature variability and occurrence of diarrhoea in children under five-years-old in Cape Town Metropolitan Sub-Districts (2016) International Journal of Environmental Research and Public Health, 13 (9), p. 859; Nataro, J. P., Guerrant, R. L., Chronic consequences on human health induced by microbial pathogens: growth faltering among children in developing countries (2017) Vaccine, 35 (49), pp. 6807-6812. , (Part A); Novignon, J., Nonvignon, J., Socioeconomic status and the prevalence of fever in children under age five: evidence from four sub-Saharan African countries (2012) BMC Research Notes, 5, p. 380; Ntouda, J., Sikodf, F., Ibrahim, M., Abba, I., Access to drinking water and health of populations in Sub-Saharan Africa (2013) Comptes Rendus Biologies, 336 (5), pp. 305-309; Nyiwul, L. M., Climate change mitigation and adaptation in Africa: strategies, synergies, and constraints (2019) Climate Change and Global Development: Market, Global Players and Empirical Evidence, pp. 219-241. , (T. Sequeira &amp; L. Reis, eds). Springer International Publishing, Cham; Nyiwul, L., Climate change adaptation and inequality in Africa: case of water, energy and food insecurity (2021) Journal of Cleaner Production, 278, p. 123393; Oberheim, J., Höser, C., Lüchters, G., Kistemann, T., Small-scaled association between ambient temperature and campylobacteriosis incidence in Germany (2020) Scientific Reports, 10 (1), p. 17191; Obiri-Danso, K., Paul, N., Jones, K., The effects of UVB and temperature on the survival of natural populations and pure cultures of Campylobacter jejuni, Camp. coli, Camp. lari and urease-positive thermophilic campylobacters (UPTC) in surface waters (2001) Journal of Applied Microbiology, 90 (2), pp. 256-267; Opoku, S. K., Leal Filho, W., Hubert, F., Adejumo, O., Climate change and health preparedness in Africa: analysing trends in Six African countries (2021) International Journal of Environmental Research and Public Health, 18 (9), p. 4672; Rabe-Hesketh, S., Skrondal, A., (2012) Multilevel and Longitudinal Modeling Using STATA, Volume II: Categorical Responses, Counts, and Survival, pp. 1-484. , 3rd edn. Stata Press, College Station; Ramin, B., Slums, climate change and human health in sub-Saharan Africa (2009) Bulletin of the World Health Organization, 87 (12), p. 886; Reiner, R. C., Graetz, N., Casey, D. C., Troeger, C., Garcia, G. M., Mosser, J. F., Deshpande, A., Hay, S. I., Variation in childhood diarrheal morbidity and mortality in Africa, 2000-2015 (2018) New England Journal of Medicine, 379 (12), pp. 1128-1138; Rice, E. W., Johnson, C. H., Short Communication: Survival of Escherichia coli O157:H7 in.dairy cattle drinking water (2000) Journal of Dairy Science, 83 (9), pp. 2021-2023. , https://doi.org/10.3168/jds.S0022-0302(00)75081-8; Schulte-Uebbing, L., Hansen, G., Hernández, A. M., Winter, M., Chapter scientists in the IPCC AR5-Experience and lessons learned (2015) Current Opinion in Environmental Sustainability, 14, pp. 250-256; Shiras, T., Cumming, O., Brown, J., Muneme, B., Nala, R., Dreibelbis, R., Shared sanitation management and the role of social capital: findings from an urban sanitation intervention in Maputo, Mozambique (2018) International Journal of Environmental Research and Public Health, 15 (10), p. E2222; Simiyu, S., Swilling, M., Cairncross, S., Rheingans, R., Determinants of quality of shared sanitation facilities in informal settlements: case study of Kisumu, Kenya (2017) BMC Public Health, 17, p. 68; Stanke, C., Kerac, M., Prudhomme, C., Medlock, J., Murray, V., Health effects of drought: a systematic review of the evidence (2013) PLoS Currents, 5; Strauch, A. M., Seasonal variability in faecal bacteria of semiarid rivers in the Serengeti National Park, Tanzania (2011) Marine and Freshwater Research, 62 (10), pp. 1191-1200; Stryhn, H., Sanchez, J., Morley, P., Booker, C., Dohoo, I., T4-1.2.3-Interpretation of variance parameters in multilevel Poisson regression models (2006) International Symposia on Veterinary Epidemiology and Economics Proceedings, ISVEE 11: Proceedings of the 11th Symposium of the International Society for Veterinary Epidemiology and Economics, Cairns, Australia (Theme 4-Tools &amp; Training for Epidemiologists: Statistical Modelling Session), p. 702; Thiam, S., Cissé, G., Stensgaard, A.-S., Niang-Diène, A., Utzinger, J., Vounatsou, P., Bayesian conditional autoregressive models to assess spatial patterns of diarrhoea risk among children under the age of 5 years in Mbour, Senegal (2019) Geospatial Health, 14 (2), pp. 321-328; (2011) Climate Change and Health Across Africa: Issues and Options, , (Working Paper No 20); (2019) Southern Africa - Tropical Cyclones Fact Sheet#14 FY2019, , USAID USAID; van Gaalen, R. D., van de Kassteele, J., Hahné, S. J. M., Bruijning-Verhagen, P., Wallinga, J., Determinants of rotavirus transmission: a lag nonlinear time series analysis (2017) Epidemiology (Cambridge, Mass.), 28 (4), pp. 503-513; Voth-Gaeddert, L. E., Jonah, C., Momberg, D., Ngandu, B., Said-Mohamed, R., Oerther, D. B., May, J., Assessment of environmental exposure factors on child diarrhea and systemic inflammation in the Eastern Cape (2020) Water Research, 169, p. 115244; (2020) World Malaria Report 2020: 20 Years of Global Progress and Challenges, , WHO; Wilby, R. L., Hedger, M., Orr, H., Climate change impacts and adaptation: a science agenda for the Environment Agency of England and Wales (2005) Weather, 60 (7), pp. 206-211; Wolf, J., Hunter, P. R., Freeman, M. C., Cumming, O., Clasen, T., Bartram, J., Higgins, J. P. T., Prüss-Ustün, A., Impact of drinking water, sanitation and handwashing with soap on childhood diarrhoeal disease: updated meta-analysis and meta-regression (2018) Tropical Medicine &amp; International Health: TM &amp; IH, 23 (5), pp. 508-525; (2021) Progress on Household Drinking Water, Sanitation and Hygiene 2000-2020: Five Years Into the SDGs, , World Health Organization; UNICEF; Xu, Z., Etzel, R. A., Su, H., Huang, C., Guo, Y., Tong, S., Impact of ambient temperature on children's health: a systematic review (2012) Environmental Research, 117, pp. 120-131; Yusuf, O. B., Adeoye, B. W., Oladepo, O. O., Peters, D. H., Bishai, D., Poverty and fever vulnerability in Nigeria: a multilevel analysis (2010) Malaria Journal, 9 (1), p. 235</t>
  </si>
  <si>
    <t>Kemajou, D.N.; University of Yaounde II-IFORDCameroon; email: njatangkemajou@yahoo.fr</t>
  </si>
  <si>
    <t>IWA Publishing</t>
  </si>
  <si>
    <t>J. Water Health</t>
  </si>
  <si>
    <t>2-s2.0-85129780435</t>
  </si>
  <si>
    <t>González-Cely A.X., Callejas-Cuervo M., Bastos-Filho T.</t>
  </si>
  <si>
    <t>57219805584;57189839504;6602380721;</t>
  </si>
  <si>
    <t>https://www.scopus.com/inward/record.uri?eid=2-s2.0-85128450284&amp;doi=10.1016%2fj.ohx.2022.e00306&amp;partnerID=40&amp;md5=b1b8e6a0eacfbe27974282632dddce74</t>
  </si>
  <si>
    <t>Postgraduate Program in Electrical Engineering, Federal University of Esṕırito Santo, Av. Fernando Ferrari, 514, Vitoria, 29075-910, Brazil; Software Research Group, Universidad Pedaǵogica y Tecnoĺogica de Colombia, Av. Central del Norte 39- 115, Tunja, 150001, Colombia</t>
  </si>
  <si>
    <t>González-Cely, A.X., Postgraduate Program in Electrical Engineering, Federal University of Esṕırito Santo, Av. Fernando Ferrari, 514, Vitoria, 29075-910, Brazil; Callejas-Cuervo, M., Software Research Group, Universidad Pedaǵogica y Tecnoĺogica de Colombia, Av. Central del Norte 39- 115, Tunja, 150001, Colombia; Bastos-Filho, T., Postgraduate Program in Electrical Engineering, Federal University of Esṕırito Santo, Av. Fernando Ferrari, 514, Vitoria, 29075-910, Brazil</t>
  </si>
  <si>
    <t>A prototype that simulates a wheelchair was built using electronic commercial devices and software implementation with the aim to operate the prototype using head movement and analyzing the system response. The controllers were simulated using MATLAB® toolbox and Python™ libraries. The mean time response of the system with manual control was 37,8 s. The mean orientation control response with constant speed was 36,5 s and the mean orientation control response with variable speed was 44,2 s in a specific route. The variable speed response is slower than constant speed due to head motion error. The system was rated such as” very good” by 10 participants using a System Usability Scale (SUS). © 2022 The Author(s)</t>
  </si>
  <si>
    <t>Fuzzy logic control; Head motion; Inertial Measurement Unit (IMU); Wheelchair prototype; Wireless</t>
  </si>
  <si>
    <t>Fuzzy logic; MATLAB; Software prototyping; Speed; Constant speed; Control response; Fuzzy logic control; Head motion; Head movements; Inertial measurement unit; Inertial measurements units; Orientation control; Variable speed; Wheelchair prototype; Wheelchairs</t>
  </si>
  <si>
    <t>This work was supported by the Software Research Group (GIS) from the school of Computer Science, Engineering Department, Universidad Pedaǵogica y Tecnológica de Colombia (UPTC).</t>
  </si>
  <si>
    <t>This work was supported by the Software Research Group (GIS) from the school of Computer Science, Engineering Department, Universidad Pedag?ogica y Tecnolo?gica de Colombia (UPTC).</t>
  </si>
  <si>
    <t>Callejas-Cuervo, M., Gonźalez-Cely, A.X., (2020), 20. , T. Bastos-Filho. “Control systems and electronic instrumentation applied to autonomy in wheelchair mobility: The state of the art,” Sensors, no. 21; Marins, G., Carvalho, D., Marcato, A., (2017), pp. 996-1001. , I. Junior. “Development of a control system for electric wheelchairs based on head movements,” in 2017 Intelligent Systems Conference (IntelliSys); Ruzaij, M.F., Neubert, S., Stoll, N., (2016), pp. 1-6. , K. Thurow. “Auto calibrated head orientation controller for robotic-wheelchair using mems sensors and embedded technologies,” in 2016 IEEE Sensors Applications Symposium (SAS); Ruzaij, M.F., Neubert, S., Stoll, N., (2017), pp. 000497-000502. , K. Thurow. “A speed compensation algorithm for a head tilts con- troller used for wheelchairs and rehabilitation applications,” in 2017 IEEE 15th International Symposium on Applied Machine Intelligence and Informatics (SAMI); Al-Okby, M.F.R., Neubert, S., Stoll, N., (2017), pp. 000117-000122. , K. Thurow. “Complementary functions for intelligent wheelchair head tilts controller,” in 2017 IEEE 15th International Symposium on Intelligent Systems and Informatics (SISY); Errico, V., Ricci, M., Pallotti, A., Giannini, F., (2018), pp. 1-6. , G. Saggio. “Ambient assisted living for tetraplegic people by means of an electronic system based on a novel sensory headwear : Increased possibilities for reduced abilities,” in 2018 IEEE International Symposium on Medical Measurements and Applications (MeMeA); Gomes, D., Fernandes, F., Castro, E., (2019), pp. 1-4. , G. Pires. “Head-movement interface for wheelchair driving based on inertial sensors*,” in 2019 IEEE 6th Portuguese Meeting on Bioengineering (ENBENG); Dey, P., Hasan, M., Mostofa, S., Rana, A.I., (2019), pp. 329-334. , “Smart wheelchair integrating head gesture navigation,” in 2019 International Conference on Robotics,Electrical and Signal Processing Techniques (ICREST); Mahmud, S., Lin, X., Kim, J.-H., Iqbal, H., Rahat-Uz-Zaman, M., Reza, S., Rahman, M.A., (2019), pp. 10-13. , “A multi- modal human machine interface for controlling a smart wheelchair,” in 2019 IEEE 7th Conference on Systems, Process and Control (ICSPC); Kader, M.A., Alam, M.E., Jahan, N., Bhuiyan, M.A.B., Alam, M.S., Sultana, Z., (2019), pp. 1-6. , “Design and implementation of a head motion-controlled semi-autonomous wheelchair for quadriplegic patients based on 3-axis accelerometer,” in 2019 22nd International Conference on Computer and Information Technology (ICCIT); Zhang, S., Cao, F., Li, C., Ming, Y., (2019), 1, pp. 2091-2096. , “Robust h¡inf¿¡/inf¿ fuzzy logic control of intelligent electrically powered wheelchair,” in 2019 IEEE 4th Advanced Information Technology, Electronic and Automation Control Conference (IAEAC); Lee, Y.-T., Chiu, C.-S., Kuo, I.-T., (2017), pp. 1-6. , “Fuzzy wall-following control of a wheelchair,” in 2017 Joint 17th World Congress of International Fuzzy Systems Association and 9th International Conference on Soft Computing and Intelligent Systems (IFSA-SCIS); Maatoug, K., Njah, M., Jallouli, M., (2019), pp. 191-195. , “Electric wheelchair trajectory tracking control based on fuzzy logic controller,” in 2019 19th International Conference on Sciences and Techniques of Automatic Control and Computer Engineering (STA); Penttinen, J.T.J., (2013), pp. 73-99. , Protocols; Callejas-Cuervo, M., Gonźalez-Cely, A.X., Bastos-Filho, T., (2021), 21. , “Design and implementation of a position, speed and orientation fuzzy controller using a motion capture system to operate a wheelchair prototype,” Sensors, no. 13; Qamar, I.O., Fadli, B.A., Sukkar, G.A., Abdalla, M., (2017), pp. 1-5. , “Head movement based control system for quadriplegia patients,” in 2017 10th Jordanian International Electrical and Electronics Engineering Conference (JIEEEC); Onishi, M., Shibata, S., Goto, Y., Kobayashi, K., Watanabe, K., Development of intuitive visual navigation interface for electric wheelchair (2007) SICE Annual Conference, 2007, pp. 2080-2083</t>
  </si>
  <si>
    <t>González-Cely, A.X.; Postgraduate Program in Electrical Engineering, Av. Fernando Ferrari, 514, Brazil; email: aura.cely@edu.ufes.br</t>
  </si>
  <si>
    <t>2-s2.0-85128450284</t>
  </si>
  <si>
    <t>Moreno Rubio J.J., Angarita Malaver E.F., Lara González L.Á.</t>
  </si>
  <si>
    <t>57199177389;56646609200;57209735179;</t>
  </si>
  <si>
    <t>https://www.scopus.com/inward/record.uri?eid=2-s2.0-85127648919&amp;doi=10.3390%2fmi13040497&amp;partnerID=40&amp;md5=361301587e968413fd58201372236ee5</t>
  </si>
  <si>
    <t>Grupo de Investigación en Telecomunicaciones—GINTEL, Universidad Pedagógica y Tecnológica de Colombia, Sogamoso, 152211, Colombia; Instituto de Recursos Minero-Energéticos—IRME, Universidad Pedagógica y Tecnológica de Colombia, Sogamoso, 152211, Colombia</t>
  </si>
  <si>
    <t>Moreno Rubio, J.J., Grupo de Investigación en Telecomunicaciones—GINTEL, Universidad Pedagógica y Tecnológica de Colombia, Sogamoso, 152211, Colombia; Angarita Malaver, E.F., Grupo de Investigación en Telecomunicaciones—GINTEL, Universidad Pedagógica y Tecnológica de Colombia, Sogamoso, 152211, Colombia; Lara González, L.Á., Instituto de Recursos Minero-Energéticos—IRME, Universidad Pedagógica y Tecnológica de Colombia, Sogamoso, 152211, Colombia</t>
  </si>
  <si>
    <t>This paper presents a simple method to design wideband Doherty power amplifiers (DPAs) based on the synthesis of a combiner network which can mimic the response of an ideal compensation of the device reactive output equivalent network and exploit the maximum power capabilities of the device. Using the Wolfspeed’s CGH40006 and CG2H40025 GaN HEMT devices, two DPAs were designed and simulated to demonstrate the effectiveness of the proposed approach. In both cases, a 1.4 GHz bandwidth was obtained together with an efficiency higher than 44 and 49% at 6 dB OBO. The saturated output power was higher than 41.2 and 47 dBm over the band, for the DPAs using the CGH40006 and CG2H40025 devices, respectively. © 2022 by the authors. Licensee MDPI, Basel, Switzerland.</t>
  </si>
  <si>
    <t>broadband matching networks; GaN-based FETs; wideband Doherty power amplifier</t>
  </si>
  <si>
    <t>Broadband amplifiers; Design; Gallium nitride; III-V semiconductors; Broadband matching networks; Design approaches; Doherty power amplifier; Equivalent network; GaN based; GaN-based FET; Maximum power; SIMPLE method; Wide-band; Wideband doherty power amplifier; Doherty amplifiers</t>
  </si>
  <si>
    <t>Grebennikov, A., Bulja, S., Hogh-efficiency Doherty power amplifiers: Historical aspects and modern trends (2012) Proc. IEEE. Dec, 100, pp. 3190-3219. , [CrossRef]; Camarchia, V., Pirola, M., Quaglia, R., Jee, S., Cho, Y., Kim, B., The Doherty power amplifier: Review of recent solutions and trends (2015) IEEE Trans. Microw. Theory Techn, 63, pp. 559-571. , [CrossRef]; Pang, J., Chu, C., Wu, J., Dai, Z., Li, M., He, S., Zhu, A., Broadband GaN MMIC Doherty Power Amplifier Using Continuous-Mode Combining for 5G Sub-6 GHz Applications IEEE J. Solid-State Circuits 2022, , Early Access Article. [CrossRef]; Holzer, K.D., Yuan, W., Walling, J.S., Wideband techniques for outphasing power amplifiers (2018) IEEE Trans. Circuits Syst. I: Regul. Pap, 65, pp. 2715-2725. , [CrossRef]; Sheppard, D.J., Powel, J., Cripps, S.C., An efficient broadband reconfigurable power amplifier using active load modulation (2016) IEEE Microw. Wirel. Compon. Lett, 26, pp. 443-445. , [CrossRef]; Quaglia, R., Cripps, S., A Load Modulated Balanced Amplifier for Telecom Applications (2018) IEEE Trans. Microw. Theory Techn, 66, pp. 1328-1338. , [CrossRef]; Moreno Rubio, J.J., Camarchia, V., Pirola, M., Quaglia, R., Design of an 87% Fractional Bandwidth Doherty Power Amplifier Supported by a Simplified Estimation Method (2018) IEEE Trans. Microw. Theory Techn, 66, pp. 1319-1327. , [CrossRef]; Giofré, R., Piazzon, L., Colantonio, P., Giannini, F., An ultra-broadband GaN Doherty Amplifier with 83% of fractional bandwidth (2014) IEEE Microw. Wireless Compon. Lett, 24, pp. 775-777. , [CrossRef]; Wu, D.Y.-T., Boumaiza, S., A modified Doherty configuration for broadband amplification using symmetrical devices (2012) IEEE Trans. Microw. Theory Techn, 60, pp. 3201-3213. , [CrossRef]; Abounemra, A.E., Chen, W., Huang, F., Maktoomi, M., Zhang, W., Helaoui, M., Ghannouchi, F.M., Systematic Design Methodology of Broadband Doherty Amplifier Using Unified Matching/Combining Networks with an Application to GaN MMIC Design (2021) IEEE Access, 9, pp. 5791-5805. , [CrossRef]; Moreno Rubio, J.J., Fang, J., Camarchia, V., Quaglia, R., Pirola, M., Ghione, G., 3–3.6 GHz Wideband GaN Doherty Power Amplifier Exploiting Compensation Stages (2012) IEEE Trans. Microw. Theory Techn, 60, pp. 2543-2548. , [CrossRef]; Chen, X., Chen, W., Ghannouchi, F.M., Feng, Z., Liu, Y., A broadband Doherty power amplifier based on continuous-mode technology (2016) IEEE Trans. Microw. Theory Techn, 64, pp. 4505-4517. , [CrossRef]; Moreno Rubio, J.J., Quaglia, R., Baddeley, A., Tasker, P.J., Cripps, S.C., Design of a Broadband Power Amplifier Based on Power and Efficiency Contour Estimation (2020) IEEE Microw. Wirel. Compon. Lett, 30, pp. 772-774. , [CrossRef]; Moreno Rubio, J.J., Angarita Malaver, E.F., The Doherty Power Amplifier: Design strategy (2015) Proceedings of the 2015 IEEE Thirty Fifth Central American and Panama Convention (CONCAPAN XXXV), pp. 1-5. , Tegucigalpa, Honduras, 11–13 November [CrossRef]; Quaglia, R., Camarchia, V., Moreno Rubio, J.J., Pirola, M., Ghione, G., A 4-W Doherty Power Amplifier in GaN MMIC Technology for 15-GHz Applications (2017) IEEE Microw. Wirel. Compon. Lett, 27, pp. 365-367. , [CrossRef]; Rubio, JJ, Quaglia, R., Piacibello, A., Camarchia, V., Tasker, P.J., Cripps, S., 3–20-GHz GaN MMIC Power Amplifier Design Through a COUT Compensation Strategy (2021) IEEE Microw. Wirel. Compon. Lett, 31, pp. 469-472. , M [CrossRef]; Rubio, JJ, Camarchia, V., Quaglia, R., Malaver, A., Pirola, M.A., 0.6–3.8 GHz GaN Power Amplifier Designed Through a Simple Strategy (2016) IEEE Microw. Wirel. Compon. Lett, 26, pp. 446-448. , M [CrossRef]; Colantonio, P., Giannini, F., Limiti, E., (2009) High Efficiency RF and Microwave Solid State Power Amplifiers, pp. 49-82. , 1st ed.; Wiley: Chichester, UK, 435–493</t>
  </si>
  <si>
    <t>2-s2.0-85127648919</t>
  </si>
  <si>
    <t>Zuidema P.A., Babst F., Groenendijk P., Trouet V., Abiyu A., Acuña-Soto R., Adenesky-Filho E., Alfaro-Sánchez R., Aragão J.R.V., Assis-Pereira G., Bai X., Barbosa A.C., Battipaglia G., Beeckman H., Botosso P.C., Bradley T., Bräuning A., Brienen R., Buckley B.M., Camarero J.J., Carvalho A., Ceccantini G., Centeno-Erguera L.R., Cerano-Paredes J., Chávez-Durán Á.A., Cintra B.B.L., Cleaveland M.K., Couralet C., D’Arrigo R., del Valle J.I., Dünisch O., Enquist B.J., Esemann-Quadros K., Eshetu Z., Fan Z.-X., Ferrero M.E., Fichtler E., Fontana C., Francisco K.S., Gebrekirstos A., Gloor E., Granato-Souza D., Haneca K., Harley G.L., Heinrich I., Helle G., Inga J.G., Islam M., Jiang Y.-M., Kaib M., Khamisi Z.H., Koprowski M., Kruijt B., Layme E., Leemans R., Leffler A.J., Lisi C.S., Loader N.J., Locosselli G.M., Lopez L., López-Hernández M.I., Lousada J.L.P.C., Mendivelso H.A., Mokria M., Montóia V.R., Moors E., Nabais C., Ngoma J., Nogueira Júnior F.C., Oliveira J.M., Olmedo G.M., Pagotto M.A., Panthi S., Pérez-De-Lis G., Pucha-Cofrep D., Pumijumnong N., Rahman M., Ramirez J.A., Requena-Rojas E.J., Ribeiro A.S., Robertson I., Roig F.A., Rubio-Camacho E.A., Sass-Klaassen U., Schöngart J., Sheppard P.R., Slotta F., Speer J.H., Therrell M.D., Toirambe B., Tomazello-Filho M., Torbenson M.C.A., Touchan R., Venegas-González A., Villalba R., Villanueva-Diaz J., Vinya R., Vlam M., Wils T., Zhou Z.-K.</t>
  </si>
  <si>
    <t>9039487900;23468493600;57208936945;6507264523;39960975600;55941900700;57194574544;55849750200;57204634911;56198087300;57205107570;42160956200;6507001590;6602855866;6508075173;57557867500;6603476391;12786571000;7102038796;57189186147;57207481987;7801425357;57558903100;23995148900;56899033400;55957434200;6603768180;8848989400;7003697159;7005396842;6603972695;7004590620;24473972700;6603056366;35737115500;28367623000;6506184212;56376315500;55825405500;13806275500;57217097774;57200310830;8726193200;35798122100;55923697700;15759638700;57219198953;57192951901;57559165000;57558388400;57558638600;13003291600;6701848102;57202641308;7004379793;6701896839;6602565333;6603335688;55337570200;36706092100;57210319855;6701880102;55895146500;56527346200;6504656352;19337676200;8621261100;57105701800;57558125500;24605808800;57201821257;56708910800;57195425978;37091288000;57208222668;6506765129;57221973619;22635681000;57202641678;7201676197;8915901800;7004370283;56131800800;6507677336;6507398267;7004414312;53364348900;7006162002;6602847144;8645153700;57210221500;56996966900;6508264828;56418626700;7005257933;6506407293;55027465100;36195198900;25951616900;7406094431;</t>
  </si>
  <si>
    <t>Nature Geoscience</t>
  </si>
  <si>
    <t>https://www.scopus.com/inward/record.uri?eid=2-s2.0-85127442687&amp;doi=10.1038%2fs41561-022-00911-8&amp;partnerID=40&amp;md5=4b19cf17650076065997afc38e3bcf09</t>
  </si>
  <si>
    <t>Forest Ecology and Forest Management Group, Wageningen University, Wageningen, Netherlands; School of Natural Resources and the Environment, University of Arizona, Tucson, AZ, United States; Laboratory of Tree-Ring Research, University of Arizona, Tucson, AZ, United States; Department of Plant Biology, Institute of Biology, University of Campinas (UNICAMP), Campinas, Brazil; World Agroforestry Centre (ICRAF), Addis Ababa, Ethiopia; Department of Microbiology and Parasitology, Universidad Nacional Autónoma de México, Mexico City, Mexico; Laboratory of Protection and Forest Management, Department of Forest Engineering, Universidade Regional de Blumenau, Santa Catarina, Brazil; Department of Biology, Wilfrid Laurier University, Waterloo, ON, Canada; Department of Forest Sciences, Luiz de Queiroz College of Agriculture, University of Sao Paulo, Piracicaba, Brazil; Tree-Ring Laboratory, Forest Science Department, Federal University of Lavras, Lavras, Brazil; CAS Key Laboratory of Tropical Forest Ecology, Xishuangbanna Tropical Botanical Garden, Chinese Academy of Sciences, Mengla, China; Department of Environmental, Biological and Pharmaceutical Sciences and Technologies, University of Campania “L. Vanvitelli”, Caserta, Italy; Service of Wood Biology, Royal Museum for Central Africa, Tervuren, Belgium; Brazilian Agricultural Research Corporation (Embrapa), Embrapa Forestry, Colombo, Brazil; U.S. Department of Agriculture, Forest Service, NWCG Member Agency, Washington, DC, United States; Institute of Geography, Friedrich-Alexander-University Erlangen-Nuremberg, Erlangen, Germany; School of Geography, University of Leeds, Leeds, United Kingdom; Lamont-Doherty Earth Observatory, Columbia University, Palisades, NY, United States; Instituto Pirenaico de Ecología (IPE-CSIC), Zaragoza, Spain; Centre for Functional Ecology, Department of Life Sciences, Faculty of Sciences and Technology, University of Coimbra, Coimbra, Portugal; Department of Botany, Institute of Biosciences, University of São Paulo, São Paulo, Brazil; Instituto Nacional de Investigaciones Forestales, Agrícolas y Pecuarias (INIFAP), Centro Nacional de Investigación Disciplinaría en Relación Agua-Suelo-Planta-Atmósfera (CENID-RASPA), Gómez Palacio, Mexico; Instituto Nacional de Investigaciones Forestales, Agrícolas y Pecuarias (INIFAP), Campo Experimental Centro - Altos de Jalisco, Tepatitlán de Morelos, Mexico; Department of Geosciences, University of Arkansas, Fayetteville, AR, United States; Department of Forest Sciences, Universidad Nacional de Colombia - Sede Medellín, Medellín, Colombia; Master School for Carpentry and Cabinetmaking, Ebern, Germany; Department of Ecology and Evolutionary Biology, University of Arizona, Tucson, AZ, United States; Santa Fe Institute, Santa Fe, NM, United States; Department of Biological Sciences, University of Joinville Region ‐ UNIVILLE, Joinville, Brazil; Postgraduate Program in Forestry, Regional University of Blumenau - FURB, Blumenau, Brazil; College of Life Science, Climate Science Center and Department of Earth Science, Addis Ababa University, Addis Ababa, Ethiopia; Departamento de Dendrocronología e Historia Ambiental, IANIGLA, CCT-CONICET-Mendoza, Mendoza, Argentina; Laboratorio de Dendrocronología, Universidad Continental, Huancayo, Peru; Department of Crop Sciences, Tropical Plant Production and Agricultural Systems Modelling, Göttingen University, Göttingen, Germany; Institute of Pacific Islands Forestry, USDA Forest Service Pacific Southwest Research Station, Hilo, HI, United States; World Agroforestry Centre (ICRAF), Nairobi, Kenya; Flanders Heritage Agency, Brussels, Belgium; Department of Geography and Geological Sciences, University of Idaho, Moscow, ID, United States; German Archaeological Institute DAI, Berlin, Germany; Geography Department, Humboldt University Berlin, Berlin, Germany; GFZ German Research Centre for Geosciences, Potsdam, Germany; Department of Forestry and Environmental Science, Shahjalal University of Science and Technology, Sylhet, Bangladesh; Faculty of Forestry and Wood Sciences, Czech University of Life Sciences Prague, Prague, Czech Republic; US Fish and Wildlife Service, Albuquerque, NM, United States; Department of Ecology and Biogeography, Faculty of Biological and Veterinary Sciences, Nicolaus Copernicus University, Toruń, Poland; Centre for Climate Change Research, Nicolaus Copernicus University, Toruń, Poland; Water Systems and Global Change Group, Wageningen University and Research, Wageningen, Netherlands; Instituto Nacional de Innovación Agraria, Programa Nacional de Investigación Forestal, Huancayo, Peru; Environmental Systems Analysis Group, Wageningen University and Research, Wageningen, Netherlands; Department of Natural Resource Management, South Dakota State University, Brookings, SD, United States; Laboratory of Plant Anatomy and Dendrochronology, Department of Biology, Universidade Federal de Sergipe, Sergipe, Brazil; Department of Geography, Swansea University, Swansea, United Kingdom; Departamento Forestal, Universidad Autónoma Agraria Antonio Narro, Saltillo, Mexico; CITAB - Department of Forestry Sciences and Landscape (CIFAP), University of Trás-os-Montes and Alto Douro, Vila Real, Portugal; Escuela de Ciencias Biológicas, Universidad Pedagógica y Tecnológica de Colombia (UPTC), Tunja, Colombia; Brazilian Agricultural Research Corporation (Embrapa), Embrapa Amazônia Ocidental, Manaus, Brazil; IHE Delft, Delft, Netherlands; VU University Amsterdam, Amsterdam, Netherlands; Department of Biomaterials Science and Technology, School of Natural Resources, The Copperbelt University, Kitwe, Zambia; Laboratory of Ecology and Dendrology of the Federal Institute of Sergipe, São Cristovão, Brazil; Laboratory of Plant Ecology, Universidade do Vale do Rio dos Sinos (UNISINOS), São Leopoldo, Brazil; BIOAPLIC, Departamento de Botánica, Universidade de Santiago de Compostela, EPSE, Lugo, Spain; Laboratorio de Dendrocronología, Carrera de Ingeniería Forestal, Universidad Nacional de Loja, Loja, Ecuador; Faculty of Environment and Resource studies, Mahidol University, Nakhon Pathom, Thailand; Facultad de Ciencias Agrarias, Universidad del Cauca, Popayán, Colombia; Hémera Centro de Observación de la Tierra, Escuela de Ingeniería Forestal, Facultad de Ciencias, Universidad Mayor, Santiago, Chile; Instituto Nacional de Investigaciones Forestales, Agrícolas y Pecuarias (INIFAP), Centro de Investigación Regional Pacífico Centro - Campo Experimental, Centro Altos de Jalisco, Mexico; National Institute for Amazon Research, Petrópolis, Manaus, Brazil; Department of Earth Sciences, Freie Universität Berlin, Berlin, Germany; Department of Earth and Environmental Systems, Indiana State University, Terre Haute, IN, United States; Department of Geography, University of Alabama, Tuscaloosa, AL, United States; Department of Civil, Environmental and Geodetic Engineering, The Ohio State University, Columbus, OH, United States; Department of Geography, Johannes Gutenberg University, Mainz, Germany; Department of Plant and Environmental Sciences, School of Natural Resources, The Copperbelt University, Kitwe, Zambia; Forest and Nature Management, Van Hall Larenstein University of Applied Sciences, Velp, Netherlands; School of Teacher Training for Secondary Education Tilburg, Fontys University of Applied Sciences, Tilburg, Netherlands</t>
  </si>
  <si>
    <t>Zuidema, P.A., Forest Ecology and Forest Management Group, Wageningen University, Wageningen, Netherlands; Babst, F., School of Natural Resources and the Environment, University of Arizona, Tucson, AZ, United States, Laboratory of Tree-Ring Research, University of Arizona, Tucson, AZ, United States; Groenendijk, P., Department of Plant Biology, Institute of Biology, University of Campinas (UNICAMP), Campinas, Brazil; Trouet, V., Laboratory of Tree-Ring Research, University of Arizona, Tucson, AZ, United States; Abiyu, A., World Agroforestry Centre (ICRAF), Addis Ababa, Ethiopia; Acuña-Soto, R., Department of Microbiology and Parasitology, Universidad Nacional Autónoma de México, Mexico City, Mexico; Adenesky-Filho, E., Laboratory of Protection and Forest Management, Department of Forest Engineering, Universidade Regional de Blumenau, Santa Catarina, Brazil; Alfaro-Sánchez, R., Department of Biology, Wilfrid Laurier University, Waterloo, ON, Canada; Aragão, J.R.V., Department of Plant Biology, Institute of Biology, University of Campinas (UNICAMP), Campinas, Brazil; Assis-Pereira, G., Department of Forest Sciences, Luiz de Queiroz College of Agriculture, University of Sao Paulo, Piracicaba, Brazil, Tree-Ring Laboratory, Forest Science Department, Federal University of Lavras, Lavras, Brazil; Bai, X., CAS Key Laboratory of Tropical Forest Ecology, Xishuangbanna Tropical Botanical Garden, Chinese Academy of Sciences, Mengla, China; Barbosa, A.C., Tree-Ring Laboratory, Forest Science Department, Federal University of Lavras, Lavras, Brazil; Battipaglia, G., Department of Environmental, Biological and Pharmaceutical Sciences and Technologies, University of Campania “L. Vanvitelli”, Caserta, Italy; Beeckman, H., Service of Wood Biology, Royal Museum for Central Africa, Tervuren, Belgium; Botosso, P.C., Brazilian Agricultural Research Corporation (Embrapa), Embrapa Forestry, Colombo, Brazil; Bradley, T., U.S. Department of Agriculture, Forest Service, NWCG Member Agency, Washington, DC, United States; Bräuning, A., Institute of Geography, Friedrich-Alexander-University Erlangen-Nuremberg, Erlangen, Germany; Brienen, R., School of Geography, University of Leeds, Leeds, United Kingdom; Buckley, B.M., Lamont-Doherty Earth Observatory, Columbia University, Palisades, NY, United States; Camarero, J.J., Instituto Pirenaico de Ecología (IPE-CSIC), Zaragoza, Spain; Carvalho, A., Centre for Functional Ecology, Department of Life Sciences, Faculty of Sciences and Technology, University of Coimbra, Coimbra, Portugal; Ceccantini, G., Department of Botany, Institute of Biosciences, University of São Paulo, São Paulo, Brazil; Centeno-Erguera, L.R., Instituto Nacional de Investigaciones Forestales, Agrícolas y Pecuarias (INIFAP), Centro Nacional de Investigación Disciplinaría en Relación Agua-Suelo-Planta-Atmósfera (CENID-RASPA), Gómez Palacio, Mexico; Cerano-Paredes, J., Instituto Nacional de Investigaciones Forestales, Agrícolas y Pecuarias (INIFAP), Centro Nacional de Investigación Disciplinaría en Relación Agua-Suelo-Planta-Atmósfera (CENID-RASPA), Gómez Palacio, Mexico; Chávez-Durán, Á.A., Instituto Nacional de Investigaciones Forestales, Agrícolas y Pecuarias (INIFAP), Campo Experimental Centro - Altos de Jalisco, Tepatitlán de Morelos, Mexico; Cintra, B.B.L., Department of Botany, Institute of Biosciences, University of São Paulo, São Paulo, Brazil; Cleaveland, M.K., Department of Geosciences, University of Arkansas, Fayetteville, AR, United States; Couralet, C., Service of Wood Biology, Royal Museum for Central Africa, Tervuren, Belgium; D’Arrigo, R., Lamont-Doherty Earth Observatory, Columbia University, Palisades, NY, United States; del Valle, J.I., Department of Forest Sciences, Universidad Nacional de Colombia - Sede Medellín, Medellín, Colombia; Dünisch, O., Master School for Carpentry and Cabinetmaking, Ebern, Germany; Enquist, B.J., Department of Ecology and Evolutionary Biology, University of Arizona, Tucson, AZ, United States, Santa Fe Institute, Santa Fe, NM, United States; Esemann-Quadros, K., Department of Biological Sciences, University of Joinville Region ‐ UNIVILLE, Joinville, Brazil, Postgraduate Program in Forestry, Regional University of Blumenau - FURB, Blumenau, Brazil; Eshetu, Z., College of Life Science, Climate Science Center and Department of Earth Science, Addis Ababa University, Addis Ababa, Ethiopia; Fan, Z.-X., CAS Key Laboratory of Tropical Forest Ecology, Xishuangbanna Tropical Botanical Garden, Chinese Academy of Sciences, Mengla, China; Ferrero, M.E., Departamento de Dendrocronología e Historia Ambiental, IANIGLA, CCT-CONICET-Mendoza, Mendoza, Argentina, Laboratorio de Dendrocronología, Universidad Continental, Huancayo, Peru; Fichtler, E., Department of Crop Sciences, Tropical Plant Production and Agricultural Systems Modelling, Göttingen University, Göttingen, Germany; Fontana, C., Department of Forest Sciences, Luiz de Queiroz College of Agriculture, University of Sao Paulo, Piracicaba, Brazil; Francisco, K.S., Institute of Pacific Islands Forestry, USDA Forest Service Pacific Southwest Research Station, Hilo, HI, United States; Gebrekirstos, A., World Agroforestry Centre (ICRAF), Nairobi, Kenya; Gloor, E., School of Geography, University of Leeds, Leeds, United Kingdom; Granato-Souza, D., Department of Geosciences, University of Arkansas, Fayetteville, AR, United States; Haneca, K., Flanders Heritage Agency, Brussels, Belgium; Harley, G.L., Department of Geography and Geological Sciences, University of Idaho, Moscow, ID, United States; Heinrich, I., German Archaeological Institute DAI, Berlin, Germany, Geography Department, Humboldt University Berlin, Berlin, Germany, GFZ German Research Centre for Geosciences, Potsdam, Germany; Helle, G., GFZ German Research Centre for Geosciences, Potsdam, Germany; Inga, J.G., Laboratorio de Dendrocronología, Universidad Continental, Huancayo, Peru; Islam, M., Institute of Geography, Friedrich-Alexander-University Erlangen-Nuremberg, Erlangen, Germany, Department of Forestry and Environmental Science, Shahjalal University of Science and Technology, Sylhet, Bangladesh; Jiang, Y.-M., Faculty of Forestry and Wood Sciences, Czech University of Life Sciences Prague, Prague, Czech Republic; Kaib, M., US Fish and Wildlife Service, Albuquerque, NM, United States; Khamisi, Z.H., Laboratory of Tree-Ring Research, University of Arizona, Tucson, AZ, United States; Koprowski, M., Department of Ecology and Biogeography, Faculty of Biological and Veterinary Sciences, Nicolaus Copernicus University, Toruń, Poland, Centre for Climate Change Research, Nicolaus Copernicus University, Toruń, Poland; Kruijt, B., Water Systems and Global Change Group, Wageningen University and Research, Wageningen, Netherlands; Layme, E., Instituto Nacional de Innovación Agraria, Programa Nacional de Investigación Forestal, Huancayo, Peru; Leemans, R., Environmental Systems Analysis Group, Wageningen University and Research, Wageningen, Netherlands; Leffler, A.J., Department of Natural Resource Management, South Dakota State University, Brookings, SD, United States; Lisi, C.S., Laboratory of Plant Anatomy and Dendrochronology, Department of Biology, Universidade Federal de Sergipe, Sergipe, Brazil; Loader, N.J., Department of Geography, Swansea University, Swansea, United Kingdom; Locosselli, G.M., Department of Botany, Institute of Biosciences, University of São Paulo, São Paulo, Brazil; Lopez, L., Departamento de Dendrocronología e Historia Ambiental, IANIGLA, CCT-CONICET-Mendoza, Mendoza, Argentina; López-Hernández, M.I., Departamento Forestal, Universidad Autónoma Agraria Antonio Narro, Saltillo, Mexico; Lousada, J.L.P.C., CITAB - Department of Forestry Sciences and Landscape (CIFAP), University of Trás-os-Montes and Alto Douro, Vila Real, Portugal; Mendivelso, H.A., Escuela de Ciencias Biológicas, Universidad Pedagógica y Tecnológica de Colombia (UPTC), Tunja, Colombia; Mokria, M., Institute of Geography, Friedrich-Alexander-University Erlangen-Nuremberg, Erlangen, Germany, Institute of Pacific Islands Forestry, USDA Forest Service Pacific Southwest Research Station, Hilo, HI, United States; Montóia, V.R., Brazilian Agricultural Research Corporation (Embrapa), Embrapa Amazônia Ocidental, Manaus, Brazil; Moors, E., IHE Delft, Delft, Netherlands, VU University Amsterdam, Amsterdam, Netherlands; Nabais, C., Centre for Functional Ecology, Department of Life Sciences, Faculty of Sciences and Technology, University of Coimbra, Coimbra, Portugal; Ngoma, J., Department of Biomaterials Science and Technology, School of Natural Resources, The Copperbelt University, Kitwe, Zambia; Nogueira Júnior, F.C., Laboratory of Ecology and Dendrology of the Federal Institute of Sergipe, São Cristovão, Brazil; Oliveira, J.M., Laboratory of Plant Ecology, Universidade do Vale do Rio dos Sinos (UNISINOS), São Leopoldo, Brazil; Olmedo, G.M., Laboratory of Plant Ecology, Universidade do Vale do Rio dos Sinos (UNISINOS), São Leopoldo, Brazil; Pagotto, M.A., Laboratory of Plant Anatomy and Dendrochronology, Department of Biology, Universidade Federal de Sergipe, Sergipe, Brazil; Panthi, S., CAS Key Laboratory of Tropical Forest Ecology, Xishuangbanna Tropical Botanical Garden, Chinese Academy of Sciences, Mengla, China; Pérez-De-Lis, G., BIOAPLIC, Departamento de Botánica, Universidade de Santiago de Compostela, EPSE, Lugo, Spain; Pucha-Cofrep, D., Laboratorio de Dendrocronología, Carrera de Ingeniería Forestal, Universidad Nacional de Loja, Loja, Ecuador; Pumijumnong, N., Faculty of Environment and Resource studies, Mahidol University, Nakhon Pathom, Thailand; Rahman, M., Institute of Geography, Friedrich-Alexander-University Erlangen-Nuremberg, Erlangen, Germany, Department of Forestry and Environmental Science, Shahjalal University of Science and Technology, Sylhet, Bangladesh; Ramirez, J.A., Facultad de Ciencias Agrarias, Universidad del Cauca, Popayán, Colombia; Requena-Rojas, E.J., Laboratorio de Dendrocronología, Universidad Continental, Huancayo, Peru; Ribeiro, A.S., Laboratory of Plant Anatomy and Dendrochronology, Department of Biology, Universidade Federal de Sergipe, Sergipe, Brazil; Robertson, I., Department of Geography, Swansea University, Swansea, United Kingdom; Roig, F.A., Departamento de Dendrocronología e Historia Ambiental, IANIGLA, CCT-CONICET-Mendoza, Mendoza, Argentina, Hémera Centro de Observación de la Tierra, Escuela de Ingeniería Forestal, Facultad de Ciencias, Universidad Mayor, Santiago, Chile; Rubio-Camacho, E.A., Instituto Nacional de Investigaciones Forestales, Agrícolas y Pecuarias (INIFAP), Centro de Investigación Regional Pacífico Centro - Campo Experimental, Centro Altos de Jalisco, Mexico; Sass-Klaassen, U., Forest Ecology and Forest Management Group, Wageningen University, Wageningen, Netherlands; Schöngart, J., National Institute for Amazon Research, Petrópolis, Manaus, Brazil; Sheppard, P.R., Laboratory of Tree-Ring Research, University of Arizona, Tucson, AZ, United States; Slotta, F., Department of Earth Sciences, Freie Universität Berlin, Berlin, Germany; Speer, J.H., Department of Earth and Environmental Systems, Indiana State University, Terre Haute, IN, United States; Therrell, M.D., Department of Geography, University of Alabama, Tuscaloosa, AL, United States; Toirambe, B., Service of Wood Biology, Royal Museum for Central Africa, Tervuren, Belgium; Tomazello-Filho, M., Department of Forest Sciences, Luiz de Queiroz College of Agriculture, University of Sao Paulo, Piracicaba, Brazil; Torbenson, M.C.A., Department of Civil, Environmental and Geodetic Engineering, The Ohio State University, Columbus, OH, United States, Department of Geography, Johannes Gutenberg University, Mainz, Germany; Touchan, R., Laboratory of Tree-Ring Research, University of Arizona, Tucson, AZ, United States; Venegas-González, A., Hémera Centro de Observación de la Tierra, Escuela de Ingeniería Forestal, Facultad de Ciencias, Universidad Mayor, Santiago, Chile; Villalba, R., Departamento de Dendrocronología e Historia Ambiental, IANIGLA, CCT-CONICET-Mendoza, Mendoza, Argentina; Villanueva-Diaz, J., Instituto Nacional de Investigaciones Forestales, Agrícolas y Pecuarias (INIFAP), Centro Nacional de Investigación Disciplinaría en Relación Agua-Suelo-Planta-Atmósfera (CENID-RASPA), Gómez Palacio, Mexico; Vinya, R., Department of Plant and Environmental Sciences, School of Natural Resources, The Copperbelt University, Kitwe, Zambia; Vlam, M., Forest and Nature Management, Van Hall Larenstein University of Applied Sciences, Velp, Netherlands; Wils, T., School of Teacher Training for Secondary Education Tilburg, Fontys University of Applied Sciences, Tilburg, Netherlands; Zhou, Z.-K., CAS Key Laboratory of Tropical Forest Ecology, Xishuangbanna Tropical Botanical Garden, Chinese Academy of Sciences, Mengla, China</t>
  </si>
  <si>
    <t>Interannual variability in the global land carbon sink is strongly related to variations in tropical temperature and rainfall. This association suggests an important role for moisture-driven fluctuations in tropical vegetation productivity, but empirical evidence to quantify the responsible ecological processes is missing. Such evidence can be obtained from tree-ring data that quantify variability in a major vegetation productivity component: woody biomass growth. Here we compile a pantropical tree-ring network to show that annual woody biomass growth increases primarily with dry-season precipitation and decreases with dry-season maximum temperature. The strength of these dry-season climate responses varies among sites, as reflected in four robust and distinct climate response groups of tropical tree growth derived from clustering. Using cluster and regression analyses, we find that dry-season climate responses are amplified in regions that are drier, hotter and more climatically variable. These amplification patterns suggest that projected global warming will probably aggravate drought-induced declines in annual tropical vegetation productivity. Our study reveals a previously underappreciated role of dry-season climate variability in driving the dynamics of tropical vegetation productivity and consequently in influencing the land carbon sink. © 2022, The Author(s), under exclusive licence to Springer Nature Limited.</t>
  </si>
  <si>
    <t>biomass; carbon sink; climate change; global warming; growth rate; vegetation type</t>
  </si>
  <si>
    <t>18/50080-4; 01/2011; FRG 0339638; PIRE 2017/50085-3; GEFNE80-13; 11-CAP2-1730; 2009/53951-7, 2012/50457-4, 2018/01847‐0, 2018/24514-7, 2019/08783-0, 2019/27110-7; National Science Foundation, NSF: AGS-1501321, GER 9553623, IBN-9801287, P2C2; World Bank Group, WBG: 043-2019-FONDECYT-BM-INC; Fundación BBVA, FBBVA: BR/143/A3/HERBAXYLAREDD; Smithsonian Tropical Research Institute, STRI; Sigma Xia; Natural Environment Research Council, NERC: NE/K01353X/1; Deutscher Akademischer Austauschdienst, DAAD; Deutsche Forschungsgemeinschaft, DFG: BR 1895/15-1, BR 1895/23-1, BR 1895/24-1, BR 1895/29-1; International Foundation for Science, IFS: D/5466-1; Coordenação de Aperfeiçoamento de Pessoal de Nível Superior, CAPES: 88881.135931/2016-01, 88887.199858/2018-00, PDSE 15011/13-5; Consejo Nacional de Investigaciones Científicas y Técnicas, CONICET; Agencia Nacional de Promoción Científica y Tecnológica, ANPCyT: PICT 2014-2797; Conselho Nacional de Desenvolvimento Científico e Tecnológico, CNPq: 1009/4785031-2, 311874/2017-7, CONACYT-CB-2016-283134; Universidad Nacional del Litoral, UNL: 21-DI-FARNR-2019; Dirección General de Asuntos del Personal Académico, Universidad Nacional Autónoma de México, DGAPA, UNAM; Consejo Nacional de Ciencia, Tecnología e Innovación Tecnológica, CONCYTEC; Fondo Nacional de Desarrollo Científico, Tecnológico y de Innovación Tecnológica, FONDECYT: INV 039-2019; Inter-American Institute for Global Change Research, IAI: IAI-SGP-CRA 2047; Consortium of International Agricultural Research Centers, CGIAR</t>
  </si>
  <si>
    <t>We acknowledge financial support to the co-authors provided by Agencia Nacional de Promoción Científica y Tecnológica, Argentina (PICT 2014-2797) to M.E.F.; Alberta Mennega Stichting to P.G.; BBVA Foundation to H.A.M. and J.J.C.; Belspo BRAIN project: BR/143/A3/HERBAXYLAREDD to H.B.; Confederação da Agricultura e Pecuária do Brasil - CNA to C.F.; Coordenação de Aperfeiçoamento de Pessoal de Nível Superior - CAPES, Brazil (PDSE 15011/13-5 to M.A.P.; 88881.135931/2016-01 to C.F.; 88887.199858/2018-00 to G.A.-P.; Finance Code 001 for all Brazilian collaborators); Conselho Nacional de Desenvolvimento Científico e Tecnológico - CNPq, Brazil (ENV 42 to O.D.; 1009/4785031-2 to G.C.; 311874/2017-7 to J.S.); CONACYT-CB-2016-283134 to J.V.-D.; CONICET to F.A.R.; CUOMO FOUNDATION (IPCC scholarship) to M.M.; Deutsche Forschungsgemeinschaft - DFG (BR 1895/15-1 to A.B.; BR 1895/23-1 to A.B.; BR 1895/29-1 to A.B.; BR 1895/24-1 to M.M.); DGD-RMCA PilotMAB to B.T.; Dirección General de Asuntos del Personal Académico of the UNAM (Mexico) to R.B.; Elsa-Neumann-Scholarship of the Federal State of Berlin to F.S.; EMBRAPA Brazilian Agricultural Research Corporation to C.F.; Equatorian Dirección de Investigación UNL (21-DI-FARNR-2019) to D.P.-C.; São Paulo Research Foundation FAPESP (2009/53951-7 to M.T.-F.; 2012/50457-4 to G.C.; 2018/01847‐0 to P.G.; 2018/24514-7 to J.R.V.A.; 2019/08783-0 to G.M.L.; 2019/27110-7 to C.F.); FAPESP-NERC 18/50080-4 to G.C.; FAPITEC/SE/FUNTEC no. 01/2011 to M.A.P.; Fulbright Fellowship to B.J.E.; German Academic Exchange Service (DAAD) to M.I. and M.R.; German Ministry of Education, Science, Research, and Technology (FRG 0339638) to O.D.; ICRAF through the Forests, Trees, and Agroforestry research programme of the CGIAR to M.M.; Inter-American Institute for Global Change Research (IAI-SGP-CRA 2047) to J.V.-D.; International Foundation for Science (D/5466-1) to M.I.; Lamont Climate Center to B.M.B.; Miquelfonds to P.G.; National Geographic Global Exploration Fund (GEFNE80-13) to I.R.; USA’s National Science Foundation NSF (IBN-9801287 to A.J.L.; GER 9553623 and a postdoctoral fellowship to B.J.E.); NSF P2C2 (AGS-1501321) to A.C.B., D.G.-S. and G.A.-P.; NSF-FAPESP PIRE 2017/50085-3 to M.T.-F., G.C. and G.M.L.; NUFFIC-NICHE programme (HEART project) to B.K., E.M., J.H.S., J.N. and R. Vinya; Peru ‘s CONCYTEC and World Bank (043-2019-FONDECYT-BM-INC.INV.) to J.G.I.; Peru’s Fondo Nacional de Desarrollo Científico, Tecnológico y de Innovación Tecnológica (FONDECYT-BM-INC.INV 039-2019) to E.J.R.-R. and M.E.F.; Programa Bosques Andinos - HELVETAS Swiss Intercooperation to M.E.F.; Programa Nacional de Becas y Crédito Educativo - PRONABEC to J.G.I.; Schlumberger Foundation Faculty for the Future to J.N.; Sigma Xi to A.J.L.; Smithsonian Tropical Research Institute to R. Alfaro-Sánchez.; Spanish Ministry of Foreign Affairs AECID (11-CAP2-1730) to H.A.M. and J.J.C.; UK NERC grant NE/K01353X/1 to E.G. For logistical and (field) assistance, we thank Bangladesh Forest Department; Ethiopian Orthodox Tewahido Church and Congregants; Evandro Dalmaso (CEMAL logging firm); Instituto Boliviano de Investigación Forestal (IBIF; Bolivia); INPA parket Co.; Instituto Federal de Educação; Ciência e Tecnologia de Sergipe (IFS); Ministry of Minerals, Energy and Water Resources of Botswana; Reserva Natural da Vale (RNV); Sebastian Bernal; the Valere project of University of Campania “L. Vanvitelli”; the villagers of Nizanda in Oaxaca, Mexico. We are grateful for the help and supervision by D. Stahle, D. Eckstein and H. Muller-Landau.</t>
  </si>
  <si>
    <t>Ahlström, A., The dominant role of semi-arid ecosystems in the trend and variability of the land CO2 sink (2015) Science, 348, pp. 895-899; Friedlingstein, P., Global carbon budget 2019 (2019) Earth Syst. Sci. Data, 11, pp. 1783-1838; Poulter, B., Contribution of semi-arid ecosystems to interannual variability of the global carbon cycle (2014) Nature, 509, pp. 600-603; Fan, L., Satellite-observed pantropical carbon dynamics (2019) Nat. Plants, , https://doi.org/10.1038/s41477-019-0478-9; Humphrey, V., Sensitivity of atmospheric CO2 growth rate to observed changes in terrestrial water storage (2018) Nature, 560, pp. 628-631; Jung, M., Compensatory water effects link yearly global land CO2 sink changes to temperature (2017) Nature, 541, pp. 516-520; Wang, J., Zeng, N., Wang, M., Interannual variability of the atmospheric CO2 growth rate: Roles of precipitation and temperature (2016) Biogeosciences, 13, pp. 2339-2352; Wigneron, J.-P., Tropical forests did not recover from the strong 2015–2016 El Niño event (2020) Sci. Adv., 6, p. eaay4603; Keenan, T.F., Williams, C.A., The terrestrial carbon sink (2018) Annu. Rev. Environ. Resour., 43, pp. 219-243; Niu, S., Interannual variability of ecosystem carbon exchange: from observation to prediction (2017) Glob. Ecol. Biogeogr., 26, pp. 1225-1237; Fatichi, S., Pappas, C., Zscheischler, J., Leuzinger, S., Modelling carbon sources and sinks in terrestrial vegetation (2019) N. Phytol., 221, pp. 652-668; Zuidema, P.A., Poulter, B., Frank, D.C., A wood biology agenda to support global vegetation modelling (2018) Trends Plant Sci., 23, pp. 1006-1015; Moore, S., Forest biomass, productivity and carbon cycling along a rainfall gradient in West Africa (2018) Glob. Change Biol., 24, pp. e496-e510; Clark, D.A., Clark, D.B., Oberbauer, S.F., (1997); Phillips, O.L., Drought sensitivity of the Amazon rainforest (2009) Science, 323, pp. 1344-1347; Hubau, W., Asynchronous carbon sink saturation in African and Amazonian tropical forests (2020) Nature, 579, pp. 80-87; Pan, Y., A large and persistent carbon sink in the world’s forests (2011) Science, 333, pp. 988-993; Anderegg, W.R.L., Climate-driven risks to the climate mitigation potential of forests (2020) Science, 368, p. eaaz7005; Guan, K., Photosynthetic seasonality of global tropical forests constrained by hydroclimate (2015) Nat. Geosci., 8, pp. 284-289; Wagner, F.H., Climate seasonality limits leaf carbon assimilation and wood productivity in tropical forests (2016) Biogeosciences, 13, pp. 2537-2562; Zhang, X., Dominant regions and drivers of the variability of the global land carbon sink across timescales (2018) Glob. Change Biol., 24, pp. 3954-3968; Sullivan, M.J.P., Long-term thermal sensitivity of Earth’s tropical forests (2020) Science, 368, pp. 869-874; Hewitson, B., Crane, R.G., Self-organizing maps: applications to synoptic climatology (2002) Clim. Res., 22, pp. 13-26; Babst, F., Twentieth century redistribution in climatic drivers of global tree growth (2019) Sci. Adv., 5, p. eaat4313; Brienen, R.J., Schöngart, J., Zuidema, P.A., (2016) Tropical Tree Physiology, pp. 439-461. , Goldstein, G., Santiago, L. S., Springer; Groenendijk, P., Sass-Klaassen, U., Bongers, F., Zuidema, P.A., Potential of tree-ring analysis in a wet tropical forest: a case study on 22 commercial tree species in Central Africa (2014) For. Ecol. Manage., 323, pp. 65-78; Rifai, S.W., ENSO drives interannual variation of forest woody growth across the tropics (2018) Phil. Trans. R. Soc. B, 373, p. 20170410; López, L., Rodríguez‐Catón, M., Villalba, R., Convergence in growth responses of tropical trees to climate driven by water stress (2019) Ecography, 42, pp. 1899-1912; Doughty, C.E., Drought impact on forest carbon dynamics and fluxes in Amazonia (2015) Nature, 519, pp. 78-82; Clark, D.A., Piper, S.C., Keeling, C.D., Clark, D.B., (1984); Rathgeber, C.B.K., Cuny, H.E., Fonti, P., Biological basis of tree-ring formation: A crash course (2016) Front. Plant Sci., 7, p. 734; Peters, R.L., Turgor—a limiting factor for radial growth in mature conifers along an elevational gradient (2021) N. Phytol., 229, pp. 213-229; Trouet, V., Mukelabai, M., Verheyden, A., Beeckman, H., Cambial growth season of brevi-deciduous Brachystegia spiciformis trees from south central Africa restricted to less than four months (2012) PLoS ONE, 7; Mendivelso, H.A., Camarero, J.J., Gutiérrez, E., Castaño-Naranjo, A., Climatic influences on leaf phenology, xylogenesis and radial stem changes at hourly to monthly scales in two tropical dry forests (2016) Agric. For. Meteorol., 216, pp. 20-36; Girardin, C.A.J., Seasonal trends of Amazonian rainforest phenology, net primary productivity, and carbon allocation (2016) Glob. Biogeochem. Cycles, 30, pp. 700-715; Krepkowski, J., Bräuning, A., Gebrekirstos, A., Strobl, S., Cambial growth dynamics and climatic control of different tree life forms in tropical mountain forest in Ethiopia (2011) Trees, 25, pp. 59-70; Restrepo-Coupe, N., Do dynamic global vegetation models capture the seasonality of carbon fluxes in the Amazon basin? A data–model intercomparison (2017) Glob. Change Biol., 23, pp. 191-208; Barichivich, J., A triple tree-ring constraint for tree growth and physiology in a global land surface model (2021) Biogeosciences, 18, pp. 3781-3803; Nepstad, D.C., The role of deep roots in the hydrological and carbon cycles of Amazonian forests and pastures (1994) Nature, 372, pp. 666-669; Panthi, S., Fan, Z.X., van Der Sleen, P., Zuidema, P.A., Long-term physiological and growth responses of Himalayan fir to environmental change are mediated by mean climate (2020) Glob. Change Biol., 26, pp. 1778-1794; Morales, M.S., Six hundred years of South American tree rings reveal an increase in severe hydroclimatic events since mid-20th century (2020) Proc. Natl Acad. Sci. USA, , https://doi.org/10.1073/pnas.2002411117; Brodribb, T.J., Powers, J., Cochard, H., Choat, B., Hanging by a thread? Forests and drought (2020) Science, 368, pp. 261-266; McDowell, N.G., Pervasive shifts in forest dynamics in a changing world (2020) Science, 368; Locosselli, G.M., Global tree-ring analysis reveals rapid decrease in tropical tree longevity with temperature (2020) Proc. Natl Acad. Sci. USA, , https://doi.org/10.1073/pnas.2003873117; Zhao, S., The International Tree-Ring Data Bank (ITRDB) revisited: data availability and global ecological representativity (2019) J. Biogeogr., 46, pp. 355-368; Babst, F., Poulter, B., Bodesheim, P., Mahecha, M.D., Frank, D.C., Improved tree-ring archives will support Earth-system science (2017) Nat. Ecol. Evol., 1, p. 0008; Fichtler, E., Clark, D.A., Worbes, M., Age and long-term growth of trees in an old-growth tropical rain forest, based on analyses of tree rings and 14C (2003) Biotropica, 35, pp. 306-317; Fritts, H., (2012) Tree Rings and Climate, , Elsevier; Klesse, S., Sampling bias overestimates climate change impacts on forest growth in the southwestern United States (2018) Nat. Commun., 9, p. 5336; Klesse, S., A combined tree ring and vegetation model assessment of European forest growth sensitivity to interannual climate variability (2018) Glob. Biogeochem. Cycles, 32, pp. 1226-1240; Schulman, E., (1956) Dendroclimatic Changes in Semiarid America, , Univ. Arizona Press; Aragão, J.R.V., Groenendijk, P., Lisi, C.S., Dendrochronological potential of four neotropical dry-forest tree species: climate–growth correlations in northeast Brazil (2019) Dendrochronologia, 53, pp. 5-16; R Core Team R: A Language and Environment for Statistical Computing, , R Foundation for Statistical Computing, 2019); Bunn, A.G., A dendrochronology program library in R (dplR) (2008) Dendrochronologia, 26, pp. 115-124; Fick, S.E., Hijmans, R.J., WorldClim 2: new 1-km spatial resolution climate surfaces for global land areas (2017) Int. J. Climatol., 37, pp. 4302-4315; Vicente-Serrano, S.M., Beguería, S., López-Moreno, J.I., A multiscalar drought index sensitive to global warming: the Standardized Precipitation Evapotranspiration Index (2010) J. Clim., 23, pp. 1696-1718; Harris, I., Jones, P.D., Osborn, T.J., Lister, D.H., Updated high-resolution grids of monthly climatic observations—the CRU TS3.10 Dataset (2014) Int. J. Climatol., 34, pp. 623-642; Pau, S., Detto, M., Kim, Y., Still, C.J., Tropical forest temperature thresholds for gross primary productivity (2018) Ecosphere, 9; Mau, A., Reed, S., Wood, T., Cavaleri, M., Temperate and tropical forest canopies are already functioning beyond their thermal thresholds for photosynthesis (2018) Forests, 9, p. 47; Lucy, D., Aykroyd, R.G., Pollard, A.M., Nonparametric calibration for age estimation (2002) J. R. Stat. Soc. C, 51, pp. 183-196; Babst, F., Site- and species-specific responses of forest growth to climate across the European continent (2013) Glob. Ecol. Biogeogr., 22, pp. 706-717; Martin-Benito, D., Pederson, N., Convergence in drought stress, but a divergence of climatic drivers across a latitudinal gradient in a temperate broadleaf forest (2015) J. Biogeogr., 42, pp. 925-937; Wehrens, R., Buydens, L.M., Self- and super-organizing maps in R: The kohonen package J. Stat. Softw, , https://doi.org/10.18637/jss.v021.i05(2007); Canty, A., Ripley, B.D., Boot: Bootstrap R (S-Plus) Functions (2021) R Package, 1, pp. 3-26; Furnival, G.M., Wilson, R.W., Regressions by leaps and bounds (1974) Technometrics, 16, pp. 499-511; Lumley, T., (2019) Leaps: Regression Subset Selection., , R package v.3.1; McLeod, A.I., Xu, C., Lai, Y., Bestglm: Best Subset GLM and Regression Utilities (2020) R Package V.0, 37, p. 3; Groemping, U., Relative importance for linear regression in R: The package relaimpo (2006) J. Stat. Softw., , https://doi.org/10.18637/jss.v017.i01; Demin, G., Jeworutzki, S., Expss: Tables, Labels and Some Useful Functions from Spreadsheets and ‘SPSS’ Statistics (2020) R Package V.0, 10, p. 7; Whittaker, R.H., Primary Productivity of the Biosphere (1975), 14. , Springer‐Verlag; Beck, H.E., Present and future Köppen-Geiger climate classification maps at 1-km resolution (2018) Sci. Data, 5, p. 180214</t>
  </si>
  <si>
    <t>Zuidema, P.A.; Forest Ecology and Forest Management Group, Netherlands; email: Pieter.Zuidema@wur.nl</t>
  </si>
  <si>
    <t>2-s2.0-85127442687</t>
  </si>
  <si>
    <t>Cheng P.-H., Molina J., Lin M.-C., Liu H.-H., Chang C.-Y.</t>
  </si>
  <si>
    <t>56834978500;57222628437;57923558500;56754431900;55729449300;</t>
  </si>
  <si>
    <t>Applied System Innovation</t>
  </si>
  <si>
    <t>https://www.scopus.com/inward/record.uri?eid=2-s2.0-85126089392&amp;doi=10.3390%2fasi5020032&amp;partnerID=40&amp;md5=8097b2ca1526f317867f0da103ef6632</t>
  </si>
  <si>
    <t>Science Education Center, National Taiwan Normal University, Taipei, 116, Taiwan; Department of Science Education, National Taipei University of Education, Taipei, 106, Taiwan; Facultad de Ciencias de la Educación, Universidad Pedagógica y Tecnológica de Colombia, Tunja, 150003, Colombia; Graduate Institute of Science Education, National Taiwan Normal University, Taipei, 116, Taiwan</t>
  </si>
  <si>
    <t>Cheng, P.-H., Science Education Center, National Taiwan Normal University, Taipei, 116, Taiwan, Department of Science Education, National Taipei University of Education, Taipei, 106, Taiwan; Molina, J., Facultad de Ciencias de la Educación, Universidad Pedagógica y Tecnológica de Colombia, Tunja, 150003, Colombia; Lin, M.-C., Graduate Institute of Science Education, National Taiwan Normal University, Taipei, 116, Taiwan; Liu, H.-H., Graduate Institute of Science Education, National Taiwan Normal University, Taipei, 116, Taiwan; Chang, C.-Y., Science Education Center, National Taiwan Normal University, Taipei, 116, Taiwan, Graduate Institute of Science Education, National Taiwan Normal University, Taipei, 116, Taiwan</t>
  </si>
  <si>
    <t>This study investigated the effects of integrating the “CloudClassRoom” (CCR) and the DEmo-CO-design/teach-feedback-DEbriefing (DECODE) model to improve pre-service teachers’ online technological pedagogical and content knowledge (TPACK). The DECODE model includes four stages: Teacher’s DEmonstrations, Students CO-train in using CloudClassRoom, Students CO-design a CloudClassRoom-integrated course, Students CO-teach, and finally DE-brief what they have learned through the stages mentioned above. This model integrates teacher-student experiences, teaching-learning processes, and technology-embedded systems to promote collaborative and active learning, information and resources sharing, and creative communication. A self-evaluating questionnaire with open-ended questions evaluated participants’ technological pedagogical and content knowledge outcomes. CloudClassRoom significantly increases technology-related knowledge considering the current social distancing measures provoked by COVID-19. The findings show that DECODE with CloudClassRoom provides an integrated process for improving pre-service teachers’ technological pedagogical and content knowledge, assisting pre-service teachers in designing educational technology-integrated courses. © 2022 by the authors. Licensee MDPI, Basel, Switzerland.</t>
  </si>
  <si>
    <t>CloudClassRoom; Pre-service teacher education; Science education; TPACK</t>
  </si>
  <si>
    <t>Ministry of Education, MOE; National Science Council, NSC; Ministry of Science and Technology, Taiwan, MOST: 107-2634-F-008-003, 110-2423-H-003-003; National Taiwan Normal University, NTNU</t>
  </si>
  <si>
    <t>Funding: This work was financially supported by the National Science Council of Taiwan under contracts the MOST 107-2634-F-008-003, the MOST 110-2423-H-003-003 and the “Institute for Research Excellence in Learning Sciences” of National Taiwan Normal University (NTNU) from The Featured Areas Research Center Program within the framework of the Higher Education Sprout Project by the Ministry of Education (MOE) in Taiwan.</t>
  </si>
  <si>
    <t>Sánchez Ruiz, L.M., Moll-López, S., Moraño-Fernández, J.A., Llobregat-Gómez, N., B-learning and technology: Enablers for university education resilience. An experience case under COVID-19 in Spain (2021) Sustainability, 13, p. 3532. , [CrossRef]; Md Yunus, M., Ang, W.S., Hashim, H., Factors affecting teaching English as a Second Language (TESL) postgraduate students’ behavioural intention for online learning during the COVID-19 pandemic (2021) Sustainability, 13, p. 3524. , [CrossRef]; Nicolò, G., Aversano, N., Sannino, G., Tartaglia Polcini, P., Investigating web-based sustainability reporting in Italian public universities in the era of COVID-19 (2021) Sustainability, 13, p. 3468. , [CrossRef]; Liu, C., McCabe, M., Dawson, A., Cyrzon, C., Shankar, S., Gerges, N., Kellett-Renzella, S., Cornish, K., Identifying predictors of university students’ wellbeing during the COVID-19 pandemic—A data-driven approach (2021) Int. J. Environ. Res. Public Health, 18, p. 6730. , [CrossRef]; Yang, Z., Liu, Q., Research and development of web-based virtual online classroom (2007) Comput. Educ, 48, pp. 171-184. , [CrossRef]; Bickle, M.C., Rucker, R., Student-to-student interaction: Humanizing the online classroom using technology and group assignments (2018) Q. Rev. Distance Educ, 19 (1–11). , 56; Palvia, S., Aeron, P., Gupta, P., Mahapatra, D., Parida, R., Rosner, R., Sindhi, S., (2018) Online Education: Worldwide Status, Challenges, Trends, and Implications, , Taylor &amp; Francis: Oxfordshire, UK; Zafar, H., Akhtar, S.H., Analyzing the effectiveness of activity based teaching and traditional teaching method through students’ achievement in sub domain knowledge at secondary level (2021) Lang. India, 21, pp. 149-162; Noreen, R., Rana, A.M.K., Activity-based teaching versus traditional method of teaching in mathematics at elementary level (2019) Bull. Educ. Res, 41, pp. 145-159; Hokor, E.K., Sedofia, J., Developing probabilistic reasoning in preservice teachers: Comparing the learner-centered and teacher-centered approaches of teaching (2021) Int. J. Stud. Educ. Sci, 2, pp. 120-145; Houston, L., Efficient strategies for integrating universal design for learning in the online classroom (2018) J. Educ. Online, 15, p. n3. , [CrossRef]; Davis, N.L., Gough, M., Taylor, L.L., Online teaching: Advantages, obstacles and tools for getting it right (2019) J. Teach. Travel Tour, 19, pp. 256-263. , [CrossRef]; Dumford, A.D., Miller, A.L., Online learning in higher education: Exploring advantages and disadvantages for engagement (2018) J. Comput. High. Educ, 30, pp. 452-465. , [CrossRef]; Stöhr, C., Demazière, C., Adawi, T., The polarizing effect of the online flipped classroom (2020) Comput. Educ, 147, p. 103789. , [CrossRef]; Tang, T., Abuhmaid, A.M., Olaimat, M., Oudat, D.M., Aldhaeebi, M., Bamanger, E., Efficiency of flipped classroom with online-based teaching under COVID-19 (2020) Interact. Learn. Environ, 28, pp. 1-2. , [CrossRef]; Muthuprasad, T., Aiswarya, S., Aditya, K., Jha, G.K., Students’ perception and preference for online education in India during COVID-19 pandemic (2021) Soc. Sci. Humanit. Open, 3, p. 100101. , [CrossRef]; Dhawan, S., Online learning: A panacea in the time of COVID-19 crisis (2020) J. Educ. Technol. Syst, 49, pp. 5-22. , [CrossRef]; Steele, J.P., Robertson, S.N., Mandernach, B.J., Beyond Content: The value of instructor-student connections in the online classroom (2018) J. Scholarsh. Teach. Learn, 18, pp. 130-150; Yang, X., Zhang, M., Kong, L., Wang, Q., Hong, J.-C., The effects of scientific self-efficacy and cognitive anxiety on science engagement with the “question-observation-doing-explanation” model during school disruption in COVID-19 pandemic (2021) J. Sci. Educ. Technol, 30, pp. 380-393. , [CrossRef]; Almahasees, Z., Mohsen, K., Amin, M., Faculty’s and students’ perceptions of online learning during COVID-19 (2021) Front. Educ, 6, p. 638470. , [CrossRef]; Singh, V., Thurman, A., How many ways can we define online learning? A systematic literature review of definitions of online learning (1988–2018) (2019) Am. J. Distance Educ, 33, pp. 289-306. , [CrossRef]; Batubara, B.M., The problems of the world of education in the middle of the COVID-19 pandemic (2021) Bp. Int. Res. Crit. Inst. Humanit. Soc. Sci. Humanit. Open, 4, pp. 450-457. , [CrossRef]; Husni Rahiem, M.D., Indonesian university students’ likes and dislikes about emergency remote learning during the COVID-19 pandemic (2021) Asian J. Univ. Educ, 17, pp. 1-18. , [CrossRef]; Moorhouse, B.L., Adaptations to a face-to-face initial teacher education course ‘forced’ online due to the COVID-19 pandemic (2020) J. Educ. Teach, 46, pp. 609-611. , [CrossRef]; Zhu, X., Liu, J., Education in and after COVID-19: Immediate responses and long-term visions (2020) Postdigital Sci. Educ, 2, pp. 695-699. , [CrossRef]; Donnelly, R., Patrinos, H.A., Learning loss during COVID-19: An early systematic review (2021) Prospects, pp. 1-9. , [CrossRef]; Hartshorne, R., Baumgartner, E., Kaplan-Rakowski, R., Mouza, C., Ferdig, R.E., Special issue editorial: Preservice and inservice professional development during the COVID-19 pandemic (2020) J. Technol. Teach. Educ, 28, pp. 137-147; Koehler, M.J., Mishra, P., Yahya, K., Tracing the development of teacher knowledge in a design seminar: Integrating content, pedagogy and technology (2007) Comput. Educ, 49, pp. 740-762. , [CrossRef]; Angeli, C., Valanides, N., Epistemological and methodological issues for the conceptualization, development, and assessment of ICT–TPCK: Advances in technological pedagogical content knowledge (TPCK) (2009) Comput. Educ, 52, pp. 154-168. , [CrossRef]; Eshet, Y., Digital literacy: A conceptual framework for survival skills in the digital era (2004) J. Educ. Multimed. Hypermedia, 13, pp. 93-106; Philipsen, B., Tondeur, J., Pareja Roblin, N., Vanslambrouck, S., Zhu, C., Improving teacher professional development for online and blended learning: A systematic meta-aggregative review (2019) Educ. Technol. Res. Dev, 67, pp. 1145-1174. , [CrossRef]; Díaz-Noguera, M.D., Hervás-Gómez, C., la Calle-Cabrera, D., María, A., López-Meneses, E., Autonomy, motivation, and digital pedagogy are key factors in the perceptions of Spanish higher-education students toward online learning during the COVID-19 pandemic (2022) Int. J. Environ. Res. Public Health, 19, p. 654. , [CrossRef] [PubMed]; Angeli, C., Valanides, N., Technology mapping: An approach for developing technological pedagogical content knowledge (2013) J. Educ. Comput. Res, 48, pp. 199-221. , [CrossRef]; Oyedotun, T.D., Sudden change of pedagogy in education driven by COVID-19: Perspectives and evaluation from a developing country (2020) Res. Glob, 2, p. 100029. , [CrossRef]; Jang, S.-J., Tsai, M.-F., Exploring the TPACK of Taiwanese secondary school science teachers using a new contextualized TPACK model (2013) Australas. J. Educ. Technol, 29, pp. 566-580. , [CrossRef]; Mishra, P., Koehler, M.J., Technological pedagogical content knowledge: A framework for teacher knowledge (2006) Teach. Coll. Rec, 108, pp. 1017-1054. , [CrossRef]; Koehler, M., Mishra, P., What is technological pedagogical content knowledge (TPACK)? (2009) Contemp. Issues Technol. Teach. Educ, 9, pp. 60-70. , [CrossRef]; Hechter, R.P., Phyfe, L.D., Vermette, L.A., Integrating technology in education: Moving the TPCK framework towards practical applications (2012) Educ. Res. Perspect, 39, p. 136; Araújo Filho, R., Gitirana, V., Pre-service teachers’ knowledge: Analysis of teachers’ education situation based on TPACK (2022) Math. Enthus, 19, pp. 594-631. , [CrossRef]; Supriatna, N., Abbas, E.W., Rini, T.P.W., Subiyakto, B., Technological, pedagogical, content knowledge (TPACK): A discursions in learning innovation on social studies (2020) Innov. Soc. Stud. J, 2, pp. 135-142; Gómez-Trigueros, I.M., Yáñez de Aldecoa, C., The digital gender gap in teacher education: The TPACK framework for the 21st century (2021) Eur. J. Investig. Health Psychol. Educ, 11, pp. 1333-1349. , [CrossRef]; Chuang, H.-H., Weng, C.-Y., Huang, F.-C., A structure equation model among factors of teachers’ technology integration practice and their TPCK (2015) Comput. Educ, 86, pp. 182-191. , [CrossRef]; Agyei, D.D., Voogt, J., Developing technological pedagogical content knowledge in pre-service mathematics teachers through collaborative design (2012) Australas. J. Educ. Technol, 28, pp. 547-564. , [CrossRef]; Khan, S., A model for integrating ICT into teacher training programs in Bangladesh based on TPCK (2014) Int. J. Educ. Dev. Using ICT, 10, pp. 21-31; Niess, M.L., Preparing teachers to teach science and mathematics with technology: Developing a technology pedagogical content knowledge (2005) Teach. Teach. Educ, 21, pp. 509-523. , [CrossRef]; Guzey, S.S., Roehrig, G.H., Teaching science with technology: Case studies of science teachers’ development of technological pedagogical content knowledge (TPCK) (2009) Contemp. Issues Technol. Teach. Educ, 9, pp. 25-45; Chang, C.-Y., Chien, Y.-T., Chang, Y.-H., Lin, C.-Y., MAGDAIRE: A model to foster pre-service teachers’ ability in integrating ICT and teaching in Taiwan (2012) Australas. J. Educ. Technol, 28, pp. 983-999. , [CrossRef]; Tondeur, J., Scherer, R., Siddiq, F., Baran, E., A comprehensive investigation of TPACK within pre-service teachers’ ICT profiles: Mind the gap! (2017) Australas. J. Educ. Technol, 33, pp. 46-60. , [CrossRef]; Swallow, M.J., Olofson, M.W., Contextual understandings in the TPACK framework (2017) J. Res. Technol. Educ, 49, pp. 228-244. , [CrossRef]; Srisawasdi, N., The role of TPACK in physics classroom: Case studies of pre-service physics teachers (2012) Procedia-Soc. Behav. Sci, 46, pp. 3235-3243. , [CrossRef]; Angeli, C., Valanides, N., TPCK in pre-service teacher education: Preparing primary education students to teach with technology (2018) Proceedings of the AERA Annual Conference, , New York, NY, USA, 24–28 March; Pamuk, S., Understanding pre-service teachers’ technology use through TPACK framework (2012) J. Comput. Assist. Learn, 28, pp. 425-439. , [CrossRef]; Belda-Medina, J., ICTs and Project-Based Learning (PBL) in EFL: Pre-service teachers’ attitudes and digital skills (2021) Int. J. Appl. Linguist. Engl. Lit, 10, pp. 63-70. , [CrossRef]; Grossman, R., Salas, E., Pavlas, D., Rosen, M.A., Using instructional features to enhance demonstration-based training in management education (2013) Acad. Manag. Learn. Educ, 12, pp. 219-243. , [CrossRef]; Brown, J.S., Collins, A., Duguid, P., Situated cognition and the culture of learning (1989) Educ. Res, 18, pp. 32-42. , [CrossRef]; Rodríguez Moreno, J., Agreda Montoro, M., Ortiz Colón, A.M., Changes in teacher training within the TPACK model framework: A systematic review (2019) Sustainability, 11, p. 1870. , [CrossRef]; Kramarski, B., Michalsky, T., Three metacognitive approaches to training pre-service teachers in different learning phases of technological pedagogical content knowledge (2009) Educ. Res. Eval, 15, pp. 465-485. , [CrossRef]; Koehler, M.J., Mishra, P., What happens when teachers design educational technology? The development of technological pedagogical content knowledge (2005) J. Educ. Comput. Res, 32, pp. 131-152. , [CrossRef]; Zach, S., Co-teaching—An approach for enhancing teaching-learning collaboration in physical education teacher education (PETE) (2020) J. Phys. Educ. Sport, 20, pp. 1402-1407; Chien, Y.-T., Chang, C.-Y., Supporting socio-scientific argumentation in the classroom through automatic group formation based on students’ real-time responses (2015) Science Education in East Asia, pp. 549-563. , Khine, M.S., Ed.; Springer: Cham, Switzerland; Liou, W.-K., Bhagat, K.K., Chang, C.-Y., Beyond the flipped classroom: A highly interactive cloud-classroom (HIC) embedded into basic materials science courses (2016) J. Sci. Educ. Technol, 25, pp. 460-473. , [CrossRef]; Chien, Y.-T., Lee, Y.-H., Li, T.-Y., Chang, C.-Y., Examining the effects of displaying clicker voting results on high school students’ voting behaviors, discussion processes, and learning outcomes (2015) Eurasia J. Math. Sci. Technol. Educ, 11, pp. 1089-1104; Chien, Y.-T., Chang, Y.-H., Chang, C.-Y., Do we click in the right way? A meta-analytic review of clicker-integrated instruction (2016) Educ. Res. Rev, 17, pp. 1-18. , [CrossRef]; Alexander, B., Ashford-Rowe, K., Barajas-Murph, N., Dobbin, G., Knott, J., McCormack, M., Pomerantz, J., Weber, N., (2019) Horizon Report 2019 Higher Education Edition, , EDU19: Boulder, CO, USA; Archambault, L.M., Barnett, J.H., Revisiting technological pedagogical content knowledge: Exploring the TPACK framework (2010) Comput. Educ, 55, pp. 1656-1662. , [CrossRef]; Schmidt, D.A., Baran, E., Thompson, A.D., Mishra, P., Koehler, M.J., Shin, T.S., Technological pedagogical content knowledge (TPACK) the development and validation of an assessment instrument for pre-service teachers (2009) J. Res. Technol. Educ, 42, pp. 123-149. , [CrossRef]; Jeon, E.S., Kim, S.L., Analyses of early childhood teachers’ concept maps on economic education (2019) Int. J. Adv. Cult. Technol, 7, pp. 43-48; Wu, P.-H., Effects of real-time diagnosis on mobile learning and self-regulation mechanism on students’ learning achievement and behavior of using concept mapping (2017) Int. J. Digit. Learn. Technol, 9, pp. 1-27. , [CrossRef]; Wang, Y.H., The effectiveness of integrating teaching strategies into IRS activities to facilitate learning (2017) J. Comput. Assist. Learn, 33, pp. 35-50. , [CrossRef]; Kurt, G., Mishra, P., Kocoglu, Z., Technological pedagogical content knowledge development of Turkish pre-service teachers of English (2013) Proceedings of the Society for Information Technology &amp; Teacher Education International Conference, pp. 5073-5077. , New Orleans, LA, USA, 25 March; Agyei, D.D., Keengwe, J., Using technology pedagogical content knowledge development to enhance learning outcomes (2014) Educ. Inf. Technol, 19, pp. 155-171. , [CrossRef]; Kleickmann, T., Richter, D., Kunter, M., Elsner, J., Besser, M., Krauss, S., Baumert, J., Teachers’ content knowledge and pedagogical content knowledge: The role of structural differences in teacher education (2013) J. Teach. Educ, 64, pp. 90-106. , [CrossRef]; Durdu, L., Dag, F., Pre-service teachers’ TPACK development and conceptions through a TPACK-based course (2017) Aust. J. Teach. Educ, 42, p. 10. , [CrossRef]; Young, J.R., Young, J.L., Hamilton, C., The use of confidence intervals as a meta-analytic lens to summarize the effects of teacher education technology courses on pre-service teacher TPACK (2013) J. Res. Technol. Educ, 46, pp. 149-172. , [CrossRef]; Chien, Y.-T., Chang, C.-Y., Yeh, T.-K., Chang, K.-E., Engaging pre-service science teachers to act as active designers of technology integration: A MAGDAIRE framework (2012) Teach. Teach. Educ, 28, pp. 578-588. , [CrossRef]; Erna, M., Elfizar, E., Dewi, C., The development of E-worksheet using kvisoft flipbook maker software based on lesson study to improve teacher’s critical thinking ability (2021) Int. J. Interact. Mob. Technol, 15, pp. 39-55. , [CrossRef]; Ajzen, I., The theory of planned behavior (1991) Organ. Behav. Hum. Decis. Processes, 50, pp. 179-211. , [CrossRef]; Jang, S.J., (2009) Development of a Research-Based Model for Enhancing PCK of Secondary Science Teachers, , Nova Science Publishers Inc.: New York, NY, USA; Dalgarno, N., Colgan, L., Supporting novice elementary mathematics teachers’ induction in professional communities and providing innovative forms of pedagogical content knowledge development through information and communication technology (2007) Teach. Teach. Educ, 23, pp. 1051-1065. , [CrossRef]</t>
  </si>
  <si>
    <t>Chang, C.-Y.; Science Education Center, Taiwan; email: changcy@ntnu.edu.tw</t>
  </si>
  <si>
    <t>2-s2.0-85126089392</t>
  </si>
  <si>
    <t>Rodríguez-Suesca A.E., Gutiérrez-Junco O.J., Hernández-Montes E.</t>
  </si>
  <si>
    <t>57207998181;57003715800;6507041750;</t>
  </si>
  <si>
    <t>Engineering Structures</t>
  </si>
  <si>
    <t>https://www.scopus.com/inward/record.uri?eid=2-s2.0-85124608711&amp;doi=10.1016%2fj.engstruct.2022.113997&amp;partnerID=40&amp;md5=60ee9e90c789fcb655aa9a72edad3c40</t>
  </si>
  <si>
    <t>School of Civil Engineering, Pedagogical and Technological University of Colombia (UPTC), Central North Avenue, Tunja, 150003, Colombia; Department of Structural Mechanics, University of Granada (UGR), Campus Universitario de Fuentenueva s/n, Granada, 18072, Spain</t>
  </si>
  <si>
    <t>Rodríguez-Suesca, A.E., School of Civil Engineering, Pedagogical and Technological University of Colombia (UPTC), Central North Avenue, Tunja, 150003, Colombia, Department of Structural Mechanics, University of Granada (UGR), Campus Universitario de Fuentenueva s/n, Granada, 18072, Spain; Gutiérrez-Junco, O.J., School of Civil Engineering, Pedagogical and Technological University of Colombia (UPTC), Central North Avenue, Tunja, 150003, Colombia; Hernández-Montes, E., Department of Structural Mechanics, University of Granada (UGR), Campus Universitario de Fuentenueva s/n, Granada, 18072, Spain</t>
  </si>
  <si>
    <t>This paper presents the results of the assessment of the dynamic characteristics and vibration performance of eight deteriorating footbridges. The bridges examined, part of the public infrastructure of the city of Tunja (Colombia), present an evident state of deterioration, showing excessive vibration under service loadings. A consistent evaluation methodology based on vibration tests and numerical analyses was implemented. After completing a deterioration assessment, an experimental modal characterization was carried out, the results of which were used to update numerical structural models. Uniform vibration tests for different pedestrian loading scenarios were conducted. Then, pedestrian crossing simulations for a typical range of walking and running frequencies were performed using a step-by-step load model with a new proposal of normalised single-footstep force functions. Results showed elevated vibrations in most of the footbridges for temporary and exceptional loading conditions, which are unsafe for some of the structures. Discomfort and deterioration were compared using a vibration discomfort index (VDI) and a deterioration index (DI). High vibration discomfort levels were found to be consistent with the degree of deterioration of the structures evaluated. © 2022 Elsevier Ltd</t>
  </si>
  <si>
    <t>Footbridge; Modal identification; Pedestrian loading; Structural deterioration; Vibration assessment; Vibration discomfort; Vibration serviceability</t>
  </si>
  <si>
    <t>Deterioration; Footbridges; Loads (forces); Dynamic vibration; Dynamics characteristic; Modal identification; Pedestrian loading; Performance assessment; Structural deterioration; Vibration assessment; Vibration discomfort; Vibration serviceability; Vibration test; Vibration analysis; bridge; loading; pedestrian; performance assessment; structural analysis; vibration; Boyaca; Colombia; Tunja</t>
  </si>
  <si>
    <t>The present work was financed by the Vicerrectoría de Investigación y Extensión of the Pedagogical and Technological University of Colombia (UPTC) and the UPTC-INVIAS 2013-2017 Extension Group of the School of Civil Engineering of the UPTC. The authors would like to thank the student researchers of the STRESS 2017/18 seedbed of the GICA Research Group of the Faculty of Engineering - UPTC, especially the researcher students Luis Tolosa and Yilber Hernandez for their help during the testing operations, signal processing and modelling. Their support is gratefully acknowledged.</t>
  </si>
  <si>
    <t>The present work was financed by the Vicerrector?a de Investigaci?n y Extensi?n of the Pedagogical and Technological University of Colombia (UPTC) and the UPTC-INVIAS 2013-2017 Extension Group of the School of Civil Engineering of the UPTC. The authors would like to thank the student researchers of the STRESS 2017/18 seedbed of the GICA Research Group of the Faculty of Engineering - UPTC, especially the researcher students Luis Tolosa and Yilber Hernandez for their help during the testing operations, signal processing and modelling. Their support is gratefully acknowledged.</t>
  </si>
  <si>
    <t>Moughty, J.J., Casas, J.R., Assessment of bridge condition and safety based on measured vibration level. TRUSS - Train. Reducing Uncertain. Struct. Saf. D5.2 Final Rep. WP5 - Rail Road Infrastruct (2019) Eur Commission, pp. 25-30; Hu, W.H., Moutinho, C., Caetano, E., Magalhes, F., Cunha, L., Continuous dynamic monitoring of a lively footbridge for serviceability assessment and damage detection (2012) Mech Syst Signal Process, 33, pp. 38-55; Moreu, F., Li, J., Jo, H., Kim, R.E., Scola, S., Spencer, B.F., Reference-free displacements for condition assessment of timber railroad bridges (2016) J Bridg Eng, 21, p. 04015052; Dallard, P., Fitzpatrick, T., Flint, A., Low, A., Smith, R.R., Willford, M., London Millennium Bridge: Pedestrian-Induced Lateral Vibration (2001) J Bridg Eng, 6; Dziuba, P., Grillaud, G., Flamand, O., Sanquier, S., La, T.Y., passerelle Solférino comportement dynamique (dynamic behaviour of the Solférino bridge) (2001) Bull Ouvrages Métalliques, 1, pp. 34-57; (2006), SÉTRA - service d’Études techniques des routes et autoroutes. Assessment of vibrational behaviour of footbridges under pedestrian loading. Paris - France:; (2008), HIVOSS European research project. Human-induced vibration of steel structures: design of footbridges, guideline and background document. Luxembourg:; (2016), American Institute of Steel Construction - AISC. Steel design guide 11: Vibrations of steel-framed structural systems due to human activity; (2004), European Committee for Standardization - CEN. Eurocode 5: Design of timber structures—Part 2: Bridges. EN 1995-2:2004;; (2008), British Standards Institution - BSI. UK National Annex to Eurocode 1: Actions on structures - Part 2: Traffic loads on bridges. BS EN 1991-2:2003;; (2007), International Standards Organization - ISO. ISO 10137: Bases for design of structures - Serviceability of buildings and walkways against vibrations; Van Nimmen, K., Lombaert, G., De Roeck, G., Van den Broeck, P., Vibration serviceability of footbridges: Evaluation of the current codes of practice (2014) Eng Struct, 59, pp. 448-461; Živanović, S., Pavić, A., Ingólfsson, E.T., Modeling Spatially Unrestricted Pedestrian Traffic on Footbridges (2010) J Struct Eng, 136, pp. 1296-1308; Davis, D.B., Finite element modeling for prediction of low frequency floor vibrations due to walking (2008) Doctoral dissertation, Virginia Polytechnic Institute; (2008), SYNPEX European research project. Advanced load models for synchronous pedestrian excitation and optimised design guidelines for steel footbridges; Da Silva, J.G.S., Vellasco, P.D.S., De Andrade, S.A.L., De Lima, L.R.O., Figueiredo, F.P., Vibration analysis of footbridges due to vertical human loads (2007) Comput Struct, 85, pp. 1693-1703; Cacho-Pérez, M., Lorenzana, A., Walking Model to Simulate Interaction Effects between Pedestrians and Lively Structures (2017) J Eng Mech, 143, p. 04017109; Caprani, C.C., Ahmadi, E., Formulation of human–structure interaction system models for vertical vibration (2016) J Sound Vib, 377, pp. 346-367; Toso, M.A., Gomes, H.M., A coupled biodynamic model for crowd-footbridge interaction (2018) Eng Struct, 177, pp. 47-60; Živanović, S., Pavic, A., Reynolds, P., Vibration serviceability of footbridges under human-induced excitation: A literature review 2005; 279. https://doi.org/10.1016/j.jsv.2004.01.019; Younis, A., Avci, O., Hussein, M., Davis, B., Reynolds, P., Dynamic Forces Induced by a Single Pedestrian: A Literature Review (2017) Appl Mech Rev, 69; Li, Q., Fan, J., Nie, J., Li, Q., Chen, Y., Crowd-induced random vibration of footbridge and vibration control using multiple tuned mass dampers (2010) J Sound Vib, 329, pp. 4068-4092; Márquez, L., Análisis de la percepción de seguridad en puentes peatonales: una aproximación mediante modelación híbrida (2015) Rev Ing Univ Medellín, 14, pp. 93-110; (2010), Comisión asesora permanente para el régimen de construcciones sismo resistentes. NSR-10. Reglamento Colombiano Construcción Sismo Resistente. Ley 400 de 1997, Decreto 33 de 1998, decreto 926 de 2010. Asociación Colombiana de Ingeniería Sísmica, AIS;; (2006), INVIAS, Universidad Nacional de Colombia. Manual para la inspección visual de puentes y pontones; (2018), American Association of State Highway and Transportation Officials - AASHTO. The manual for the bridge evaluation. Washington, DC:; (2015), American Association of State Highway and Transportation Officials - AASHTO. Manual for bridge element inspection. Washington, DC:; (1997), American Concrete Institute - ACI. ACI 201.1R - Guide for making a condition survey of concrete in service. vol. 92; (1998), American Concrete Institute - ACI. ACI 224.1R - Causes, evaluation and repair of cracks in concrete structures; (2003), American Concrete Institute - ACI. ACI 437R - Strength evaluation of existing concrete buildings; Brincker, R., Ventura, C.E., (2015), Introduction to Operational Modal Analysis. Chichester, UK: John Wiley &amp; Sons, Ltd https://doi.org/10.1002/9781118535141; (2019), The Mathworks Inc. MATLAB; Brincker, R., Zhang, L., Andersen, P., Modal identification of output-only systems using frequency domain decomposition (2001) Smart Mater Struct, 10, pp. 441-445; Brincker, R., Ventura, C.E., Andersen, P., (2001), 1, pp. 698-703. , Damping estimation by frequency domain decomposition. Proc. 19th Int. Modal Anal. Conf. IMAC 19, Kissimmee, Florida; Brincker, R., Zhang, L., Frequency domain decomposition revisited. IOMAC 2009 - 3rd Int Oper Modal Anal Conf 2009:615–26; Van Overschee, P., De Moor, B., Subspace identification for linear systems (1996) Kluwer Academic Publishers; Brincker, R., Andersen, P., Understanding Stochastic Subspace Identification (2006) Conf Proc Soc Exp Mech Ser; Computers &amp; Structures Inc, CSi Analysis reference manual SAP2000 (2016), California, USA Berkeley; Allemang, R.J., The modal assurance criterion - Twenty years of use and abuse (2003) Sound Vib, 37, pp. 14-21; Mottershead, J., Friswell, M., Finite element model updating in structural dynamics. 1995. 10.1007/978-94-015-8508-8. https://doi.org/DOI; Matsumoto, Y., Shiojiri, H., Nishioka, T., Shiojiri, H., Matsuzaki, K., Dynamic design of footbridges (1978) IABSE Proc, 2, pp. 1-15; Wheeler, J.E., Prediction and control of pedestrian-induced vibration in footbridges (1982) J Struct Div, 108, pp. 2045-2065; Bachmann, H., Ammann, W., Vibrations in structures induced by man and machines (1987) IABSE·AIPC·IYBH; (1997), International Standards Organization - ISO. ISO 2631-1: Mechanical vibration and shock - Evaluation of human exposure to whole-body vibration. Part 1: General requirements; Bachmann, H., Ammann, W.J., Deischl, F., Eisenmann, J., Floegl, I., Hirsch, G.H., Vibration problems in structures (1995) Birkhäuser Basel; Pachi, A., Ji, T., Frequency and velocity of people walking (2005) Struct Eng, 83, pp. 36-40; Riley, P.O., Paolini, G., Della Croce, U., Paylo, K.W., Kerrigan, D.C., A kinematic and kinetic comparison of overground and treadmill walking in healthy subjects (2007) Gait Posture, 26, pp. 17-24; Whittle, M.W., Gait analysis an introduction (2007), Elsevier Fourth Edi; Winter, D.A., (1988) The biomechanics and motor control of human gait, 74. , University of Waterloo Press Waterloo, Ontario, Canada; Nilsson, J., Thorstensson, A., Ground reaction forces at different speeds of human walking and running (1989) Acta Physiol Scand, 136, pp. 217-227; Damavandi, M., Dixon, P.C., Pearsall, D.J., Ground reaction force adaptations during cross-slope walking and running (2012) Hum Mov Sci, 31, pp. 182-189; Keller, T.S., Weisberger, A.M., Ray, J.L., Hasan, S.S., Shiavi, R.G., Spengler, D.M., Relationship between vertical ground reaction force and speed during walking, slow jogging, and running (1996) Clin Biomech, 11, pp. 253-259; Riley, P.O., Dicharry, J., Franz, J., Della, C.U., Wilder, R.P., Kerrigan, D.C., A kinematics and kinetic comparison of overground and treadmill running (2008) Med Sci Sports Exerc, 40, pp. 1093-1100; Munro, F., Miller, D.I., Fuglevand, A.J., Ground reaction forces in running: a reexamination (1987) J Biomech, 20, pp. 147-155; Hamill, J., Bates, B.T., Knutzen, K.M., Sawhill, J.A., Variations in ground reaction force parameters at different running speeds (1983) Hum Mov Sci, 2, pp. 47-56; Cavanagh, P.R., Lafortune, M.A., Ground reaction forces in distance running (1980) J Biomech, 13, pp. 397-406; Bus, S.A., Ground reaction forces and kinematics in distance running in older-aged men (2003) Med Sci Sports Exerc, 35, pp. 1167-1175; Kluitenberg, B., Bredeweg, S.W., Zijlstra, S., Zijlstra, W., Buist, I., Comparison of vertical ground reaction forces during overground and treadmill running. A validation study (2012) BMC Musculoskelet Disord, 13, pp. 1-8; Whittle, M.W., Williams, C.D., Reliability of force platform data in the estimation of insole shock attenuation (1994), pp. 170-171. , Calgary, AB Eighth Bienn. Conf. Can. Soc. Biomech; Simon, S.R., Paul, I.L., Mansour, J., Munro, M., Abernethy, P.J., Radin, E.L., Peak dynamic force in human gait (1981) J Biomech, 14; Whittle, M.W., Generation and attenuation of transient impulsive forces beneath the foot: A review (1999) Gait Posture, 10, pp. 264-275; (1989), Steel Construction Institute. Design guide on the vibration of floors - SCI 076; Varela, W.D., Modelo Teórico-experimental para análise de vibrações induzidas por pessoas caminhando sobre lajes de edifícios (2004) Tese; Willford, M., Field, C., Young, P., (2006), Improved methodologies for the prediction of footfall-induced vibration. AEI 2006 Build Integr Solut - Proc 2006 Archit Eng Natl Conf 200617. https://doi.org/10.1061/40798(190)17; Smith, A.L., Hicks, S.J., Devine, P.J., SCI P354: Design of floors for vibration: a new approach (2007), The Steel Construction Institute Ascot, Berkshire, UK https://doi.org/10.13140/RG.2.2.29342.95048; (1989), International Standards Organization - ISO. ISO 2631-2 (89): Evaluation of human exposure to whole-body vibration — Part 2: Continuous and shock-induced vibration in buildings (1 to 80 Hz)</t>
  </si>
  <si>
    <t>Rodríguez-Suesca, A.E.; Department of Structural Mechanics, Campus Universitario de Fuentenueva s/n, Spain; email: angel.rodriguez@uptc.edu.co</t>
  </si>
  <si>
    <t>ENSTD</t>
  </si>
  <si>
    <t>2-s2.0-85124608711</t>
  </si>
  <si>
    <t>Villa C.C., Valencia G.A., López Córdoba A., Ortega-Toro R., Ahmed S., Gutiérrez T.J.</t>
  </si>
  <si>
    <t>57201862642;55764328500;55915687700;55966323300;57203834250;56414510900;</t>
  </si>
  <si>
    <t>Food Bioscience</t>
  </si>
  <si>
    <t>https://www.scopus.com/inward/record.uri?eid=2-s2.0-85123803347&amp;doi=10.1016%2fj.fbio.2022.101577&amp;partnerID=40&amp;md5=bbcfe1b405fd72e33e87a45e7c29bb79</t>
  </si>
  <si>
    <t>Programa de Química, Facultad de Ciencias Básicas y Tecnologías, Universidad del Quindío, Armenia, Quindío, Colombia; Department of Chemical and Food Engineering, Federal University of Santa Catarina, Florianópolis, SC  88040-900, Brazil; Universidad Pedagógica y Tecnológica de Colombia, Facultad Seccional Duitama, Escuela de Administración de Empresas Agropecuarias, Carrera 18 con Calle 22 Duitama, Boyacá, Colombia; Food Packaging and Shelf Life Researh Group (FP&amp;SL), Facultad de Ingeniería, Universidad de Cartagena, Avenida del Consulado Calle 30 No. 48 152 Cartagena de Indias D.T. y C., Bolívar, Colombia; Department of Chemistry, Government Degree College MendharJammu and Kashmir  185211, India; Higher Education Department, Government of Jammu and Kashmir, Jammu, 180001, India; Grupo de Materiales Compuestos Termoplásticos (CoMP), Instituto de Investigaciones en Ciencia y Tecnología de Materiales (INTEMA), Facultad de Ingeniería, Universidad Nacional de Mar del Plata (UNMdP) y Consejo Nacional de Investigaciones Científicas y Técnicas (CONICET), Colón, B7608FLC, Mar del Plata, 10850, Argentina</t>
  </si>
  <si>
    <t>Villa, C.C., Programa de Química, Facultad de Ciencias Básicas y Tecnologías, Universidad del Quindío, Armenia, Quindío, Colombia; Valencia, G.A., Department of Chemical and Food Engineering, Federal University of Santa Catarina, Florianópolis, SC  88040-900, Brazil; López Córdoba, A., Universidad Pedagógica y Tecnológica de Colombia, Facultad Seccional Duitama, Escuela de Administración de Empresas Agropecuarias, Carrera 18 con Calle 22 Duitama, Boyacá, Colombia; Ortega-Toro, R., Food Packaging and Shelf Life Researh Group (FP&amp;SL), Facultad de Ingeniería, Universidad de Cartagena, Avenida del Consulado Calle 30 No. 48 152 Cartagena de Indias D.T. y C., Bolívar, Colombia; Ahmed, S., Department of Chemistry, Government Degree College MendharJammu and Kashmir  185211, India, Higher Education Department, Government of Jammu and Kashmir, Jammu, 180001, India; Gutiérrez, T.J., Grupo de Materiales Compuestos Termoplásticos (CoMP), Instituto de Investigaciones en Ciencia y Tecnología de Materiales (INTEMA), Facultad de Ingeniería, Universidad Nacional de Mar del Plata (UNMdP) y Consejo Nacional de Investigaciones Científicas y Técnicas (CONICET), Colón, B7608FLC, Mar del Plata, 10850, Argentina</t>
  </si>
  <si>
    <t>Zeolites have been little investigated for food applications, despite their chemical composition is similar to clays and clay minerals, which have been extensively analyzed for various applications, including food. Zeolites can be distinguished from clay materials, since the former have a porous microstructure characterized by intracrystalline cavities and channels, while the latter have a laminar microstructure. The goal of this review paper was to give a comprehensive perspective in terms of the different food applications found so far for zeolites, namely: antimicrobial materials, ethylene scavengers, fillers for food packaging materials, food nanoreactors, food substance sensors, immobilizers and stabilizers of active compounds and enzymes, molecular sieves for the pretreatment of food samples, as well as intelligent food contact materials. The main food applications from zeolites are related to their good properties as adsorbent materials, and these properties can be altered and tuned by ion exchange, surface organo-modification, among others, for a specific designed application. Zeolites for food applications have been investigated primarily as antimicrobial materials, concentrators of target analytes and sensors for food substances. However, the other potential food applications indicated above from zeolites are booming, since they are harmless materials recognized by various organizations. © 2022 Elsevier Ltd</t>
  </si>
  <si>
    <t>Active substance carriers; Adsorbers; Ethylene scavengers; Food nanoreactors; Food substance sensors; Food wastes; Moisture sorbents; Molecular sieves; Porous materials; Solid phase extraction</t>
  </si>
  <si>
    <t>Universidad del Quindío; Universidad Pedagógica y Tecnológica de Colombia, UPTC; Consejo Nacional de Investigaciones Científicas y Técnicas, CONICET; Agencia Nacional de Promoción Científica y Tecnológica, ANPCyT: PICT-2020-SERIEA-03137; Conselho Nacional de Desenvolvimento Científico e Tecnológico, CNPq: 405432/2018-6; Universidad Politécnica de Cartagena, UPCT; Universidad Nacional de Mar del Plata, UNMdP; Universidade Federal de Santa Catarina, UFSC</t>
  </si>
  <si>
    <t>T. J. Gutiérrez would like to thank the Consejo Nacional de Investigaciones Científicas y Técnicas (CONICET) , Universidad Nacional de Mar del Plata (UNMdP) and Agencia Nacional de Promoción Científica y Tecnológica (ANPCyT) (grant PICT-2020-SERIEA-03137 ) for financial support. Dr. Mirian Carmona-Rodríguez for their valuable contribution.</t>
  </si>
  <si>
    <t>A. López Córdoba would like to thank the Universidad Pedagógica y Tecnológica de Colombia (UPTC) for their financial support.</t>
  </si>
  <si>
    <t>C. C. Villa would like to thank Vicerrectoría de Investigaciones, Facultad de Ciencias Básicas y Tecnologías, Facultad de Ciencias Agroindustriales, Programa de Ingenieria de Alimentos and Programa de Química from Universidad del Quindio. G. A. Valencia would like to thank the Federal University of Santa Catarina (UFSC) and National Council for Scientific and Technological Development (CNPq) (grant 405432/2018-6) for financial support. A. López Córdoba would like to thank the Universidad Pedagógica y Tecnológica de Colombia (UPTC) for their financial support. R. Ortega-Toro thanks the University of Cartagena for its support in the time granted to carry out this review work. S. Ahmed is thankful to Government Degree College Mendhar and Higher Education Department, Government of Jammu and Kashmir for providing facilities. T. J. Gutiérrez would like to thank the Consejo Nacional de Investigaciones Científicas y Técnicas (CONICET), Universidad Nacional de Mar del Plata (UNMdP) and Agencia Nacional de Promoción Científica y Tecnológica (ANPCyT) (grant PICT-2020-SERIEA-03137) for financial support. Dr. Mirian Carmona-Rodríguez for their valuable contribution.</t>
  </si>
  <si>
    <t>G. A. Valencia would like to thank the Federal University of Santa Catarina (UFSC) and National Council for Scientific and Technological Development (CNPq) (grant 405432/2018-6 ) for financial support.</t>
  </si>
  <si>
    <t>Adelodun, A.A., Vellingiri, K., Jeon, B.-H., Oh, J.-M., Kumar, S., Kim, K.-H., A test of relative removal properties of various offensive odors by zeolite (2017) Asian Journal of Atmospheric Environment, 11 (1), pp. 15-28; Ali, A., Ahmed, S., Recent advances in edible polymer based hydrogels as a sustainable alternative to conventional polymers (2018) Journal of Agricultural and Food Chemistry, 66 (27), pp. 6940-6967; Alp-Erbay, E., Figueroa-Lopez, K.J., Lagaron, J.M., Çağlak, E., Torres-Giner, S., The impact of electrospun films of poly(ε-caprolactone) filled with nanostructured zeolite and silica microparticles on in vitro histamine formation by Staphylococcus aureus and Salmonella Paratyphi A (2019) Food Packaging and Shelf Life, 22, p. 100414; Álvarez, K., Alvarez, V.A., Gutiérrez, T.J., Biopolymer composite materials with antimicrobial effects applied to the food industry (2018) Functional biopolymers, pp. 57-96. , V.K. Thakur M.K. Thakur Springer International Publishing Cham; Amani, S., Bagheri Garmarudi, A., Rahmani, N., Khanmohammadi, M., The β-cyclodextrin-modified nanosized ZSM-5 zeolite as a carrier for curcumin (2019) RSC Advances, 9 (55), pp. 32348-32356; Angaru, G.K.R., Choi, Y.-L., Lingamdinne, L.P., Choi, J.-S., Kim, D.-S., Koduru, J.R., Facile synthesis of economical feasible fly ash-based zeolite-supported nano zerovalent iron and nickel bimetallic composite for the potential removal of heavy metals from industrial effluents (2021) Chemosphere, 267, p. 128889; Arnnok, P., Patdhanagul, N., Burakham, R., Dispersive solid-phase extraction using polyaniline-modified zeolite NaY as a new sorbent for multiresidue analysis of pesticides in food and environmental samples (2017) Talanta, 164, pp. 651-661; Auerbach, S., Carrado, K., Dutta, P., (2003) Handbook of zeolite science and technology, Handbook of zeolite science and technology, , S.M. Auerbach K.A. Carrado P.K. Dutta CRC Press Boca Raton; Bacakova, L., Vandrovcova, M., Kopova, I., Jirka, I., Applications of zeolites in biotechnology and medicine - a review (2018) Biomaterials Science, 6 (5), pp. 974-989; Baile, P., Medina, J., Vidal, L., Canals, A., Determination of four bisphenols in water and urine samples by magnetic dispersive solid-phase extraction using a modified zeolite/iron oxide composite prior to liquid chromatography diode array detection (2020) Journal of Separation Science, 43 (9-10), pp. 1808-1816; Baile, P., Vidal, L., Canals, A., Magnetic dispersive solid-phase extraction using ZSM-5 zeolite/Fe2O3 composite coupled with screen-printed electrodes based electrochemical detector for determination of cadmium in urine samples (2020) Talanta, 220, p. 121394; Belaabed, R., Elabed, S., Addaou, A., Laajab, A., Rodríguez, M.A., Lahsini, A., Synthesis of LTA zeolite for bacterial adhesion (2016) Boletin de la Sociedad Espanola de Ceramica y Vidrio, 55 (4), pp. 152-158; Belibi, P.C., Daou, T.J., Ndjaka, J.-M.B., Michelin, L., Brendlé, J., Nsom, B., Tensile and water barrier properties of cassava starch composite films reinforced by synthetic zeolite and beidellite (2013) Journal of Food Engineering, 115 (3), pp. 339-346; Bracone, M., Merino, D., González, J., Alvarez, V.A., Gutiérrez, T.J., Nanopackaging from natural fillers and biopolymers for the development of active and intelligent films (2016) Natural polymers: Derivatives, blends and composites, pp. 119-155. , S. Ikram S. Ahmed Nova Science Publishers New York; de Bruijn, J., Gómez, A., Loyola, C., Melín, P., Solar, V., Abreu, N., Use of a copper- and zinc-modified natural zeolite to improve ethylene removal and postharvest quality of tomato fruit (2020) Crystals; Calleja Cortés, A., La importancia de las zeolitas (2009) Cuadernos Del Tomás, 1, pp. 211-227. , https://dialnet.unirioja.es/servlet/articulo?codigo=3760692, Retrieved from; Capello, C., Leandro, G.C., Campos, C.E.M., Hotza, D., Carciofi, B.A.M., Valencia, G.A., Adsorption and desorption of eggplant peel anthocyanins on a synthetic layered silicate (2019) Journal of Food Engineering, 262, pp. 162-169; Capello, C., Trevisol, T.C., Pelicioli, J., Terrazas, M.B., Monteiro, A.R., Valencia, G.A., Preparation and characterization of colorimetric indicator films based on chitosan/polyvinyl alcohol and anthocyanins from agri-food wastes (2021) Journal of Polymers and the Environment; Cardona, L., Mazéas, L., Chapleur, O., Zeolite favours propionate syntrophic degradation during anaerobic digestion of food waste under low ammonia stress (2021) Chemosphere, 262, p. 127932; Casado, J., Castro, G., Rodríguez, I., Ramil, M., Cela, R., Selective extraction of antimycotic drugs from sludge samples using matrix solid-phase dispersion followed by on-line clean-up (2015) Analytical and Bioanalytical Chemistry, 407 (3), pp. 907-917; Chan, M.T., Selvam, A., Wong, J.W.C., Reducing nitrogen loss and salinity during ‘struvite’ food waste composting by zeolite amendment (2016) Bioresource Technology, 200, pp. 838-844; Chen, C., Fu, Z., Zhou, W., Chen, Q., Wang, C., Xu, L., Ionic liquid-immobilized NaY zeolite-based matrix solid phase dispersion for the extraction of active constituents in (2020) Rheum palmatum L. Microchemical Journal, 152, p. 104245; Chen, M., Nong, S., Zhao, Y., Riaz, M.S., Xiao, Y., Molokeev, M.S., Renewable P-type zeolite for superior absorption of heavy metals: Isotherms, kinetics, and mechanism (2020) The Science of the Total Environment, 726, p. 138535; Chen, Z., Xie, G., Pan, Z., Zhou, X., Lai, W., Zheng, L., A novel Pb/PbO2 electrodes prepared by the method of thermal oxidation-electrochemical oxidation: Characteristic and electrocatalytic oxidation performance (2021) Journal of Alloys and Compounds, 851, p. 156834; Foods derived from modern biotechnology Codex Alimentarius commission (2009), Joint FAO/WHO Food Standards Programme Rome, Italy; Coelho Leandro, G., Capello, C., Luiza Koop, B., Garcez, J., Rodrigues Monteiro, A., Valencia, G.A., Adsorption-desorption of anthocyanins from jambolan (Syzygium cumini) fruit in laponite® platelets: Kinetic models, physicochemical characterization, and functional properties of biohybrids (2021) Food Research International, 140, p. 109903; Colella, C., Recent advances in natural zeolite applications based on external surface interaction with cations and molecules (2007) Studies in Surface Science and Catalysis, 170, pp. 2063-2073; Cruciani, G., Zeolites upon heating: Factors governing their thermal stability and structural changes (2006) Journal of Physics and Chemistry of Solids, 67 (9), pp. 1973-1994; Cui, J., Shao, Y., Zhang, H., Zhang, H., Zhu, J., Development of a novel silver ions-nanosilver complementary composite as antimicrobial additive for powder coating (2020) Chemical Engineering Journal, p. 127633; de Araújo, L.O., Anaya, K., Pergher, S.B.C., Synthesis of antimicrobial films based on low-density polyethylene (LDPE) and zeolite a containing silver (2019) Coatings, 9 (12), p. 786; Demirci, S., Ustaoǧlu, Z., Yilmazer, G.A., Sahin, F., Baç, N., Antimicrobial properties of zeolite-X and zeolite-A ion-exchanged with silver, copper, and zinc against a broad range of microorganisms (2014) Applied Biochemistry and Biotechnology, 172 (3), pp. 1652-1662; Djaeni, M., A'yuni, D.Q., Alhanif, M., Hii, C.L., Kumoro, A.C., Air dehumidification with advance adsorptive materials for food drying: A critical assessment for future prospective (2021) Drying Technology, 39 (11), pp. 1648-1666; Djaeni, M., van Straten, G., Bartels, P.V., Sanders, J.P.M., van Boxtel, A.J.B., Energy efficiency of multi-stage adsorption drying for low-temperature drying (2009) Drying Technology, 27 (4), pp. 555-564; do Nascimento Sousa, Santiago, R.G., Maia, D.A.S., de Oliveira Silva, E., Vieira, R.S., Bastos-Neto, M., Ethylene adsorption on chitosan/zeolite composite films for packaging applications (2020) Food Packaging and Shelf Life, 26, p. 100584; Dogan, H., Koral, M., İnan, T.Y., Ag/Zn zeolite containing antibacterial coating for food-packaging substrates (2009) Journal of Plastic Film and Sheeting, 25 (3-4), pp. 207-220; Dutta, P., Wang, B., Zeolite-supported silver as antimicrobial agents (2019) Coordination Chemistry Reviews, 383, pp. 1-29; Eroglu, N., Emekci, M., Athanassiou, C.G., Applications of natural zeolites on agriculture and food production (2017) Journal of the Science of Food and Agriculture, 97 (11), pp. 3487-3499; EFSA) panel on food contact materials, enzymes, flavourings and processing aids (CEF) Scientific opinion on the safety evaluation of the substance, silver zeolite A (silver zinc sodium ammonium alumino silicate), silver content 2 – 5 %, for use in food contact materials (2011) EFSA Journal, 9 (2). , 1999; Fang, L., Tian, M., Row, K.H., Yan, X., Xiao, W., Isolation of aristolochic acid I from herbal plant using molecular imprinted polymer composited ionic liquid-based zeolitic imidazolate framework-67 (2019) Journal of Separation Science, 42 (19), pp. 3047-3053; Folnožić, I., Samardžija, M., Đuričić, D., Vince, S., Perkov, S., Jelušić, S., Effects of in-feed clinoptilolite treatment on serum metabolic and antioxidative biomarkers and acute phase response in dairy cows during pregnancy and early lactation (2019) Research in Veterinary Science, 127, pp. 57-64; Foltynowicz, Z., Bardenshtein, A., Sängerlaub, S., Antvorskov, H., Kozak, W., Nanoscale, zero valent iron particles for application as oxygen scavenger in food packaging (2017) Food Packaging and Shelf Life, 11, pp. 74-83; Fuss, V.L., Bruj, G., Dordai, L., Roman, M., Cadar, O., Becze, A., Evaluation of the impact of different natural zeolite treatments on the capacity of eliminating/reducing odors and toxic compounds (2021), Materials; Fu, Y., Zhao, C., Lu, X., Xu, G., Nontargeted screening of chemical contaminants and illegal additives in food based on liquid chromatography-high resolution mass spectrometry (2017) Trends in Analytical Chemistry, 96, pp. 89-98; Gao, S., Wu, Y., Xie, S., Shao, Z., Bao, X., Yan, Y., Determination of aflatoxins in milk sample with ionic liquid modified magnetic zeolitic imidazolate frameworks (2019) Journal of Chromatography B: Analytical Technologies in the Biomedical and Life Sciences, 1128, p. 121778; Ghaani, M., Cozzolino, C.A., Castelli, G., Farris, S., An overview of the intelligent packaging technologies in the food sector (2016) Trends in Food Science &amp; Technology, 51, pp. 1-11; Ghani, M., In-situ growth of zinc-aluminum-layered double hydroxide on nanoporous anodized aluminum bar for stir-bar sorptive extraction of phenolic acids (2019) Microchemical Journal, 147, pp. 1173-1179; Ghani, M., Ghoreishi, S.M., Azamati, M., In-situ growth of zeolitic imidazole framework-67 on nanoporous anodized aluminum bar as stir-bar sorptive extraction sorbent for determining caffeine (2018) Journal of Chromatography A, 1577, pp. 15-23; Ghani, M., Masoum, S., Ghoreishi, S.M., Cerdà, V., Maya, F., Nanoparticle-templated hierarchically porous polymer/zeolitic imidazolate framework as a solid-phase microextraction coatings (2018) Journal of Chromatography A, 1567, pp. 55-63; Ghasemi, Z., Sourinejad, I., Kazemian, H., Rohani, S., Application of zeolites in aquaculture industry: A review (2018) Reviews in Aquaculture, 10 (1), pp. 75-95; Guerra, R., Lima, E., Viniegra, M., Guzmán, A., Lara, V., Growth of Escherichia coli and Salmonella typhi inhibited by fractal silver nanoparticles supported on zeolites (2012) Microporous and Mesoporous Materials, 147 (1), pp. 267-273; Gugushe, A.S., Mpupa, A., Nomngongo, P.N., Ultrasound-assisted magnetic solid phase extraction of lead and thallium in complex environmental samples using magnetic multi-walled carbon nanotubes/zeolite nanocomposite (2019) Microchemical Journal, 149, p. 103960; Gutiérrez, T.J., State-of-the-art chocolate manufacture: A review (2017) Comprehensive Reviews in Food Science and Food Safety, 16 (6), pp. 1313-1344; Gutiérrez, T.J., Active and intelligent films made from starchy sources/blackberry pulp (2018) Journal of Polymers and the Environment, 26 (6), pp. 2374-2391; Gutiérrez, T.J., Advanced materials made from reactive and functional polymers: Editor's insights (2020) Reactive and functional polymers volume three, pp. 1-4. , T.J. Gutiérrez Springer International Publishing Cham; Gutiérrez, T.J., González Seligra, P., Medina Jaramillo, C., Famá, L., Goyanes, S., Effect of filler properties on the antioxidant response of thermoplastic starch composites (2017) Handbook of composites from renewable materials, structure and chemistry, 1, pp. 337-370. , V.K. Thakur M.K. Thakur M.R. Kessler John Wiley &amp; Sons; Gutiérrez, T.J., Mendieta, J.R., Ortega-Toro, R., In-depth study from gluten/PCL-based food packaging films obtained under reactive extrusion conditions using chrome octanoate as a potential food grade catalyst (2021) Food Hydrocolloids, 111, p. 106255; Gutiérrez, T.J., Valencia, G.A., Reactive extrusion-processed native and phosphated starch-based food packaging films governed by the hierarchical structure (2021) International Journal of Biological Macromolecules, 172, pp. 439-451; Hajializadeh, A., Ansari, M., Foroughi, M.M., Kazemipour, M., Ultrasonic assisted synthesis of a novel ternary nanocomposite based on carbon nanotubes/zeolitic imidazolate framework-67/polyaniline for solid-phase microextraction of organic pollutants (2020) Microchemical Journal, 157, p. 105008; Hanula, M., Pogorzelska-Nowicka, E., Pogorzelski, G., Szpicer, A., Wojtasik-Kalinowska, I., Wierzbicka, A., Active packaging of button mushrooms with zeolite and açai extract as an innovative method of extending its shelf life (2021), Agriculture; Hashemi, B., Zohrabi, P., Raza, N., Kim, K.H., Metal-organic frameworks as advanced sorbents for the extraction and determination of pollutants from environmental, biological, and food media (2017) TRAC Trends in Analytical Chemistry, 97, pp. 65-82; Hassanzadeh, A.M., Khiabani, M.S., Sadrnia, M., Divband, B., Rahmanpour, O., Jabbar, V., Immobilization and microencapsulation of Lactobacillus caseii and Lactobacillus plantarum using zeolite base and evaluating their viability in gastroesophageal-intestine simulated condition (2017) Ars Pharmaceutica, 58 (4), pp. 163-170; He, X.-Q., Cui, Y.-Y., Yang, C.-X., Engineering of amino microporous organic network on zeolitic imidazolate framework-67 derived nitrogen-doped carbon for efficient magnetic extraction of plant growth regulators (2021) Talanta, 224, p. 121876; Hird, S.J., Lau, B.P.-Y., Schuhmacher, R., Krska, R., Liquid chromatography-mass spectrometry for the determination of chemical contaminants in food (2014) Trends in Analytical Chemistry, 59, pp. 59-72; Hrenovic, J., Milenkovic, J., Ivankovic, T., Rajic, N., Antibacterial activity of heavy metal-loaded natural zeolite (2012) Journal of Hazardous Materials, pp. 260-264. , 201–202; Huang, X., Liu, Y., Liu, H., Liu, G., Xu, X., Li, L., Magnetic solid-phase extraction of pyrethroid insecticides from tea infusions using ionic liquid-modified magnetic zeolitic imidazolate framework-8 as an adsorbent (2019) RSC Advances, 9 (67), pp. 39272-39281; Huang, X., Liu, G., Xu, D., Xu, X., Li, L., Zheng, S., Novel zeolitic imidazolate frameworks based on magnetic multiwalled carbon nanotubes for magnetic solid-phase extraction of organochlorine pesticides from agricultural irrigation water samples (2018) Applied Sciences, 8 (6), p. 959; Huang, J., Ou, C., Lv, F., Cao, Y., Tang, H., Zhou, Y., Determination of aliphatic amines in food by on-fiber derivatization solid-phase microextraction with a novel zeolitic imidazolate framework 8-coated stainless steel fiber (2017) Talanta, 165, pp. 326-331; Huang, C., Qiao, X., Sun, W., Chen, H., Chen, X., Zhang, L., Effective extraction of domoic acid from seafood based on postsynthetic-modified magnetic zeolite imidazolate framework-8 particles (2019) Analytical Chemistry, 91 (3), pp. 2418-2424; Hubner, P., Donati, N., Quines, L.K.D.M., Tessaro, I.C., Marcilio, N.R., Gelatin-based films containing clinoptilolite-Ag for application as wound dressing (2020) Materials Science and Engineering: C, 107, p. 110215; Huwei, S., Asghari, M., Zahedipour-Sheshglani, P., Alizadeh, M., Modeling and optimizing the changes in physical and biochemical properties of table grapes in response to natural zeolite treatment (2021) Lebensmittel-Wissenschaft &amp; Technologie, 141, p. 110854; Zeolites other than erionite (1997) IARC Monographs on the Evaluation of Carcinogenic Risks to Humans, 68, pp. 307-333; Islas, G., Ibarra, I.S., Hernandez, P., Miranda, J.M., Cepeda, A., Dispersive solid phase extraction for the analysis of veterinary drugs applied to food samples: A review (2017) International Journal of Analytical Chemistry, p. 8215271. , 2017; Jafari, Z., Hadjmohammadi, M.R., In situ growth of zeolitic imidazolate framework-8 on a GO-PVDF membrane as a sorbent for thin-film microextraction of caffeine followed by quantitation through high-performance liquid chromatography (2020) Analytical Methods, 12 (13), pp. 1736-1743; Jafari, Z., Hadjmohammadi, M.R., In situ growth of zeolitic imidazolate framework-8 on woven cotton yarn for the thin film microextraction of quercetin in human plasma and food samples (2020) Analytica Chimica Acta, 1131, pp. 45-55; Janićijević, D., Uskoković-Marković, S., Ranković, D., Milenković, M., Jevremović, A., Vasiljević, B.N., Double active BEA zeolite/silver tungstophosphates – antimicrobial effects and pesticide removal (2020) The Science of the Total Environment, 735, p. 139530; Karami-Osboo, R., Maham, M., Nasrollahzadeh, M., Rapid and sensitive extraction of aflatoxins by Fe3O4/zeolite nanocomposite adsorbent in rice samples (2020) Microchemical Journal, 158, p. 105206; Khoobi, A., Salavati-Niasari, M., Ghani, M., Ghoreishi, S.M., Gholami, A., Multivariate optimization methods for in-situ growth of LDH/ZIF-8 nanocrystals on anodized aluminium substrate as a nanosorbent for stir bar sorptive extraction in biological and food samples (2019) Food Chemistry, 288, pp. 39-46; Knolhoff, A.M., Croley, T.R., Non-targeted screening approaches for contaminants and adulterants in food using liquid chromatography hyphenated to high resolution mass spectrometry (2016) Journal of Chromatography A, 1428, pp. 86-96; Komaty, S., Özçelik, H., Zaarour, M., Ferre, A., Valable, S., Mintova, S., Ruthenium tris(2,2′-bipyridyl) complex encapsulated in nanosized faujasite zeolite as intracellular localization tracer (2021) Journal of Colloid and Interface Science, 581, pp. 919-927; Kong, J., Zhu, F., Huang, W., He, H., Hu, J., Sun, C., Sol–gel based metal-organic framework zeolite imidazolate framework-8 fibers for solid-phase microextraction of nitro polycyclic aromatic hydrocarbons and polycyclic aromatic hydrocarbons in water samples (2019) Journal of Chromatography A, 1603, pp. 92-101; Kopp, B., Le, L., Audebert, M., Differential toxic effects of food contaminant mixtures in HepaRG cells after single or repeated treatments (2020) Mutation Research: Genetic Toxicology and Environmental Mutagenesis, 850-851, p. 503161; Kraljević Pavelić, S., Simović Medica, J., Gumbarević, D., Filošević, A., Pržulj, N., Pavelić, K., Critical review on zeolite clinoptilolite safety and medical applications in vivo (2018) Frontiers in Pharmacology, 9, p. 1350; Kumar, P.V.S., Jagadeesh, S.L., Netravati Jhalegar, M.D.J., Terdal, D., D, L.R., Padasetty, B., Effect of chlorine and silver grafted zeolite-LDPE composite bags packaging on the postharvest quality of sapota (Manilkara Achras) (2020) International Journal of Fruit Science, 20 (4), pp. 922-938; Lan, H., Rönkkö, T., Parshintsev, J., Hartonen, K., Gan, N., Sakeye, M., Modified zeolitic imidazolate framework-8 as solid-phase microextraction Arrow coating for sampling of amines in wastewater and food samples followed by gas chromatography-mass spectrometry (2017) Journal of Chromatography A, 1486, pp. 76-85; Li, S., Ding, J., Mu, B., Wang, X., Kang, Y., Wang, A., Acid/base reversible allochroic anthocyanin/palygorskite hybrid pigments: Preparation, stability and potential applications (2019) Dyes and Pigments, 171, p. 107738; Li, Z., Huang, J., Ye, L., Lv, Y., Zhou, Z., Shen, Y., Encapsulation of highly volatile fragrances in Y Zeolites for sustained release: Experimental and theoretical studies (2020) ACS Omega, 5 (49), pp. 31925-31935; Li, Y., Li, L., Yu, J., Applications of zeolites in sustainable chemistry (2017) Inside Cosmetics, 3 (6), pp. 928-949; Lima, C.D., Couto, R.A.S., Arantes, L.C., Marinho, P.A., Pimentel, D.M., Quinaz, M.B., Electrochemical detection of the synthetic cathinone electrodes: A fast, simple and sensitive screening method for forensic samples (2020) Electrochimica Acta, 354, p. 136728; Li, Y., McCarthy, D.T., Deletic, A., Escherichia coli removal in copper-zeolite-integrated stormwater biofilters: Effect of vegetation, operational time, intermittent drying weather (2016) Ecological Engineering, 90, pp. 234-243; Li, S., Mu, B., Wang, X., Kang, Y., Wang, A., A comparative study on color stability of anthocyanin hybrid pigments derived from 1D and 2D clay minerals (2019) Materials, 12 (20), pp. 1-14; Liu, H., Jiang, L., Lu, M., Liu, G., Li, T., Xu, X., Magnetic solid-phase extraction of pyrethroid pesticides from environmental water samples using deep eutectic solvent-type surfactant modified magnetic zeolitic imidazolate framework-8 (2019) Molecules, 24 (22), p. 4038; Liu, J., Qiu, H., Zhang, F., Li, Y., Zeolitic imidazolate framework-8 coated Fe3O4@SiO2 composites for magnetic solid-phase extraction of bisphenols (2020) New Journal of Chemistry, 44 (14), pp. 5324-5332; Llorens, A., Lloret, E., Picouet, P.A., Trbojevich, R., Fernandez, A., Metallic-based micro and nanocomposites in food contact materials and active food packaging (2012) Trends in Food Science &amp; Technology, 24 (1), pp. 19-29; Loew, N., Ofuji, T., Shitanda, I., Hoshi, Y., Kitazumi, Y., Kano, K., Cyclic voltammetry and electrochemical impedance simulations of the mediator-type enzyme electrode reaction using finite element method (2021) Electrochimica Acta, 367, p. 137483; Lopes, M.M., Coutinho, T.C., Malafatti, J.O.D., Paris, E.C., de Sousa, C.P., Farinas, C.S., Immobilization of phytase on zeolite modified with iron(II) for use in the animal feed and food industry sectors (2021) Process Biochemistry, 100, pp. 260-271; Lyubenova Yaneva, Z., Valkanova Georgieva, N., Lyubomirova Bekirska, L., Lavrova, S., Drug mass transfer mechanism, thermodynamics, and in vitro release kinetics of antioxidant-encapsulated zeolite microparticles as a drug carrier system (2018) Chemical and Biochemical Engineering Quarterly, 32 (3), pp. 281-298; Magri, A., Petriccione, M., Gutiérrez, T.J., Metal-organic frameworks for food applications: A review (2021) Food Chemistry, 354, p. 129533; Mansourbahmani, S., Ghareyazie, B., Zarinnia, V., Kalatejari, S., Mohammadi, R.S., Study on the efficiency of ethylene scavengers on the maintenance of postharvest quality of tomato fruit (2018) Journal of Food Measurement and Characterization, 12 (2), pp. 691-701; Marzano-Barreda, L.A., Yamashita, F., Bilck, A.P., Effect of biodegradable active packaging with zeolites on fresh broccoli florets (2021) Journal of Food Science &amp; Technology, 58, pp. 197-204; Maximiano, E.M., de Lima, F., Cardoso, C.A.L., Arruda, G.J., Incorporation of thermally activated zeolite into carbon paste electrodes for voltammetric detection of carbendazim traces in milk samples (2016) Journal of Applied Electrochemistry, 46, pp. 713-723; Maximiano, E.M., de Lima, F., Cardoso, C.A.L., Arruda, G.J., Modification of carbon paste electrodes with recrystallized zeolite for simultaneous quantification of thiram and carbendazim in food samples and an agricultural formulation (2018) Electrochimica Acta, 259, pp. 66-76; Merz, B., Capello, C., Leandro, G.C., Moritz, D.E., Monteiro, A.R., Valencia, G.A., A novel colorimetric indicator film based on chitosan, polyvinyl alcohol and anthocyanins from jambolan (Syzygium cumini) fruit for monitoring shrimp freshness (2020) International Journal of Biological Macromolecules, 153, pp. 625-632; Mirzajani, R., Kardani, F., Ramezani, Z., A nanocomposite consisting of graphene oxide, zeolite imidazolate framework 8, and a molecularly imprinted polymer for (multiple) fiber solid phase microextraction of sterol and steroid hormones prior to their quantitation by HPLC (2019) Microchimica Acta, 186 (3), p. 129; Moretti, A.F., Gamba, R.R., Puppo, J., Malo, N., Gómez-Zavaglia, A., Peláez, Á.L., Incorporation of Lactobacillus plantarum and zeolites in poultry feed can reduce aflatoxin B1 levels (2018) Journal of Food Science &amp; Technology, 55 (1), pp. 431-436; Nakhli, S.A.A., Delkash, M., Bakhshayesh, B.E., Kazemian, H., Application of zeolites for sustainable agriculture: A review on water and nutrient retention (2017) Water, Air, &amp; Soil Pollution, 228 (12), pp. 1-34; Noviello, M., Gattullo, C.E., Allegretta, I., Terzano, R., Gambacorta, G., Paradiso, V.M., Synthetic zeolite materials from recycled glass and aluminium food packaging as potential oenological adjuvant (2020) Food Packaging and Shelf Life, 26, p. 100572; Nyaba, L., Nomngongo, P.N., Determination of trace metals in vegetables and water samples using dispersive ultrasound-assisted cloud point-dispersive μ-solid phase extraction coupled with inductively coupled plasma optical emission spectrometry (2020) Food Chemistry, 322, p. 126749; Ogawa, M., Takee, R., Okabe, Y., Seki, Y., Bio-geo hybrid pigment; clay-anthocyanin complex which changes color depending on the atmosphere (2017) Dyes and Pigments, 139, pp. 561-565; Papaioannou, D., Katsoulos, P.D., Panousis, N., Karatzias, H., The role of natural and synthetic zeolites as feed additives on the prevention and/or the treatment of certain farm animal diseases: A review (2005) Microporous and Mesoporous Materials: The Official Journal of the International Zeolite Association, 84 (1), pp. 161-170; Pond, W.G., Yen, J.T., Protection by clinoptilolite or zeolite NaA against cadmium-induced anemia in growing swine (1983) Experimental Biology and Medicine, 173 (3), pp. 332-337; Pond, W.G., Yen, J.T., Reproduction and progeny growth in rats fed clinoptilolite in the presence or absence of dietary cadmium (1983) Bulletin of Environmental Contamination and Toxicology, 31 (6), pp. 666-672; Prabhu, R., Devaraju, A., Developing an antimicrobial packaging to improve the shelf life of meat using silver zeolite coating on BOPP film (2018) Materials Today Proceedings, 5 (6), pp. 14553-14559; Prasai, T.P., Walsh, K.B., Bhattarai, S.P., Midmore, D.J., Van, T.T.H., Moore, R.J., Zeolite food supplementation reduces abundance of enterobacteria (2017) Microbiological Research, 195, pp. 24-30; Pukcothanung, Y., Siritanon, T., Rangsriwatananon, K., The efficiency of zeolite Y and surfactant-modified zeolite Y for removal of 2 dichlorophenoxyacetic acid and 1,1′-dimethyl-4 (2018) 4′- bipyridinium ion, 258 (4-), pp. 131-140; Putri, V.J., Warsiki, E., Syamsu, K., Iskandar, A., Application nano zeolite-molybdate for avocado ripeness indicator (2019) IOP Conference Series: Earth and Environmental Science, 347 (1), p. 12063; Qi, Y., Wan, M., El-Aty, A.M.A., Li, H., Cao, L., She, Y., A “half” core-shell magnetic nanohybrid composed of zeolitic imidazolate framework and graphitic carbon nitride for magnetic solid-phase extraction of sulfonylurea herbicides from water samples followed by LC-MS/MS detection (2020) Microchimica Acta, 187 (5), p. 279; Radoor, S., Karayil, J., Jayakumar, A., Parameswaranpillai, J., Siengchin, S., Efficient removal of methyl orange from aqueous solution using mesoporous ZSM-5 zeolite: Synthesis, kinetics and isotherm studies (2021) Colloids and Surfaces A: Physicochemical and Engineering Aspects, 611, p. 125852; Rahimi, M., Mobedi, H., Behnamghader, A., Nateghi Baygi, A., Mivehchi, H., Biaza, E., Fat-soluble vitamins release based on clinoptilolite seolite as an oral drug delivery system (2012) Letters in Drug Design and Discovery, 9 (2), pp. 213-217; Ramesh, K., Reddy, D.D., Zeolites and their potential uses in agriculture (2011) Advances in agronomy, 113, pp. 219-241. , D L B T-A A. Sparks Academic Press; Rešček, A., Katančić, Z., Kratofil Krehula, L., Ščetar, M., Hrnjak-Murgić, Z., Galić, K., Development of double-layered PE/PCL films for food packaging modified with zeolite and magnetite nanoparticles (2018) Advances in Polymer Technology, 37 (3), pp. 837-842; Rocío-Bautista, P., Termopoli, V., Metal-organic frameworks in solid-phase extraction procedures for environmental and food analyses (2019) Chromatographia, 82, pp. 1191-1205; Sánchez, M.J., Mauricio, J.E., Paredes, A.R., Gamero, P., Cortés, D., Antimicrobial properties of ZSM-5 type zeolite functionalized with silver (2017) Materials Letters, 191, pp. 65-68; Senosy, I.A., Guo, H.-M., Ouyang, M.-N., Lu, Z.-H., Yang, Z.-H., Li, J.-H., Magnetic solid-phase extraction based on nano-zeolite imidazolate framework-8-functionalized magnetic graphene oxide for the quantification of residual fungicides in water, honey and fruit juices (2020) Food Chemistry, 325, p. 126944; Servatan, M., Zarrintaj, P., Mahmodi, G., Kim, S.-J., Ganjali, M.R., Saeb, M.R., Zeolites in drug delivery: Progress, challenges and opportunities (2020) Drug Discovery Today, 25 (4), pp. 642-656; Shen, C., Wu, T., Zang, X., Hollow fiber stir bar sorptive extraction combined with GC–MS for the determination of phthalate esters from children's food (2019) Chromatographia, 82 (3), pp. 683-693; Silva, G.T.M., Silva, K.M., Silva, C.P., Gonçalves, J.M., Quina, F.H., Hybrid pigments from anthocyanin analogues and synthetic clay minerals (2020) ACS Omega, 5 (41), pp. 26592-26600; Singh, T., Shukla, S., Kumar, P., Wahla, V., Bajpai, V.K., Rather, I.A., Application of nanotechnology in food science: Perception and overview (2017) Frontiers in Microbiology, 8, p. 1501; Smith, T.K., Influence of dietary fiber, protein and zeolite on zeralenone toxicosis in rats and swine (1980) Journal of Animal Science, 50 (2), pp. 278-285; Song, M.Y., Ryu, H.W., Jung, S.-C., Song, J., Kim, B.-J., Park, Y.-K., A hybrid reactor system comprised of non-thermal plasma and Mn/natural zeolite for the removal of acetaldehyde from food waste. Catalysts (2018); Sulaiman, K.O., Sajid, M., Alhooshani, K., Application of porous membrane bag enclosed alkaline treated Y-Zeolite for removal of heavy metal ions from water (2020) Microchemical Journal, 152, p. 104289; Sun, L., Tang, W., Zhu, T., Row, K.H., Efficient adsorptive separation and determination of phenolic acids from orange peels using hyper-crosslinked polymer based zeolitic imidazolate framework-8 (ZIF-8) composites (2020) Analytical Letters, 53 (16), pp. 2636-2655; Tanimu, A., Jillani, S.M.S., Alluhaidan, A.A., Ganiyu, S.A., Alhooshani, K., 4-phenyl-1,2,3-triazole functionalized mesoporous silica SBA-15 as sorbent in an efficient stir bar-supported micro-solid-phase extraction strategy for highly to moderately polar phenols (2019) Talanta, 194, pp. 377-384; Tegl, G., Stagl, V., Mensah, A., Huber, D., Somitsch, W., Grosse-Kracht, S., The chemo enzymatic functionalization of chitosan zeolite particles provides antioxidant and antimicrobial properties (2018) Engineering in Life Science, 18 (5), pp. 334-340; Toommee, S., Pratumpong, P., PEG-template for surface modification of zeolite: A convenient material to the design of polypropylene based composite for packaging films (2018) Results in Physics, 9, pp. 71-77; Tosheva, L., Belkhair, S., Gackowski, M., Malic, S., Al-Shanti, N., Verran, J., Rapid screening of the antimicrobial efficacy of Ag zeolites (2017) Colloids and Surfaces B: Biointerfaces, 157, pp. 254-260; Tsagkaris, A.S., Nelis, J.L.D., Ross, G.M.S., Jafari, S., Guercetti, J., Kopper, K., Critical assessment of recent trends related to screening and confirmatory analytical methods for selected food contaminants and allergens (2019) Trends in Analytical Chemistry, 121, p. 115688; Turiel, E., Martín-Esteban, A., Application of molecularly imprinted polymers in microextraction and solventless extraction techniques (2019) Comprehensive analytical chemistry, 86. , 1st ed. Elsevier B.V; Tzeng, J.-H., Weng, C.-H., Huang, J.-W., Shiesh, C.-C., Lin, Y.-H., Lin, Y.-T., Application of palladium-modified zeolite for prolonging post-harvest shelf life of banana (2019) Journal of the Science of Food and Agriculture, 99 (7), pp. 3467-3474; Tzia, C., Zorpas, A.A., Zeolites in food processing industries (2012) Handbook of natural zeolites, pp. 601-651. , V.J. Inglezakis A.A. Zorpas Bentham Science; Code of federal regulations, title 21 (2015), https://www.accessdata.fda.gov/scripts/cdrh/cfdocs/cfcfr/cfrsearch.cfm?fr=1</t>
  </si>
  <si>
    <t>Pérez-Escobar O.A., Zizka A., Bermúdez M.A., Meseguer A.S., Condamine F.L., Hoorn C., Hooghiemstra H., Pu Y., Bogarín D., Boschman L.M., Pennington R.T., Antonelli A., Chomicki G.</t>
  </si>
  <si>
    <t>55745490000;54780951100;7005616490;36867697700;37023057300;6603420627;7004137021;57314905500;8271700400;56358702900;57215376671;23017926000;55856349900;</t>
  </si>
  <si>
    <t>Trends in Plant Science</t>
  </si>
  <si>
    <t>https://www.scopus.com/inward/record.uri?eid=2-s2.0-85122501741&amp;doi=10.1016%2fj.tplants.2021.09.010&amp;partnerID=40&amp;md5=1b01c11fd3833da3d89546243dca8c41</t>
  </si>
  <si>
    <t>Royal Botanic Gardens, Kew TW9 3AB, UK, Surrey, United Kingdom; Biodiversity of Plants, Philipps University Marburg, Marburg, 35043, Germany; German Center for Integrative Biodiversity Research Halle-Jena-Leipzig (iDiv), Leipzig, 04103, Germany; Escuela de Ingeniería Geológica, Universidad Pedagógica y Tecnológica de Colombia, Tunja, Colombia; Real Jardín Botánico de Madrid (RJB)–Consejo Superior de Investigaciones Científicas (CSIC), Madrid, Spain, Spain; Centre National de la Recherche Scientifique (CNRS), Institut des Sciences de l'Evolution de Montpellier (Université de Montpellier), Montpellier, 34095, France; Institute for Biodiversity and Ecosystem Dynamics (IBED), University of Amsterdam, Amsterdam, 1098XH, Netherlands; Jardín Botánico Lankester, Universidad de Costa Rica, Cartago, Costa Rica; Naturalis Biodiversity Center, Leiden, 2333 CR, Netherlands; Department of Environmental Systems Science, Eidgenössische Technische Hochschule (ETH) Zurich, Zurich, 8092, Switzerland; Department of Geography, University of Exeter, UK, Exeter, EX4 4RJ, United Kingdom; Royal Botanic Garden, UK, Edinburgh, EH3 5LR, United Kingdom; Gothenburg Global Biodiversity Centre, Department of Biological and Environmental Sciences, University of Gothenburg, Gothenburg, Sweden; Department of Plant Sciences, University of Oxford, UK, Oxford, OX1 3RB, United Kingdom; Ecology and Evolutionary Biology, University of Sheffield, UK, Sheffield, S10 2TN, United Kingdom</t>
  </si>
  <si>
    <t>Pérez-Escobar, O.A., Royal Botanic Gardens, Kew TW9 3AB, UK, Surrey, United Kingdom; Zizka, A., Biodiversity of Plants, Philipps University Marburg, Marburg, 35043, Germany, German Center for Integrative Biodiversity Research Halle-Jena-Leipzig (iDiv), Leipzig, 04103, Germany; Bermúdez, M.A., Escuela de Ingeniería Geológica, Universidad Pedagógica y Tecnológica de Colombia, Tunja, Colombia; Meseguer, A.S., Real Jardín Botánico de Madrid (RJB)–Consejo Superior de Investigaciones Científicas (CSIC), Madrid, Spain, Spain; Condamine, F.L., Centre National de la Recherche Scientifique (CNRS), Institut des Sciences de l'Evolution de Montpellier (Université de Montpellier), Montpellier, 34095, France; Hoorn, C., Institute for Biodiversity and Ecosystem Dynamics (IBED), University of Amsterdam, Amsterdam, 1098XH, Netherlands; Hooghiemstra, H., Institute for Biodiversity and Ecosystem Dynamics (IBED), University of Amsterdam, Amsterdam, 1098XH, Netherlands; Pu, Y., German Center for Integrative Biodiversity Research Halle-Jena-Leipzig (iDiv), Leipzig, 04103, Germany; Bogarín, D., Jardín Botánico Lankester, Universidad de Costa Rica, Cartago, Costa Rica, Naturalis Biodiversity Center, Leiden, 2333 CR, Netherlands; Boschman, L.M., Department of Environmental Systems Science, Eidgenössische Technische Hochschule (ETH) Zurich, Zurich, 8092, Switzerland; Pennington, R.T., Department of Geography, University of Exeter, UK, Exeter, EX4 4RJ, United Kingdom, Royal Botanic Garden, UK, Edinburgh, EH3 5LR, United Kingdom; Antonelli, A., Royal Botanic Gardens, Kew TW9 3AB, UK, Surrey, United Kingdom, Gothenburg Global Biodiversity Centre, Department of Biological and Environmental Sciences, University of Gothenburg, Gothenburg, Sweden, Department of Plant Sciences, University of Oxford, UK, Oxford, OX1 3RB, United Kingdom; Chomicki, G., Ecology and Evolutionary Biology, University of Sheffield, UK, Sheffield, S10 2TN, United Kingdom</t>
  </si>
  <si>
    <t>The Andes are the world's most biodiverse mountain chain, encompassing a complex array of ecosystems from tropical rainforests to alpine habitats. We provide a synthesis of Andean vascular plant diversity by estimating a list of all species with publicly available records, which we integrate with a phylogenetic dataset of 14 501 Neotropical plant species in 194 clades. We find that (i) the Andean flora comprises at least 28 691 georeferenced species documented to date, (ii) Northern Andean mid-elevation cloud forests are the most species-rich Andean ecosystems, (iii) the Andes are a key source and sink of Neotropical plant diversity, and (iv) the Andes, Amazonia, and other Neotropical biomes have had a considerable amount of biotic interchange through time. © 2022 The Authors</t>
  </si>
  <si>
    <t>Andes; biogeography; geology; plant diversity; vascular plants</t>
  </si>
  <si>
    <t>biodiversity; ecosystem; forest; phylogeny; plant; Biodiversity; Ecosystem; Forests; Phylogeny; Plants</t>
  </si>
  <si>
    <t>Darrell Gwynn Foundation, DGF; Universidad Pedagógica y Tecnológica de Colombia, UPTC; Natural Environment Research Council, NERC: NE/S014470/1; European Commission, EC; Deutsche Forschungsgemeinschaft, DFG: FZT-118; Agence Nationale de la Recherche, ANR: ANR-10-LABX-25-01, ANR-17-CE31-0009; Stiftelsen för Strategisk Forskning, SSF; Vetenskapsrådet, VR; Deutsches Zentrum für integrative Biodiversitätsforschung Halle-Jena-Leipzig, iDiv</t>
  </si>
  <si>
    <t>We thank Víctor Alberto Ramos for permission to reuse the map in Figure 1A, Mario Coiro for help with plant fossil records curation, and Colin Hughes, two anonymous reviewers, and the editor Susanne Brink for comments that helped to improve the manuscript. Eve J. Lucas and Gwilym P. Lewis are thanked for providing useful insights into the taxonomy of the Andean plant list. O.A.P-E is funded by a Sainsbury Orchid Fellowship at the Royal Botanic Gardens Kew and the Swiss Orchid Foundation. A.Z. acknowledges funding by iDiv via the German Research Foundation (FZT-118, DGF), specifically through sDiv, the Synthesis Centre of iDiv. F.L.C. is supported by an Investissements d'Avenir grant managed by the Agence Nationale de la Recherche [ANR; Center for the Study of Biodiversity in Amazonia (CEBA) grant ANR-10-LABX-25-01] and by the ANR GAARAnti project (ANR-17-CE31-0009). M.A.B. thanks the Universidad Pedagógica y Tecnológica de Colombia (UPTC) for support via Dirección de Investigaciones (DIN) SGI Project 3104. Y.P. was funded by an Erasmus+ scholarship from the European Commission. A.A. is funded by the Swedish Research Council, the Swedish Foundation for Strategic Research, and the Royal Botanic Gardens, Kew. G.C. is funded by a UK Natural Environment Research Council Independent Research Fellowship (NE/S014470/1). No interests are declared.</t>
  </si>
  <si>
    <t>We thank Víctor Alberto Ramos for permission to reuse the map in Figure 1 A, Mario Coiro for help with plant fossil records curation, and Colin Hughes, two anonymous reviewers, and the editor Susanne Brink for comments that helped to improve the manuscript. Eve J. Lucas and Gwilym P. Lewis are thanked for providing useful insights into the taxonomy of the Andean plant list. O.A.P-E is funded by a Sainsbury Orchid Fellowship at the Royal Botanic Gardens Kew and the Swiss Orchid Foundation. A.Z. acknowledges funding by iDiv via the German Research Foundation ( FZT-118 , DGF), specifically through sDiv, the Synthesis Centre of iDiv . F.L.C. is supported by an Investissements d'Avenir grant managed by the Agence Nationale de la Recherche [ANR; Center for the Study of Biodiversity in Amazonia (CEBA) grant ANR-10-LABX-25-01 ] and by the ANR GAARAnti project ( ANR-17-CE31-0009 ). M.A.B. thanks the Universidad Pedagógica y Tecnológica de Colombia (UPTC) for support via Dirección de Investigaciones (DIN) SGI Project 3104 . Y.P. was funded by an Erasmus+ scholarship from the European Commission . A.A. is funded by the Swedish Research Council , the Swedish Foundation for Strategic Research , and the Royal Botanic Gardens , Kew. G.C. is funded by a UK Natural Environment Research Council Independent Research Fellowship ( NE/S014470/1 ).</t>
  </si>
  <si>
    <t>Mittermeier, R.A., Biodiversity hotspots (2011) Global Biodiversity Conservation: The Critical Role of Hotspots, pp. 3-22. , F.E. Zachos J.C. Habel Springer; Myers, N., Biodiversity hotspots for conservation priorities (2000) Nature, 403, pp. 853-858; Antonelli, A., Tracing the impact of the Andean uplift on Neotropical plant evolution (2009) Proc. Natl. Acad. Sci. U. S. A., 106, pp. 9749-9754; Antonelli, A., Amazonia is the primary source of Neotropical biodiversity (2018) Proc. Natl. Acad. Sci. U. S. A., 115, pp. 6034-6039; Hoorn, C., Amazonia through time: Andean uplift, climate change, landscape evolution, and biodiversity (2010) Science, 330, pp. 927-931; Pérez-Escobar, O.A., Recent origin and rapid speciation of Neotropical orchids in the world's richest plant biodiversity hotspot (2017) New Phytol., 215, pp. 891-905; Zizka, A., Big data suggest migration and bioregion connectivity as crucial for the evolution of Neotropical biodiversity (2019) Front. Biogeogr., 11; Pérez-Escobar, O.A., Mining threatens Colombian ecosystems (2018) Science, 359, p. 1475; Garzione, C.N., Rise of the Andes (2008) Science, 32, pp. 1304-1307; Ehlers, T.A., Poulsen, C.J., Influence of Andean uplift on climate and paleoaltimetry estimates (2009) Earth Planet. Sci. Lett., 281, pp. 238-248; Antonelli, A., Conceptual and empirical advances in Neotropical biodiversity research (2018) PeerJ, 6; Antonelli, A., Sanmartín, I., Why are there so many plant species in the Neotropics? (2011) Taxon, 60, pp. 403-414; Chen, Y.W., Southward propagation of Nazca subduction along the Andes (2019) Nature, 565, pp. 441-447; Gianni, G.M., Transient plate contraction between two simultaneous slab windows: insights from Paleogene tectonics of the Patagonian Andes (2018) J. Geodyn., 121, pp. 64-75; Horton, B.K., Tectonic regimes of the central and southern Andes: responses to variations in plate coupling during subduction (2018) Tectonics, 37, pp. 402-429; Gutscher, M.A., The 'lost Inca Plateau': cause of flat subduction beneath Peru? Earth Planet (1999) Sci. Lett., 171, pp. 335-341; Ramos, V.A., Anatomy and global context of the Andes: main geologic features and the Andean orogenic cycle (2009) Backbone of the Americas: Shallow Subduction, Plateau Uplift, and Ridge and Terrane Collision, pp. 31-65. , S. Mahlburg Kay et al. (eds.) Geological Society of America; Schepers, G., South-American plate advance and forced Andean trench retreat as drivers for transient flat subduction episodes (2017) Nat. Commun., 8, p. 15249; Mitouard, P., Post-Oligocene rotations in southern Ecuador and northern Peru and the formation of the Huancabamba deflection in the Andean Cordillera (1990) Earth Planet. Sci. Lett., 98, pp. 329-339; Michaud, F., Influence of the subduction of the Carnegie volcanic ridge on Ecuadorian geology: reality and fiction (2009) Backbone of the Americas: Shallow Subduction, Plateau Uplift, and Ridge and Terrane Collision, pp. 217-228. , S. Mahlburg Kay et al. (eds.) Geological Society of America; Kennan, L., Pindell, J.L., Dextral shear, terrane accretion and basin formation in the Northern Andes: best explained by interaction with a Pacific-derived Caribbean Plate? (2009) The Origin and Evolution of the Caribbean Plate, pp. 487-531. , B. Pankhurst et al. (eds.) Geological Society of London; Rowley, D.B., Garzione, C.N., Stable isotope-based paleoaltimetry (2007) Annu. Rev. Earth Planet. Sci., 35, pp. 463-508; Boschman, L.M., Andean mountain building since the Late Cretaceous: a paleoelevation reconstruction (2021) Earth-Sci. Rev., , 103640; Horton, B.K., Sedimentary record of Andean mountain building (2018) Earth-Sci. Rev., 178, pp. 279-309; Gregory-Wodzicki, K.M., Uplift history of the Central and Northern Andes: a review (2000) Geol. Soc. Am. Bull., 112, pp. 1091-1105; Garzione, C.N., Rapid late Miocene rise of the Bolivian Altiplano: evidence for removal of mantle lithosphere (2006) Earth Planet. Sci. Lett., 241, pp. 543-556; Lagomarsino, L.P., The abiotic and biotic drivers of rapid diversification in Andean bellflowers (Campanulaceae) (2016) New Phytol., 210, pp. 1430-1442; Barnes, J.B., Ehlers, T.A., End member models for Andean Plateau uplift (2009) Earth Sci. Rev., 97, pp. 105-132; Ramos, V.A., The Andean thrust system – latitudinal variations in structural styles and orogenic shortening (2004) Thrust Tectonics and Hydrocarbon Systems, pp. 30-50. , K.R. McClay American Association of Petroleum Geologists; Barke, R., Lamb, S., Late Cenozoic uplift of the Eastern Cordillera, Bolivian Andes (2006) Earth Planet. Sci. Lett., 249, pp. 350-367; Hartley, A.J., A comment on 'Rapid late Miocene rise of the Bolivian Altiplano: evidence for removal of mantle lithosphere' by CN Garzione et al. (Earth Planet. Sci. Lett. 241 (2006) 543-556) (2007) Earth Planet. Sci. Lett., 259, pp. 625-629; Insel, N., Response of meteoric δ18O to surface uplift – implications for Cenozoic Andean Plateau growth (2012) Earth Planet. Sci. Lett., 317, pp. 262-272; Leier, A., Stable isotope evidence for multiple pulses of rapid surface uplift in the Central Andes, Bolivia (2013) Earth Planet. Sci. Lett., 371, pp. 49-58; Garzione, C.N., Tectonic evolution of the Central Andean plateau and implications for the growth of plateaus (2017) Annu. Rev. Earth Planet. Sci., 45, pp. 529-559; Hughes, C., Eastwood, R., Island radiation on a continental scale: exceptional rates of plant diversification after uplift of the Andes (2006) Proc. Natl. Acad. Sci. U. S. A., 103, pp. 10334-10339; Boschman, L.M., Condamine, F.L., Mountain radiations are not only rapid and recent: ancient diversification of South American frog and lizard families related to Paleogene Andean orogeny and Cenozoic climate variations (2021) BioRxiv, , Published online April 26, 2021; Hoorn, C., Andean tectonics as a cause for changing drainage patterns in Miocene northern South America (1995) Geology, 23, pp. 237-240; Armijo, R., Coupled tectonic evolution of Andean orogeny and global climate (2015) Earth-Sci. Rev., 143, pp. 1-35; Flantua, S.G., The flickering connectivity system of the north Andean páramos (2019) J. Biogeogr., 46, pp. 1808-1825; Hoorn, C., The Amazon at sea: onset and stages of the Amazon River from a marine record, with special reference to Neogene plant turnover in the drainage basin (2017) Glob. Planet Change, 153, pp. 51-65; Werneck, F.P., Deep diversification and long-term persistence in the South American 'dry diagonal': integrating continent-wide phylogeography and distribution modeling of geckos (2012) Evolution, 66, pp. 3014-3034; Azevedo, J.A., On the young savannas in the land of ancient forests (2020) Neotropical Diversification: Patterns and Processes, pp. 271-298. , V. Rull A.C. Carnaval Springer; Blisniuk, P.M., Climatic and ecologic changes during Miocene surface uplift in the Southern Patagonian Andes (2005) Earth Planet. Sci. Lett., 230, pp. 125-142; Rohrmann, A., Reconstructing the Mio-Pliocene South American monsoon and orographic barrier evolution (Angastaco Basin, NW Argentina) (2013) Proceedings of the American Geophysical Union Fall Meeting 2013, PP43B-2093, , AGU; Bermúdez, M.A., Exhumation-denudation history of the Maracaibo Block, Northwestern South America: insights from thermochronology (2019) Geology and Tectonics of Northwestern South America, pp. 879-898. , F. Cediel R.P. Shaw Springer; Bermúdez, M.A., Exhumation of the southern transpressive Bucaramanga fault, Eastern Cordillera of Colombia: insights from detrital, quantitative thermochronology and geomorphology (2020) J. S. Am. Earth Sci., , 103057; Siravo, G., Constraints on the Cenozoic deformation of the northern Eastern Cordillera, Colombia (2018) Tectonics, 37, pp. 4311-4337; Siravo, G., Slab flattening and the rise of the Eastern Cordillera, Colombia (2019) Earth Planet. Sci. Lett., 512, pp. 100-110; Madriñán, S., Páramo is the world's fastest evolving and coolest biodiversity hotspot (2013) Front. Genet., 4, p. 192; Luebert, F., Weigend, M., Phylogenetic insights into Andean plant diversification (2014) Front. Ecol. Evol., 2, p. 27; Vuille, M., Rapid decline of snow and ice in the tropical Andes – impacts, uncertainties and challenges ahead (2018) Earth Sci. Rev., 176, pp. 195-213; Anderson, E.P., Consequences of climate change for ecosystems and ecosystem services in the tropical Andes (2011) Climate Change and Biodiversity in the Tropical Andes, pp. 1-18. , S.K. Herzog et al. (eds.) Inter-American Institute for Global Change Research (IAI) and Scientific Committee on Problems of the Environment (SCOPE); Ulloa, C., An integrated assessment of the vascular plant species of the Americas (2017) Science, 358, pp. 1614-1617; Cuatrecasas, J., Aspectos de la vegetación natural de Colombia (1958) Rev. Acad. Colomb. Cienc. Exact. Fis. Nat., 10, pp. 221-264; Stadel, C., Altitudinal belts in the tropical Andes: their ecology and human utilization (1991) Yearbook – Conference of Latin Americanist Geographers, Vol. 17/18, pp. 45-60. , University of Texas Press; Bernal, M.H., Lynch, J.D., Review and analysis of altitudinal distribution of the Andean anurans in Colombia (2008) Zootaxa, 1826, pp. 1-25; Dussaillant, I., Two decades of glacier mass loss along the Andes (2019) Nat. Geosci., 12, pp. 802-808; Wille, M., Environmental change in the Colombian subandean forest belt from 8 pollen records: the last 50 kyr (2001) Veg. Hist. Archaeobotany, 10, pp. 61-77; Gentry, A.H., Neotropical floristic diversity: phytogeographical connections between Central and South America, Pleistocene climatic fluctuations, or an accident of the Andean orogeny? (1982) Ann. Missouri Bot. Gard., 69, pp. 557-593; DRYFLOR – Latin American and Caribbean Seasonally Dry Tropical Forest Floristic Network, Plant diversity patterns in neotropical dry forests and their conservation implications (2016) Science, 353, pp. 1383-1387; Cleef, A.M., The phytogeographical position of the Neotropical vascular paramo flora (1979) Tropical Botany, pp. 175-184. , K. Larsen L.B. Holm-Nielsen Academic Press; Rangel-Chui, J.O., Diversidad Biótica IV: El Chocó Biogeografico/Costa Pacífica (2011), Universidad Nacional de Colombia, Instituto de Ciencias Naturales, and Conservación Internacional; Olson, D.M., Terrestrial ecoregions of the world: a new map of life on Earth: a new global map of terrestrial ecoregions provides an innovative tool for conserving biodiversity (2001) BioScience, 51, pp. 933-938; Cleef, A.M., The vegetation of the páramos of the Colombian Cordillera Oriental (1981) Meded. Bot. Mus. Herb. Rijksuniv. Utrecht, 481, pp. 1-320; Luteyn, J.L., Páramos: A Checklist of Plant Diversity, Geographical Distribution, and Botanical Literature (Memoirs of the New York Botanical Garden Vol. 84) (1999), New York Botanical Garden Press; Cortés, A.J., On the causes of rapid diversification in the páramos: isolation by ecology and genomic divergence in Espeletia (2018) Front. Plant Sci., 9, p. 1700; Pouchon, C., Phylogenomic analysis of the explosive adaptive radiation of the Espeletia complex (Asteraceae) in the tropical Andes (2018) Syst. Biol., 67, pp. 1041-1060; Torres, V., Astronomical tuning of long pollen records reveals the dynamic history of montane biomes and lake levels in the tropical high Andes during the Quaternary (2013) Quat. Sci. Rev., 63, pp. 59-72; Hughes, C.E., Atchison, G.W., The ubiquity of alpine plant radiations: from the Andes to the Hengduan Mountains (2015) New Phytol., 207, pp. 275-282; Nevado, B., Widespread adaptive evolution during repeated evolutionary radiations in New World lupins (2016) Nat. Commun., 7, p. 12384; Nürk, N.M., Are the radiations of temperate lineages in tropical alpine ecosystems pre-adapted? (2018) Glob. Ecol. Biogeogr., 27, pp. 334-345; Scherson, R.A., Phylogeny, biogeography, and rates of diversification of New World Astragalus (Leguminosae) with an emphasis on South American radiations (2008) Am. J. Bot., 95, pp. 1030-1039; Hooghiemstra, H., Van der Hammen, T., Quaternary Ice-Age dynamics in the Colombian Andes: developing an understanding of our legacy (2004) Philos. Trans. R. Soc., 359, pp. 173-181; Flantua, S.G., Hooghiemstra, H., Historical connectivity and mountain biodiversity (2018) Mountains, Climate and Biodiversity, pp. 171-185. , C. Hoorn et al. (eds.) Wiley–Blackwell; Nevado, B., Pleistocene glacial cycles drive isolation, gene flow and speciation in the high-elevation Andes (2018) New Phytol., 219, pp. 779-793; Boom, A., High altitude C4 grasslands in the northern Andes: relicts from glacial conditions? (2001) Rev. Palaeobot. Palynol., 115, pp. 147-160; Särkinen, T., Evolutionary islands in the Andes: persistence and isolation explain high endemism in Andean dry tropical forests (2012) J. Biogeogr., 39, pp. 884-900; Côrtes, A.L.A., The Tetramerium lineage (Acanthaceae: Justicieae) does not support the Pleistocene Arc hypothesis for South American seasonally dry forests (2015) Am. J. Bot., 102, pp. 992-1007; Zizka, A., Transitions between biomes are common and directional in Bombacoideae (Malvaceae) (2020) J. Biogeogr., 47, pp. 1310-1321; Murphy, P., Lugo, A.E., Dry forests of Central America and the Caribbean (1995) Seasonally Dry Tropical Forests, pp. 146-194. , S.H. Bullock et al. (eds.) Cambridge University Press; Bullock, S.H., Plant reproduction in Neotropical dry forests (1995) Seasonally Dry Tropical Forests, pp. 277-303. , S.H. Bullock et al. (eds.) Cambridge University Press; Pennington, R.T., Contrasting plant diversification histories within the Andean biodiversity hotspot (2010) Proc. Natl. Acad. Sci. U. S. A., 107, pp. 13783-13787; Richardson, J.E., Using dated molecular phylogenies to help reconstruct geological, climatic, and biological history: examples from Colombia (2018) Geol. J., 53, pp. 2935-2943; Quintana, C., Biogeographic barriers in the Andes: is the Amotape–Huancabamba zone a dispersal barrier for dry forest plants? 1 (2017) Ann. Missouri Bot. Gard., 102, pp. 542-550; Berrio, J.C., Late-glacial and Holocene history of the dry forest area in the south Colombian Cauca Valley (2002) J. Quat. Sci., 17, pp. 667-682; Bruijnzeel, L.A., (2010) Tropical Montane Forests, , Cambridge University Press; Sempere, T., Assessing and dating Andean uplift by phylogeography and phylochronology: early Miocene emergence of Andean cloud forests (2005) 6th International Symposium on Andean Geodynamics (ISAG 2005, Barcelona), Extended Abstracts, pp. 663-665. , IRD Éditions; Gentry, A.H., Dodson, C.H., Diversity and biogeography of neotropical vascular epiphytes (1987) Ann. Missouri Bot. Gard., 74, pp. 205-233; Givnish, T.J., Adaptive radiation, correlated and contingent evolution, and net species diversification in Bromeliaceae (2014) Mol. Phylogenet. Evol., 71, pp. 55-78; Schwery, O., As old as the mountains: the radiations of the Ericaceae (2015) New Phytol., 207, pp. 355-367; Spriggs, E.L., Temperate radiations and dying embers of a tropical past: the diversification of Viburnum (2015) New Phytol., 207, pp. 340-354; Moonlight, P.W., Continental-scale diversification patterns in a megadiverse genus: the biogeography of Neotropical Begonia (2015) J. Biogeogr., 42, pp. 1137-1149; Loiseau, O., Slowly but surely: gradual diversification and phenotypic evolution in the hyper-diverse tree fern family Cyatheaceae (2020) Ann. Bot., 125, pp. 93-103; Neves, D.M., Evolutionary diversity in tropical tree communities peaks at intermediate precipitation (2020) Sci. Rep., 10, p. 1188; Pérez-Escobar, O.A., Andean mountain building did not preclude dispersal of lowland epiphytic orchids in the Neotropics (2017) Sci. Rep., 7, p. 4919; Smith, S.A., Brown, J.W., Constructing a broadly inclusive seed plant phylogeny (2018) Am. J. Bot., 105, pp. 302-314; Morley, R.J., Origin and Evolution of Tropical Rain Forests (2000), John Wiley &amp; Sons; Johnson, K.R., Ellis, B., A tropical rainforest in Colorado 1.4 million years after the Cretaceous–Tertiary boundary (2002) Science, 296, pp. 2379-2383; Wing, S.L., Late Paleocene fossils from the Cerrejón Formation, Colombia, are the earliest record of Neotropical rainforest (2009) Proc. Natl. Acad. Sci. U. S. A., 106, pp. 18627-18632; Jaramillo, C., The origin of the modern Amazon rainforest: implications of the palynological and palaeobotanical record (2010) Amazonia, Landscape and Species Evolution – A Look into the Past, pp. 317-334. , C. Hoorn G. Wessllingh Wiley–Blackwell; Carvalho, M.R., Extinction at the end-Cretaceous and the origin of modern Neotropical rainforests (2021) Science, 372, pp. 63-68; Hooghiemstra, H., The paleobotanical record of Colombia: implications for biogeography and biodiversity (2006) Ann. Missouri Bot. Gard., 93, pp. 297-324; Silva, G.A.R., The impact of early Quaternary climate change on the diversification and population dynamics of a South American cactus species (2018) J. Biogeogr., 45, pp. 76-88; Martínez, C., Neogene precipitation, vegetation, and elevation history of the Central Andean Plateau (2020) Sci. Adv., 6</t>
  </si>
  <si>
    <t>Pérez-Escobar, O.A.; Royal Botanic Gardens, UK, United Kingdom; email: O.PerezEscobar@kew.org</t>
  </si>
  <si>
    <t>TPSCF</t>
  </si>
  <si>
    <t>2-s2.0-85122501741</t>
  </si>
  <si>
    <t>Alcover C.-M., Nazar G., Bargsted M., Ramírez-Vielma R., Pulido N., Rodríguez L.</t>
  </si>
  <si>
    <t>8526479100;55587709300;55823019600;57194535437;57192962022;57555215000;</t>
  </si>
  <si>
    <t>Spanish Journal of Psychology</t>
  </si>
  <si>
    <t>https://www.scopus.com/inward/record.uri?eid=2-s2.0-85127277283&amp;doi=10.1017%2fSJP.2022.10&amp;partnerID=40&amp;md5=f5bab111362b98ba8a1d4ae46ad9325b</t>
  </si>
  <si>
    <t>Universidad Rey Juan Carlos, Spain; Universidad de Concepción, Chile; Universidad Adolfo Ibáñez, Chile; Universidad Pedagógica y Tecnológica de Colombia, Colombia</t>
  </si>
  <si>
    <t>Alcover, C.-M., Universidad Rey Juan Carlos, Spain; Nazar, G., Universidad de Concepción, Chile; Bargsted, M., Universidad Adolfo Ibáñez, Chile; Ramírez-Vielma, R., Universidad de Concepción, Chile; Pulido, N., Universidad Pedagógica y Tecnológica de Colombia, Colombia; Rodríguez, L., Universidad Pedagógica y Tecnológica de Colombia, Colombia</t>
  </si>
  <si>
    <t>Negative stereotypes about older workers can result in different types of age discrimination. The aim of this study was to run a transcultural adaptation and validation of the Nordic Age Discrimination Scale (NADS) into Spanish. Three independent samples of Chilean (N = 301), Colombian (N = 150), and Spanish (N = 209) workers over the age of 45, from different sectors and professional categories, answered a questionnaire including the NADS scale, measures of perceptions of inequality, workplace harassment and several scales related to outcome variables to test criterion and construct validity. The reliability index for the NADS was.85, a similar value for both Cronbach's alpha (α) and McDonald's omega (ω). CFA by country suggest good fit of this single-dimension structure in a final version of 5 items, and it presents scalar invariance; using the modification indices, partial invariance is achieved at the level of the variance of the errors. Both criterion and construct validity were verified, with strong evidence for criterion validity, and moderate results for construct validity. Therefore, the Spanish version of NADS had a single-dimension structure and adequate psychometric properties being a useful tool in measuring perceptions of age discrimination in different countries. ©</t>
  </si>
  <si>
    <t>ageism; human; procedures; psychometry; questionnaire; reproducibility; workplace; Ageism; Humans; Psychometrics; Reproducibility of Results; Surveys and Questionnaires; Workplace</t>
  </si>
  <si>
    <t>MEC80190085</t>
  </si>
  <si>
    <t>Funding Statement: This work was supported by the Concurso Atracción de Capital Humano Avanzado del Extranjero, Modalidad Estadías Cortas (MEC), Convocatoria 2019 (Grant Number MEC80190085).</t>
  </si>
  <si>
    <t>Alcover, C.-M., Topa, G., Work characteristics, motivational orientations, psychological work ability and job mobility intentions of olderworkers (2018) PLOSONE, 13 (4). , https://doi.org/10.1371/journal.pone.0195973; Andersen, L.L., Jensen, P.H., Sundstrup, E., Barriers and opportunities for prolonging working life across different occupational groups: the SeniorWorkingLife study (2019) European Journal of Public Health, 30, pp. 241-246. , https://doi.org/10.1093/eurpub/ckz146; Arbuckle, J.L., (2013) IBM SPSS Amos 22 user's guide, , Amos Development Corporation; Bal, A.C., Reiss, A.E.B., Rudolph, C.W., Baltes, B.B., Examining positive and negative perceptions of older workers: Ameta-analysis (2011) The Journals of Gerontology: Series B, 66 B (6), pp. 687-698. , https://doi.org/10.1093/geronb/gbr056; Bayl-Smith, P.H., Griffin, B., Age discrimination in the workplace: Identifying as a late-career worker and its relationship with engagement and intended retirement age (2014) Journal of Applied Social Psychology, 44 (9), pp. 588-599. , https://doi.org/10.1111/jasp.12251; Björklund, C., Testing the existing QPSNordic data (2008) Nordic questionnaire for monitoring the age diverse workforce. Review report of QPS Nordic-ADW: TemaNord 2008, 505, pp. 29-38. , K. Lindström, C. Björklund, R. J. Mykletun, T. Furunes, G. Gaard, &amp; K. Pahkin (Eds.) Nordic Council of Ministers; Bowen, C.E., Staudinger, U.M., Relationship between age and promotion orientation depends on perceived older worker stereotypes (2013) The Journals of Gerontology. Series B, Psychological Sciences and Social Sciences, 68 (1), pp. 59-63. , https://doi.org/10.1093/geronb/gbs060; Brownell, P., Neglect, abuse and violence against older women: Definitions and research frameworks (2014) South Eastern European Journal of Public Health (SEEJPH), 1. , http://doi.org/10.4119/UNIBI/SEEJPH-2014-28; Byrne, B.M., Shavelson, R.J., Muthén, B., Testing for the equivalence of factor covariance and mean structures: The issue of partial measurement invariance (1989) Psychological Bulletin, 105 (3), pp. 456-466. , https://doi.org/10.1037/0033-2909.105.3.456; Carral, P., Alcover, C.-M., Measuring age discrimination at work: Spanish adaptation and preliminary validation of the Nordic Age Discrimination Scale (NADS) (2019) International Journal of Environmental Research and Public Health, 16 (8). , https://doi.org/10.3390/ijerph16081431; Cebola, M.M.J., Dos Santos, N.R., Dionísio, A., Worker-related ageism: A systematic review of empirical research (2021) Ageing and Society. Advance online publication, , https://doi.org/10.1017/S0144686X21001380; (2017) Adultos mayores: Un activopara Chile [Older adults: An asset for Chile], , https://politicaspublicas.uc.cl/publicacion/otras-publicaciones/adultos-mayores-un-activo-para-chile/, Centro UC Políticas Públicas. Pontificia Universidad Católica de Chile; Chang, E.-S., Kannoth, S., Levy, S., Wang, S.-Y., Lee, J.E., Levy, B.R., Global reach of ageism on older persons' health: A systematic review (2020) PLOS ONE, 15 (1). , https://doi.org/10.1371/journal.pone.0220857; Chen, F.F., Sensitivity of Goodness of Fit Indexes to lack of measurement invariance (2007) Structural Equation Modeling: A Multidisciplinary Journal, 14 (3), pp. 464-504. , https://doi.org/10.1080/10705510701301834; Chiesa, R., Zaniboni, S., Guglielmi, D., Vignoli, M., Coping with negative stereotypes toward older workers: Organizational and work-related outcomes (2019) Frontiers in Psychology, 10. , https://doi.org/10.3389/fpsyg.2019.00649; Chou, R.J.-A., Choi, N.G., Prevalence and correlates of perceived workplace discrimination among older workers in the United States of America (2011) Ageing &amp; Society, 31 (6), pp. 1051-1070. , https://doi.org/10.1017/S0144686X10001297; Cockell, F.F., Idosos aposentados no mercado de trabalho informal: Trajetórias ocupacionais na construção civil [Retired elderly in informal labor market: Occupational trajectories in civil construction] (2014) Psicologia &amp; Sociedade, 26 (2), pp. 461-471. , https://doi.org/10.1590/S0102-71822014000200022; Cuddy, A.J.C., Fiske, S.T., Doddering but dear: Process, content, and function in stereotyping of older persons (2002) Ageism: Stereotyping and prejudice against older persons, pp. 3-26. , The MIT Press T. D. Nelson (Ed.); Dallner, M., Elo, A.-L., Gamberale, F., Hottinen, V., Knardahl, S., Lindström, K., Skogstad, A., Örhede, E., Validation of the General Nordic Questionnaire (QPSNordic) for psychological and social factors at work (2000) Nordic Council of Ministers; Dordoni, P., Argentero, P., When age stereotypes are employment barriers: A conceptual analysis and a literature review on older workers stereotypes (2015) Ageing International, 40 (4), pp. 393-412. , https://doi.org/10.1007/s12126-015-9222-6; Duncan, C., Loretto, W., Never the right age? Gender and age-based discrimination in employment (2004) Gender, Work and Organization, 11 (1), pp. 95-115. , https://doi.org/10.1111/j.1468-0432.2004.00222.x; Figueroa, C.A., Nazar, G., Creencias estereotípicas sobre el desempeño laboral de trabajadores mayores en Chile [Stereotype beliefs about the performance of elderly workers in Chile] (2015) Psicoperspectivas, 14 (1), pp. 114-125; Fiske, S.T., Cuddy, A.J.C., Glick, P., Xu, J., A model of (often mixed) stereotype content: Competence and warmth respectively follow from perceived status and competition (2002) Journal of Personality and Social Psychology, 82 (6), pp. 878-902. , https://doi.org/10.1037//0022-3514.82.6.878; Furunes, T., Mykletun, R.J., Age discrimination in the workplace: Validation of the Nordic Age Discrimination Scale (NADS) (2010) Scandinavian Journal of Psychology, 51, pp. 23-30. , https://doi.org/10.1111/j.1467-9450.2009.00738.x; Gaillard, M., Desmette, D., (In)validating stereotypes about older workers influences their intentions to retire early and to learn and develop (2010) Basic and Applied Social Psychology, 32, pp. 86-98. , https://doi.org/10.1080/01973530903435763; Garstka, T.A., Schmitt, M.T., Branscombe, N.R., Hummert, M.L., How young and older adults differ in their responses to perceived age discrimination (2004) Psychology and Aging, 19 (2), pp. 326-335. , https://doi.org/10.1037/0882-7974.19.2.326; Hair, J.F., Jr., Black, W.C., Babin, B.J., Anderson, R.E., (2010) Multivariate data analysis, , (7th Ed.) Prentice Hall; Harnois, C.E., Are perceptions of discrimination unidimensional, oppositional, or intersectional? Examining the relationship among perceived racial-ethnic-, gender-, and age-based discrimination (2014) Sociological Perspectives, 57 (4), pp. 470-487. , https://doi.org/10.1177/0731121414543028; Harris, K., Krygsman, S., Waschenko, J., Rudman, D.L., Ageism and the older worker: A scoping review (2017) The Gerontologist, 58 (2), pp. e1-e14. , https://doi.org/10.1093/geront/gnw194; Hassell, B.L., Perrewé, P.L., An examination of beliefs about older workers: Do stereotypes still exist? (1993) Journal of Organizational Behavior, 16 (5), pp. 457-468. , https://doi.org/10.1002/job.4030160506; Herrera, M., Kornfeld, R., Belloni, C., Trabajo y personas mayores en Chile (2018) Lineamientos para una política de inclusión laboral [Work and older people in Chile. Guidelines for a labor inclusion policy]. Centro UC Estudios de Vejez y Envejecimiento del Instituto de Sociología UC; Hu, L., Bentler, P., Cutoff criteria for fit indexes in covariance structure analysis: Conventional criteria versus new alternatives (1999) Structural Equation Modeling: A Multidisciplinary Journal, 6, pp. 1-55. , https://doi.org/10.1080/10705519909540118; What about seniors? A quick analysis of the situation of older persons in the labor market. Spotlight on Work Statistics, 1, 2018. , https://ilo.org/wcmsp5/groups/public/-dgreports/-stat/documents/publication/wcms_629567.pdf, International Labor Organization May; (2020) Data [Database], , https://ilostat.ilo.org/data/, International Labor Organization; King, S.P., Bryant, F.B., The Workplace Intergenerational Climate Scale (WICS): A self-report instrument measuring ageism in the workplace (2017) Journal of Organizational Behavior, 38 (1), pp. 124-151. , https://doi.org/10.1002/job.2118; Kooij, D., De Lange, A., Jansen, P., Dikkers, J., Older workers' motivation to continue to work: Five meanings of age. Aconceptual review (2008) Journal of Managerial Psychology, 23 (4), pp. 364-394. , https://doi.org/10.1108/02683940810869015; Krings, F., Sczesny, S., Kluge, A., Stereotypical inferences as mediators of age discrimination: The role of competence and warmth (2011) British Journal of Management, 22, pp. 187-201. , https://doi.org/10.1111/j.1467-8551.2010.00721.x; Lagacé, M., Firzly, N., Zhang, A., Self-report measures of ageism in the workplace (2020) A scoping review. In M. Luszczynska (Ed.), Researching ageing. Methodological challenges and their empirical background, pp. 41-55. , https://doi.org/10.4324/9781003051169, Routledge; Levy, B.R., Myers, L.M., Preventive health behaviors influenced by self-perceptions of aging (2004) Preventive Medicine, 39 (3), pp. 625-629. , https://doi.org/10.1016/j.ypmed.2004.02.029; Levy, B.R., Slade, M.D., Kasl, S.V., Longitudinal benefit of positive self-perceptions of aging on functional health (2002) The Journals of Gerontology Series B: Psychological Sciences and Social Sciences, 57, pp. 409-417. , https://doi.org/10.1093/geronb/57.5.P409; Londoño Moreno, A.M., Aproximación a los trabajadores mayores informales y sus trayectorias de trabajo [An approach to older informal workers and their work trajectories] (2021) Mundo del trabajo y las organizaciones en transformación: Desafíos sociales, políticos y éticos [World of work and organizations in transformation: Social, political and ethical challenges], pp. 615-634. , C. Pulido Cavero &amp; L. Torres Arce (Eds.) Aletheya; Loretto, W., White, P., Employers' attitudes, practices and policies towards older workers (2006) Human Resource Management Journal, 16, pp. 313-330. , https://doi.org/10.1111/j.1748-8583.2006.00013.x; MacDermott, T., Older workers and extended workforce participation: Moving beyond the 'barriers to work' approach (2014) International Journal of Discrimination and the Law, 14 (2), pp. 83-98. , https://doi.org/10.1177/1358229113520211; Macdonald, J.L., Levy, S.R., Ageism in the workplace: The role of psychosocial factors in predicting job satisfaction, commitment, and engagement (2016) Journal of Social Issues, 72 (1), pp. 169-190. , http://doi.org/10.1111/josi.12161; Machado, C.S., Portela, M., (2013) Age and Opportunities for Promotion (Discussion Paper Series No. 7784), , https://ftp.iza.org/dp7784.pdf, The Institute for the Study of Labor IZA; Martínez-Restrepo, S., Enríquez, E., Pertuz, M.C., Alzate-Mesa, J.P., (2015) El mercado laboral y las personas mayores [The labor market and the elderly], , Editorial Fundación Saldarriaga Concha; Maurer, T.J., Rafuse, N.E., Learning, not litigating: Managing employee development and avoiding claims of age discrimination (2001) Academy of Management Perspectives, 15 (4), pp. 110-121. , https://doi.org/10.5465/ame.2001.5898395; McMullin, J.A., Marshall, V.W., Ageism, age relations, and garment industry work in Montreal (2001) The Gerontologist, 41, pp. 111-122. , https://doi.org/10.1093/geront/41.1.111; Millsap, R.E., Yun-Tein, J., Assessing factorial invariance in ordered-categorical measures (2004) Multivariate Behavioral Research, 39 (3), pp. 479-515. , https://doi.org/10.1207/S15327906MBR3903_4; Ng, T.W.H., Feldman, D.C., Evaluating six common stereotypes about older workers with meta-analytical data (2012) Personnel Psychology, 65 (4), pp. 821-858. , https://doi.org/10.1111/peps.12003; (2013) Pensions at a Glance 2013: OECD and G20 Indicators, , https://doi.org/10.1787/pension_glance-2013-en, Organization for Economic Cooperation and Development. OECD Publishing; Elderly population (indicator) (2020) OECD iLibrary, , https://doi.org/10.1787/8d805ea1-en, Organization for Economic Cooperation and Development; Oude Mulders, J., Henkens, K., Schippers, J., European top managers' age-related workplace norms and their organizations' recruitment and retention practices regarding older workers (2016) The Gerontologist, 57 (5), pp. 857-866. , https://doi.org/10.1093/geront/gnw076; Pahkin, K., Björklund, C., Mykletun, R.J., Furunes, T., Gard, G., Lindström, K., z User's guide for the QPSNordic-ADW: Nordic questionnaire for monitoring the age diverse workforce (2008) Nordic Council of Ministers; Petery, G.A., Wee, S., Dunlop, P.D., Parker, S.K., Older workers and poor performance: Examining the association of age stereotypes with expected work performance quality (2020) International Journal of Selection and Assessment, 28, pp. 510-521. , https://doi.org/10.1111/ijsa.12309; Podsakoff, P.M., MacKenzie, S.B., Lee, J.-Y., Podsakoff, N.P., Common method biases in behavioral research: A critical review of the literature and recommended remedies (2003) Journal of Applied Psychology, 88, pp. 879-903. , https://doi.org/10.1037/0021-9010.88.5.879; Posthuma, R.A., Campion, M.A., Age stereotypes in the workplace: Common stereotypes, moderators, and future research directions (2009) Journal of Management, 35 (1), pp. 158-188. , https://doi.org/10.1177/0149206308318617; Posthuma, R.A., Wagstaff, M.F., Campion, M.A., Age stereotypes and workplace age discrimination (2012) The Oxford handbook of work and aging, pp. 298-312. , Oxford University Press W. C. Borman &amp;J. W. Hedge (Eds.); Putnick, D.L., Bornstein, M.H., Measurement invariance conventions and reporting: The state of the art and future directions for psychological research (2016) Developmental Review, 41, pp. 71-90. , https://doi.org/10.1016/j.dr.2016.06.004; Richardson, B., Webb, J., Webber, L., Smith, K., Age discrimination in the evaluation of job applicants (2013) Journal of Applied Social Psychology, 43 (1), pp. 35-44. , https://doi.org/10.1111/j.1559-1816.2012.00979.x; Sass, D.A., Schmitt, T.A., Marsh, H.W., Evaluating model fit with ordered categorical data within a measurement invariance framework: A comparison of estimators (2014) Structural Equation Modeling, 21 (2), pp. 167-180. , https://doi.org/10.1080/10705511.2014.882658; Shipp, F., Burns, G.L., Desmul, C., Construct validity of ADHD-IN, ADHD-HI, ODDtoward adults, academic and social competence dimensions with teacher ratings of Thai adolescents: Additional validity for the Child and Adolescent Disruptive Behavior Inventory (2010) Journal of Psychopathology Behavior Assessment, 32, pp. 557-564. , https://doi.org/10.1007/s10862-010-9185-6; Snape, E., Redman, T., Too old or too young? The impact of perceived age discrimination (2003) Human Resource Management Journal, 13 (1), pp. 78-89. , https://doi.org/10.1111/j.1748-8583.2003.tb00085.x; Solem, P.E., Ageism and age discrimination in working life (2016) Nordic Psychology, 68, pp. 160-175. , https://doi.org/10.1080/19012276.2015.1095650; Steenkamp, J.-B.E.M., Baumgartner, H., Assessing measurement invariance in cross-national consumer research (1998) Journal of Consumer Research, 25 (1), pp. 78-90. , https://doi.org/10.1086/209528; Thorsen, S., Rugulies, R., Løngaard, K., Borg, V., Thielen, K., Bjorner, J.B., The association between psychosocial work environment, attitudes towards older workers (ageism) and planned retirement (2012) International Archives of Occupational and Environmental Health, 85 (4), pp. 437-445. , http://doi.org/10.1007/s00420-011-0689-5; Topa, G., Alcover, C.-M., Psychosocial factors in retirement intentions and adjustment: Amulti-sample study (2015) Career Development International, 20 (4), pp. 384-408. , https://doi.org/10.1108/CDI-09-2014-0129; Topa, G., Depolo, M., Alcover, C.-M., Early retirement: Ameta-analysis of its antecedent and subsequent correlates (2018) Frontiers in Psychology, 8. , https://doi.org/10.3389/fpsyg.2017.02157; Triana, M.D.C., Trzebiatowski, T.M., Byun, S.-Y., Individual outcomes of discrimination in workplaces (2018) The Oxford handbook of workplace discrimination. OxfordUniversity Press, , https://doi.org/10.1093/oxfordhb/9780199363643.013.23, InA. D. Colella &amp; E. B. King (Eds.); Truxillo, D.M., Finkelstein, L.M., Pytlovany, A.C., Jenkins, J.S., Age discrimination at work: A review of the researchand recommendations for the future (2018) The Oxford handbook of workplace discrimination, pp. 129-141. , https://doi.org/10.1093/oxfordhb/9780199363643.013.10, Oxford University Press. InA. J. Colella&amp; E. B. King (Eds.); Tuomi, K., Huuhtanen, P., Nykyri, E., Ilmarinen, J., Promotion of work ability, the quality of work and retirement (2001) Occupational Medicine, 51 (5), pp. 318-324. , https://doi.org/10.1093/occmed/51.5.318; Vogt Yuan, A.S., Perceived age discrimination and mental health (2007) Social Forces, 86 (1), pp. 291-311. , https://www.jstor.org/stable/4495037; Walker, H., Grant, D., Meadows, M., Cook, I., Women's experiences and perceptions of age discrimination in employment: Implications for research and policy (2007) Social Policy and Society, 6 (1), pp. 37-48. , https://doi.org/10.1017/S1474746406003320; Williams, L.J., Ford, L.R., Nguyen, N., Basic and advanced measurement models for confirmatory factor analysis (2004) Handbook of research methods in industrial and organizational psychology, pp. 366-389. , https://doi.org/10.1002/9780470756669.ch18, Blackwell Publishing Ltd S. G. Rogelberg (Ed.); Wood, G., Wilkinson, A., Harcourt, M., Age discrimination and working life: Perspectives and contestations-A review of the contemporary literature (2008) International Journal of Management Reviews, 10 (4), pp. 425-442. , https://doi.org/10.1111/j.1468-2370.2008.00236.x; Zacher, H., Steinvik, H.R., Workplace age discrimination (2015) The encyclopedia of adulthood and aging. Wiley Online Library, , https://doi.org/10.1002/9781118521373, S. K. Whitbourne (Ed.); Zaniboni, S., Sarchielli, G., Fraccaroli, F., How are psychosocial factors related to retirement intentions? (2010) International Journal of Manpower, 31 (3), pp. 271-285. , https://doi.org/10.1108/01437721011050576</t>
  </si>
  <si>
    <t>Ramírez-Vielma, R.; Universidad de ConcepciónChile; email: rauramir@udec.cl</t>
  </si>
  <si>
    <t>Cambridge University Press</t>
  </si>
  <si>
    <t>2-s2.0-85127277283</t>
  </si>
  <si>
    <t>Valladares-Garrido M.J., Serrano F.T., Gutiérrez P., Failoc-Rojas V.E., Mejia C.R.</t>
  </si>
  <si>
    <t>56769903200;57195980799;57964204900;56638654000;50462014500;</t>
  </si>
  <si>
    <t>Latin American Medical Student Scientific-academic Groups and the Publication of Letters to the Editor [Grupos científicos-académicos de estudiantes de Medicina de Latinoamérica y la publicación de Cartas al Editor]</t>
  </si>
  <si>
    <t>Revista Cubana de Informacion en Ciencias de la Salud</t>
  </si>
  <si>
    <t>e2017</t>
  </si>
  <si>
    <t>https://www.scopus.com/inward/record.uri?eid=2-s2.0-85141827666&amp;partnerID=40&amp;md5=459d722b406cb79ad9dfe7f2b4bd2552</t>
  </si>
  <si>
    <t>Undergraduate scientific research can start with publications by students. These can be in the form of Letters to the Editor, as they develop skills in scientific writing and encourage the future proposal of independent projects. The present study aims to determine the association between medical students' membership in extracurricular scientific-academic groups and the publication of Letters to the Editor. A cross-sectional study of secondary data analysis was carried out in medical students from 40 Latin American schools. The publication of Letters to the Editor was the outcome variable, defined as self-report when asked if they had published a letter as part of their non-academic activities. Simple and multiple regression analyses were performed using multilevel random effect models. Of the 11,587 respondents, 40.9% were affiliated with study groups and 1.6% reported having published a Letter to the Editor. In the simple regression, all three types of scientific-academic groups were associated (p &lt; 0.001). In the multiple regression, the association was maintained only in students affiliated with scientific societies (prevalence ratio = 2.71) and study groups (prevalence ratio = 2.43). In conclusion, affiliation to a student scientific society, study groups and more than one scientific-academic group was associated with a higher frequency of publication of Letters to the Editor. © 2022, Centro Nacional de Informacion de Ciencias Medicas. All rights reserved.</t>
  </si>
  <si>
    <t>academies and institutes; information science; Latin America; medical students; publications</t>
  </si>
  <si>
    <t>Ortiz-Martínez, Y, Pulido-Medina, C., Producción científica de los directivos de las asociaciones científicas de estudiantes de medicina de Colombia (2017) Edu Med, 18 (2), pp. 81-150. , https://doi.org10.1016/j.edumed.2016.09.004; Smith, F, Harasym, P, Mandin, H, Lorscheider, F., Development and evaluation of a Research Project Program for medical students at the University of Calgary Faculty of Medicine (2001) Acad Med, 76 (2), pp. 189-194. , https://doi.org/10.1097/00001888-200102000-00023; Miyahira, JM., Importancia de las cartas al editor (2010) Rev Med Hered, 21 (2), pp. 57-58. , http://www.scielo.org.pe/scielo.php?script=sci_arttext&amp;pid=S1018-130X2010000200001, [acceso 12/05/2021]; Disponible en; López-Hernández, D, Brito-Aranda, L, Torres-Fonseca, A., Importancia y redacción de la carta al editor (2014) Rev Esp Méd Quir, 19 (4), pp. 475-478. , https://www.medigraphic.com/pdfs/quirurgicas/rmq-2014/rmq144k.pdf, [acceso 12/05/2021]; Disponible en; Sosa-Gonzalo, SL, Aveiro-Róbalo, TR, Galán-Rodas, E., Cartas al editor: Importancia y recomendaciones para su redacción (2016) CIMEL, 21 (2), pp. 48-50. , https://www.cimel.felsocem.net/index.php/CIMEL/article/download/643/361/, [acceso 12/05/2021]; Disponible; Miyahira, JM., La investigación formativa y la formación para la investigación en el pregrado (2009) Rev Med Hered, 20 (3), pp. 119-122. , https://doi.org/10.20453/rmh.v20i3.1010; Pedrós Pérez, G, Martínez Jiménez, MP, Varo Martínez, M., La sección de cartas al editor: un planteamiento científico y social en la didáctica de las ciencias (2007) Enseñ las Cienc, 25 (2), pp. 195-204. , https://www.raco.cat/index.php/Ensenanza/article/download/87872/216406, [acceso 12/05/2021]; Disponible en; Jiménez-Peña, D, Serrano, FT, Pulido-Medina, C., Publicación en revistas científicas estudiantiles. ¿La respuesta a la problemática de dónde publicar en el pregrado? (2017) Rev Médica Chile, 145 (6), pp. 819-820. , http://doi.org/10.4067/s0034-98872017000600819; Corrales-Reyes, IE, Fornaris-Cedeño, Y, Dorta-Contreras, AJ., Producción científica estudiantil en las revistas biomédicas indexadas en SciELO Cuba 2015 y 2016 (2019) Investig en Educ Médica, 8 (30), pp. 30-40. , https://doi.org/10.22201/facmed.20075057e.2019.30.1785; Mejía, CR, Valladares-Garrido, MJ, Almanza-Mío, C, Benites-Gamboa, D., Participación en una sociedad científica de estudiantes de Medicina asociada a la producción científica extracurricular en Latinoamérica (2019) Edu Med, 20 (1), pp. 99-103. , https://doi.org/10.1016/j.edumed.2017.10.014en:; Valladares-Garrido, MJ, Aveiro-Róbalo, TR, Moreno-García, Y, Serrano, FT, Pereira-Victorio, CJ, Mejía, CR., Factores asociados al conocimiento de revistas científicas en estudiantes de medicina de Latinoamérica (2020) Rev Cuba Inf en Cienc Salud, 31 (1), p. e1454. , http://www.rcics.sld.cu/index.php/acimed/article/view/1454, [acceso 12/05/2021]; Disponible en; Mejía, CR, Valladares-Garrido, MJ, Luyo-Rivas, A, Valladares-Garrido, D, Talledo-Ulfe, L, Vilela-Estrada, MA, Factores asociados al uso regular de fuentes de información en estudiantes de medicina de cuatro ciudades del Perú (2015) Rev Peru Med Exp Salud Pública, 32 (2), pp. 230-236. , http://www.scielo.org.pe/pdf/rins/v32n2/a03v32n2.pdf, [acceso 12/05/2021]; Disponible en; Tirado Pérez, IS, Zárate Vergara, AC., Letters to the editor in medical research (2017) Medwave, 17 (2), p. e6881; Domínguez-Lara, SA., Are letters to the editor really useful? (2016) Medwave, 16 (6), p. e6502. , https://doi.org/10.58677/medwave.2016.06.650215; Montenegro-Idrogo, JJ, Mejía-Dolores, JW, Chalco-Huamán, JL., Cartas al editor publicadas en revistas biomédicas peruanas indizadas en SciELO-Perú 2006-2013 (2015) Rev Peru Med Exp Salud Pública, 32 (1), pp. 104-109; Huamaní, C, Chávez-Solís, P, Mayta-Tristán, P., Aporte estudiantil en la publicación de artículos científicos en revistas médicas indizadas en SciELO-Perú, 1997-2005 (2008) An Fac Med, 69 (1), pp. 42-45; Kunzle-Elizeche, HG, González-Fernández, DDP., Letters to the Editor: utility and contribution to the scientific community (2016) Nac, 8 (2), pp. 101-103. , https://doi.org/10.18004/rdn2016.0008.02.101-103; Caballero-Ortiz, AG., Cartas al editor como oportunidad de primera publicación en los miembros de FELSOCEM (2014) Cienc E Investig Médico Estud Latinoam, 19 (2); Toro-Huamanchumo, CJ, Failoc-Rojas, VE, Díaz-Vélez, C., Participación en sociedades científicas estudiantiles y en cursos extracurriculares de investigación, asociados a la producción científica de estudiantes de medicina humana: estudio preliminar (2015) FEM Rev Fund Educ Médica, 18 (4), pp. 293-298. , https://doi.org/10.4321/S2014-98322015000500011; Valladares-Garrido, MJ, Flores-Pérez, I, Failoc-Rojas, VE, Mariñas-Miranda, W, Valladares-Garrido, D, Mejía, CR., Publicación de trabajos presentados a congresos científicos internacionales de estudiantes de medicina de Latinoamérica, 2011-2014 (2017) Educ Médica, 18 (3), pp. 167-173. , https://doi.org/10.1016/j.edumed.2016.06.013; Taype-Rondán, Á, Lajo-Aurazo, Y, Gutiérrez-Brown, R, Zamalloa-Masías, N, Saldaña-Gonzales, M., Aporte de las sociedades estudiantiles en la publicación científica en SciELO-Perú, 2009-2010 (2011) Rev Peru Med Exp Salud Pública, 28, pp. 691-692. , https://doi.org/10.1590/S1726-46342011000400022; Rojas-Revoredo, V., Las publicaciones en revistas indexadas, único indicador de la producción de las sociedades científicas estudiantiles (2007) CIMEL Cienc E Investig Médica Estud Latinoam, 12 (1), pp. 5-6; Failoc-Rojas, VE, Plasencia-Dueñas, EA, Díaz-Vélez, C., Participación y características en congresos estudiantiles del Perú como asesor de trabajos de investigación (2016) Educ Médica Super, 30 (2). , http://scielo.sld.cu/pdf/ems/v30n2/ems16216.pdf, [acceso 12/05/2021]; Disponible en; Téllez-Zenteno, JF, Morales-Buenrostro, LE, Estañol, B., Análisis del factor de impacto de las revistas científicas latinoamericanas (2007) Rev Médica Chile, 135 (4), p. 4807. , https://doi.org/10.4067/S0034-98872007000400010</t>
  </si>
  <si>
    <t>Failoc-Rojas, V.E.; Universidad San Ignacio de Loyola, Peru; email: virgiliofr@gmail.com</t>
  </si>
  <si>
    <t>Centro Nacional de Informacion de Ciencias Medicas</t>
  </si>
  <si>
    <t>Revista Cubana Info. Ciencias Salud</t>
  </si>
  <si>
    <t>2-s2.0-85141827666</t>
  </si>
  <si>
    <t>Nope E., Sathicq Á.G., Martínez J.J., Rojas H., Macías M.A., Castillo J.-C., Romanelli G.</t>
  </si>
  <si>
    <t>56182556100;23010112100;7404312604;23025604300;25121882000;27967485800;7005511248;</t>
  </si>
  <si>
    <t>https://www.scopus.com/inward/record.uri?eid=2-s2.0-85126837771&amp;doi=10.1002%2fslct.202104360&amp;partnerID=40&amp;md5=eddfdf8e7a2b6e4f989bad0946f3a1d1</t>
  </si>
  <si>
    <t>Centro de Investigación y Desarrollo en Ciencias Aplicadas “Dr. Jorge J. Ronco” (CINDECA-CCT La Plata-CONICET-CIC-PBA), Universidad Nacional de La Plata, Calle 47 No 257, La Plata, B1900AJK, Argentina; Escuela de Ciencias Química, Universidad Pedagógica y Tecnológica de Colombia, Avenida Central del Norte 39–115, Tunja, Colombia; Crystallography and Chemistry of Materials, CrisQuimMat, Department of Chemistry, Universidad de los Andes, Carrera 1 No. 18 A-10, Bogotá, Colombia; Centro de Investigación en Sanidad Vegetal (CISaV)/ Cátedra de Química Orgánica, Facultad de Ciencias Agrarias y Forestales, Universidad Nacional de La Plata, Calles 60 y 119, s/n, La Plata, B1904AAN, Argentina</t>
  </si>
  <si>
    <t>Nope, E., Centro de Investigación y Desarrollo en Ciencias Aplicadas “Dr. Jorge J. Ronco” (CINDECA-CCT La Plata-CONICET-CIC-PBA), Universidad Nacional de La Plata, Calle 47 No 257, La Plata, B1900AJK, Argentina; Sathicq, Á.G., Centro de Investigación y Desarrollo en Ciencias Aplicadas “Dr. Jorge J. Ronco” (CINDECA-CCT La Plata-CONICET-CIC-PBA), Universidad Nacional de La Plata, Calle 47 No 257, La Plata, B1900AJK, Argentina; Martínez, J.J., Escuela de Ciencias Química, Universidad Pedagógica y Tecnológica de Colombia, Avenida Central del Norte 39–115, Tunja, Colombia; Rojas, H., Escuela de Ciencias Química, Universidad Pedagógica y Tecnológica de Colombia, Avenida Central del Norte 39–115, Tunja, Colombia; Macías, M.A., Crystallography and Chemistry of Materials, CrisQuimMat, Department of Chemistry, Universidad de los Andes, Carrera 1 No. 18 A-10, Bogotá, Colombia; Castillo, J.-C., Escuela de Ciencias Química, Universidad Pedagógica y Tecnológica de Colombia, Avenida Central del Norte 39–115, Tunja, Colombia; Romanelli, G., Centro de Investigación y Desarrollo en Ciencias Aplicadas “Dr. Jorge J. Ronco” (CINDECA-CCT La Plata-CONICET-CIC-PBA), Universidad Nacional de La Plata, Calle 47 No 257, La Plata, B1900AJK, Argentina, Centro de Investigación en Sanidad Vegetal (CISaV)/ Cátedra de Química Orgánica, Facultad de Ciencias Agrarias y Forestales, Universidad Nacional de La Plata, Calles 60 y 119, s/n, La Plata, B1904AAN, Argentina</t>
  </si>
  <si>
    <t>Magnetic Fe3O4-based hydrotalcites were used as bifunctional catalysts for the microwave-assisted solvent-free synthesis of 4H-chromene derivatives by a three-component reaction from (hetero)aromatic aldehydes, malononitrile, and naphthol derivatives. Structures of 4H-chromenes 4 d and 4 g were studied and confirmed by single-crystal X-ray diffraction analysis. The heterogeneous catalysts were synthesized by the co-precipitation method incorporating divalent metal cations such as Ni2+ or Co2+ in LDH−Mg. This multicomponent protocol allows the synthesis of diverse 4H-chromenes in 88–95 % yields, reduced reaction time, high atom economy, broad substrate scope, and operational simplicity. The reusability of the catalyst up to five recycles without appreciable loss of its catalytic activity, make the present protocol sustainable and advantageous compared to conventional methods. © 2022 Wiley-VCH GmbH</t>
  </si>
  <si>
    <t>FAPA‐P18.160422.043; Consejo Nacional de Investigaciones Científicas y Técnicas, CONICET: PIP 0084; Agencia Nacional de Promoción Científica y Tecnológica, ANPCyT: 0409; Universidad Nacional de La Plata, UNLP: X732</t>
  </si>
  <si>
    <t>. E.N., A.G.S. and G.R. are grateful to CONICET (PIP 0084), UNLP (X732) and ANPCYT (0409) for financial support. Moreover, J.J.M., H.R. and J.‐C.C. acknowledge to Universidad Pedagógica y Tecnológica de Colombia for financial support. Ultimately, M.A.M. thanks the support of the Departamento de Química and Facultad de Ciencias at the Universidad de los Andes, Colombia (project FAPA‐P18.160422.043)</t>
  </si>
  <si>
    <t>Lange, J.P., (2021) Nat. Catal., 4, pp. 186-192; Koenig, S.G., Bee, C., Borovika, A., Briddell, C., Colberg, J., Humphrey, G.R., Kopach, M.E., Sneddon, H.F., (2019) ACS Sustainable Chem. Eng., 20, pp. 16937-16951; Hayler, J.D., Leahy, D.K., Simmons, E.M., (2019) Organometallics, 38, pp. 36-46; Bryan, M.C., Dunn, P.J., Entwistle, D., Gallou, F., Koenig, S.G., Hayler, J.D., Hickey, M.R., Weiberth, F.J., (2018) Green Chem., 20, pp. 5082-5103; Subramaniam, B., Helling, R.K., Bode, C.J., (2016) ACS Sustainable Chem. Eng., 4, pp. 5859-5865; Rodríguez-Montaña, A., Brijaldo, M.H., Rache, L.Y., Silva, L.P.C., Esteves, L.M., (2020) Ciencia en Desarrollo, 11, pp. 63-80; Younus, H.A., Al-Rashida, M., Hameed, A., Uroos, M., Salar, U., Rana, S., Khan, K.M., (2021) Expert Opin. Ther. Pat., 31, pp. 267-289; Insuasty, D., Castillo, J., Becerra, D., Rojas, H., Abonia, R., (2020) Molecules, 25, p. 505; Abonia, R., Castillo, J.C., (2018) Arkivoc, ii, pp. 170-191; Rotstein, B.H., Zaretsky, S., Rai, V., Yudin, A.K., (2014) Chem. Rev., 114, pp. 8323-8359; Dömling, A., Wang, W., Wang, K., (2012) Chem. Rev., 112, pp. 3083-3135; Costa, M., Dias, T.A., Brito, A., Proença, F., (2016) Eur. J. Med. Chem., 123, pp. 487-507; Chung, S.-T., Huang, W.-H., Huang, C.-K., Liu, F.-C., Huang, R.-Y., Wu, C.-C., Lee, A.-R., (2016) Res. Chem. Intermed., 42, pp. 1195-1215; Mirjalili, B.F., Zamani, L., Zomorodian, K., Khabnadideh, S., Haghighijoo, Z., Malakotikhah, Z., Ayatollahi Mousavi, S.A., Khojasteh, S., (2016) J. Mol. Struct., 1116, pp. 102-108; Pontes, O., Costa, M., Santos, F., Sampaio-Marques, B., Dias, T., Ludovico, P., Baltazar, F., Proença, F., (2018) Eur. J. Med. Chem., 157, pp. 101-114; Costa, M., Dias, T.A., Brito, A., Proença, F., (2016) Eur. J. Med. Chem., 123, pp. 487-507; Malefo, M.S., Ramadwa, T.E., Famuyide, I.M., McGaw, L.J., Eloff, J.N., Sonopo, M.S., Selepe, M.A., (2020) J. Nat. Prod., 83, pp. 2508-2517; Reis, J., Gaspar, A., Milhazes, N., Borges, F., (2017) J. Med. Chem., 60, pp. 7941-7957; Gaspar, A., Matos, M.J., Garrido, J., Uriarte, E., Borges, F., (2014) Chem. Rev., 114, pp. 4960-4992; Mamaghani, M., Nia, R.H., Tavakoli, F., Jahanshahi, P., (2018) Curr. Org. Chem., 22, pp. 1704-1769; Tashrifi, Z., Mohammadi-Khanaposhtani, M., Hamedifar, H., Larijani, B., Ansari, S., Mahdavi, M., (2020) Mol. Diversity, 24, pp. 1385-1431; Nagaraju, S., Paplal, B., Sathish, K., Giri, S., Kashinath, D., (2017) Tetrahedron Lett., 58, pp. 4200-4204; Chen, L., Lin, J., Chen, B., Zhao, L., (2017) Res. Chem. Intermed., 43, pp. 6691-6700; Dekamin, M.G., Eslami, M., (2014) Green Chem., 16, pp. 4914-4921; Indrasena, A., Riyaz, S., Naidu, A., Dubey, P., (2014) Asian J. Chem., 26, p. 2221; Khan, M.N., Pal, S., Karamthulla, S., Choudhury, L.H., (2014) RSC Adv., 4, pp. 3732-3741; Dekamin, M.G., Eslami, M., Maleki, A., (2013) Tetrahedron, 69, pp. 1074-1085; Balalaie, S., Bararjanian, M., Amani, A.M., Movassagh, B., (2006) Synlett, pp. 263-266; Jin, T.S., Zhang, J.S., Liu, L.B., Wang, A.Q., Li, T.S., (2006) Synth. Commun., 36, pp. 2009-2015; Das, D., (2021) Monatsh. Chem., 152, pp. 987-991; Khurana, J.M., Vij, K., (2013) Synth. Commun., 43, pp. 2294-2304; Bodhak, C., Kundu, A., Pramanik, A., (2015) RSC Adv., 5, pp. 85202-85213; Dandia, A., Parewa, V., Jain, A.K., Rathore, K.S., (2011) Green Chem., 13, pp. 2135-2145; Kumar, D., Reddy, V.B., Mishra, B.G., Rana, R.K., Nadagouda, M.N., Varma, R.S., (2007) Tetrahedron, 63, pp. 3093-3097; Baghbanian, S.M., Rezaei, N., Tashakkorian, H., (2013) Green Chem., 15, pp. 3446-3458; Kundu, S.K., Mondal, J., Bhaumik, A., (2013) Dalton Trans., 42, pp. 10515-10524; Heravi, M.M., Bakhtiari, K., Zadsirjan, V., Bamoharram, F.F., Heravi, O.M., (2007) Bioorg. Med. Chem. Lett., 17, pp. 4262-4265; Al-Matar, H.M., Khalil, K.D., Meier, H., Kolshorn, H., Elnagdi, M.H., (2018) Arkivoc, 16, pp. 288-301; Hershberger, J.C., Zhang, L., Lu, G., Malinakova, H.C., (2006) J. Org. Chem., 71, pp. 231-235; Shitole, N.V., Shelke, K.F., Sadaphal, S.A., Shingate, B.B., Shingare, M.S., (2010) Green Chem. Lett. Rev., 3, pp. 83-87; Maggi, R., Ballini, R., Sartori, G., Sartorio, R., (2004) Tetrahedron Lett., 45, pp. 2297-2299; Kale, S.R., Kahandal, S.S., Burange, A.S., Gawande, M.B., Jayaram, R.V., (2013) Catal. Sci. Technol., 3, pp. 2050-2056; Mohire, P.P., Chandam, D.R., Patil, R.B., Kumbhar, D.R., Jadhav, S.J., Patravale, A.A., Godase, V.P., Deshmukh, M.B., (2018) Heterocycl. Chem., 55, pp. 1010-1023; Padvi, S.A., Tayade, Y.A., Wagh, Y.B., Dalal, D.S., (2016) Chin. Chem. Lett., 27, pp. 714-720; Yi, F., Peng, Y., Song, G., (2005) Tetrahedron Lett., 46, pp. 3931-3933; Peng, Y., Song, G., (2007) Catal. Commun., 8, pp. 111-114; Salamat-Mamakani, J., Kafi-Ahmadi, L., Khademinia, S., (2021) Appl. Phys. A, 127, p. 279; González-Rodal, D., Palomino, G.T., Cabello, C.P., Pérez-Mayoral, E., (2021) Microporous Mesoporous Mater., 323; Khazaee, A., Jahanshahi, R., Sobhani, S., Skibsted, J., Sansano, J.M., (2020) Green Chem., 22, pp. 4604-4616; Reddy, S.S., Varyambath, A., Kalla, R.M.N., Song, W., Kim, I., (2021) ChemistrySelect, 6, pp. 2335-2342; Evans, D.G., Duan, X., (2006) Chem. Commun., 5, pp. 485-496; Kagunya, W., Hassan, Z., Jones, W., (1996) Inorg. Chem., 35, pp. 5970-5974; Chagas, L.H., De Carvalho, G.S.G., Do Carmo, W.R., San Gil, R.A.S., Chiaro, S.S.X., Leitão, A.A., Diniz, R., Achete, C.A., (2015) Mater. Res. Bull., 64, pp. 207-215; Hamadi, H., Gholami, M., Khoobi, M., (2011) Int. J Heterocycl. Chem., 1, pp. 23-34; Rajput, J.K., Kaur, G., (2014) Catal. Sci. Technol., 4, pp. 142-151; Moghaddam, F.M., Eslami, M., Hoda, G., (2020) Sci. Rep., 10, p. 20968; Salimi, M., Zamanpour, A., (2020) Inorg. Chem. Commun., 119; Nyaba, L., Munonde, T.S., Mpupa, A., Nomngongo, P.N., (2021) Sci. Rep., 11, p. 2302; Chen, C., Gunawan, P., Xu, R., (2011) J. Mater. Chem., 21, pp. 1218-1225; Shan, R.-R., Yan, L.-G., Yang, K., Yu, S.-J., Hao, Y.-F., Yu, H.-Q., Du, B., (2014) Chem. Eng. J., 252, pp. 38-46; Nope, E., Sathicq, A.G., Martínez, J.J., Rojas, H.A., Luque, R., Romanelli, G.P., (2020) Catalysts, 10, p. 70; Mi, F., Chen, X., Ma, Y., Yin, S., Yuan, F., Zhang, H., (2011) Chem. Commun., 47, pp. 12804-12806; Zhang, H., Zhang, G., Bi, X., Chen, X., (2013) J. Mater. Chem. A., 1, pp. 5934-5942; Zhang, F., Du, N., Zhang, R., Hou, W., (2012) Powder Technol., 228, pp. 250-253; Gu, Z., Atherton, J.J., Xu, Z.P., (2015) Chem. Commun., 51, pp. 3024-3036; Bi, X., Fan, T., Zhang, H., (2014) ACS Appl. Mater. Interfaces, 6, pp. 20498-20509; Yan, L.-G., Yang, K., Shan, R.-R., Yan, T., Wei, J., Yu, S.-J., Yu, H.-Q., Du, B., (2015) J. Colloid Interface Sci., 448, pp. 508-516; Velázquez-Herrera, F.D., González-Rodal, D., Fetter, G., Pérez-Mayoral, E., (2020) Microporous Mesoporous Mater., 309; Zhang, F., Du, N., Zhang, R., Hou, W., (2012) Powder Technol., 228, pp. 250-253; Adachi-Pagano, M., Forano, C., Besse, J.-P., (2003) J. Mater. Chem., 13, pp. 1988-1993; Shekoohi, K., Hosseini, F.S., Haghighi, A.H., Sahrayian, A., (2017) MethodsX, 4, pp. 86-94; Martínez, J.J., Nope, E., Rojas, H., Cubillos, J., Sathicq, A.G., Romanelli, G.P., (2014) Catal. Lett., 144, pp. 1322-1331; Shao, M., Ning, F., Zhao, J., Wei, M., Evans, D.G., Duan, X., (2012) J. Am. Chem. Soc., 134, pp. 1071-1077; Zhao, S., Yi, H., Tang, X., Kang, D., Yu, Q., Gao, F., Wang, J., Yang, Z., (2018) Mater. Chem. Phys., 205, pp. 35-43; Wang, D., Zhang, X., Liu, C., Cheng, T., Wei, W., Sun, Y., (2015) Appl. Catal. A, 505, pp. 478-486; Kalska-Szostko, B., Wykowska, U., Satula, D., Nordblad, P., (2015) Beilstein J. Nanotechnol., 6, pp. 1385-1396; Amirheidari, B., Seifi, M., Abaszadeh, M., (2016) Res. Chem. Intermed., 42, pp. 3413-3423; Liandi, A.R., Yunarti, R.T., Nurmawan, M.F., Cahyana, A.H., (2020) Mater. Today: Proc., 22, pp. 193-198; Kappe, C.O., Pieber, B., Dallinger, D., (2013) Angew. Chem. Int. Ed. Engl., 52, pp. 1088-1094; Kappe, C.O., (2013) Acc. Chem. Res., 46, pp. 1579-1587; Palermo, V., Sosa, A.A., Rivera, T.S., Pizzio, L.R., Romanelli, G.P., (2019) Org. Prep. Proced. Int., 51, pp. 443-455; Niknam, K., Borazjani, N., Rashidian, R., Jamali, A., (2013) Chin. J. Catal., 34, pp. 2245-2254; Fallah, M., Sohrabnezhad, S., Abedini, M., (2019) Appl. Organomet. Chem., 33; Heidarizadeh, F., Taheri, N., (2016) Res. Chem. Intermed., 42, pp. 3829-3846; Surpur, M.P., Kshirsagar, S., Samant, S.D., (2009) Tetrahedron Lett., 50, pp. 719-722; Andraos, J., (2005) Org. Process Res. Dev., 9, pp. 149-163; Andraos, J., (2016) ACS Sustainable Chem. Eng., 4, pp. 1917-1933</t>
  </si>
  <si>
    <t>Romanelli, G.; Centro de Investigación y Desarrollo en Ciencias Aplicadas “Dr. Jorge J. Ronco” (CINDECA-CCT La Plata-CONICET-CIC-PBA), Calle 47 No 257, Argentina; email: gpr@quimica.unlp.edu.ar</t>
  </si>
  <si>
    <t>2-s2.0-85126837771</t>
  </si>
  <si>
    <t>Becerra D., Portilla J., Cobo J., Castillo J.-C., Macías M.A.</t>
  </si>
  <si>
    <t>36912568700;8341447300;57205356629;27967485800;25121882000;</t>
  </si>
  <si>
    <t>The effect of molecular planarity and resonant effects on supramolecular structures of N-(5-pyrazolyl)imines by X-ray crystallographic analysis</t>
  </si>
  <si>
    <t>10.1016/j.molstruc.2021.132098</t>
  </si>
  <si>
    <t>https://www.scopus.com/inward/record.uri?eid=2-s2.0-85121106448&amp;doi=10.1016%2fj.molstruc.2021.132098&amp;partnerID=40&amp;md5=1f727729e636dec1329a2ec7c5022b9d</t>
  </si>
  <si>
    <t>Escuela de Ciencias Química, Universidad Pedagógica y Tecnológica de Colombia, Avenida Central del Norte 39-115, Tunja, 150003, Colombia; Bioorganic Compounds Research Group, Department of Chemistry, Universidad de los Andes, Carrera 1 No. 18A-10, Bogotá, 111711, Colombia; Departamento de Química Inorganica y Orgánica Campus las Lagunillas, Universidad de Jaén, Jaén, E-23071, Spain; Crystallography and Chemistry of Materials, CrisQuimMat, Department of Chemistry, Universidad de los Andes, Carrera 1 No. 18A-10, Bogotá, 111711, Colombia</t>
  </si>
  <si>
    <t>Becerra, D., Escuela de Ciencias Química, Universidad Pedagógica y Tecnológica de Colombia, Avenida Central del Norte 39-115, Tunja, 150003, Colombia; Portilla, J., Bioorganic Compounds Research Group, Department of Chemistry, Universidad de los Andes, Carrera 1 No. 18A-10, Bogotá, 111711, Colombia; Cobo, J., Departamento de Química Inorganica y Orgánica Campus las Lagunillas, Universidad de Jaén, Jaén, E-23071, Spain; Castillo, J.-C., Escuela de Ciencias Química, Universidad Pedagógica y Tecnológica de Colombia, Avenida Central del Norte 39-115, Tunja, 150003, Colombia, Bioorganic Compounds Research Group, Department of Chemistry, Universidad de los Andes, Carrera 1 No. 18A-10, Bogotá, 111711, Colombia; Macías, M.A., Crystallography and Chemistry of Materials, CrisQuimMat, Department of Chemistry, Universidad de los Andes, Carrera 1 No. 18A-10, Bogotá, 111711, Colombia</t>
  </si>
  <si>
    <t>A series of N-(5-pyrazolyl)imines 3 were synthesized in high yields (81–90%) by a solvent-free condensation reaction of 5-aminopyrazole derivatives 1 with arylaldehydes 2 under microwave irradiation. These compounds were recrystallized from methanol. X-ray diffraction analyses of N-(5-pyrazolyl)imines 3 show that substituents can affect the degree of electronic delocalization between phenyl and pyrazole rings through the bridging imine moiety. The resonance effect changes the dihedral angles of these planar rings generating conformations close or far from planarity. This effect influences the supramolecular assembly allowing or not short intermolecular hydrogen bonds involving the methoxy group in compounds 3a-c. Additionally, the degree of electronic delocalization is related to the acidic character of the hydrogen atoms in the methyl group bonded to the pyrazole ring facilitating or not the formation of short hydrogen bonds in 3a-c. In the case of 3d, the resonance effect of chlorine substituents allows the hydrogen atom in meta position to perform short intermolecular bonds. CE-B3LYP interaction energies show that, in the more planar molecules, dispersion forces act in higher proportion to build the crystals. © 2021 Elsevier B.V.</t>
  </si>
  <si>
    <t>5-aminopyrazole; Energy frameworks; Hirshfeld surface maps; N-(5-pyrazolyl)imine; Schiff base; X-ray crystallography</t>
  </si>
  <si>
    <t>Atoms; Condensation reactions; Hydrogen bonds; Microwave irradiation; Self assembly; Supramolecular chemistry; X ray crystallography; X ray diffraction analysis; 5-aminopyrazole; Electronic delocalization; Energy; Energy framework; Hirshfeld surface map; Hirshfeld surfaces; N-(5-pyrazolyl)imine; Pyrazolyl; Schiff-base; Surface map; Dihedral angle</t>
  </si>
  <si>
    <t>SGI-3073; Universidad de los Andes, Uniandes: FAPA-P18.160422.043, INV-2019–84–1800; Asociación Universitaria Iberoamericana de Postgrado, AUIP: 2112145, 2112150, 2112152, 2112153, 336033; Universidad de Jaén, UJA; Junta de Andalucía</t>
  </si>
  <si>
    <t>The authors thank Universidad de los Andes, Universidad Pedagógica y Tecnológica de Colombia, and Universidad de Jaén. M.A.M. and J.P. acknowledge support from the Facultad de Ciencias at the Universidad de los Andes (project number FAPA-P18.160422.043 and INV-2019–84–1800, respectively). D.B. and J.-C.C. acknowledge to the Dirección de Investigaciones at the Universidad Pedagógica y Tecnológica de Colombia (project number SGI-3073). J.C. acknowledges Universidad de Jaén and the Consejería de Economía, Innovación y Ciencia (Junta de Andalucía, Spain), and Centro de Instrumentation Científico-Técnico of the Universidad de Jaen (UJA) and its staff for the data collection. Ultimately, D.B. thanks to the Asociación Universitaria Iberoamericana de Postgrado for financial support.</t>
  </si>
  <si>
    <t>The authors thank Universidad de los Andes, Universidad Pedag?gica y Tecnol?gica de Colombia, and Universidad de Ja?n. M.A.M. and J.P. acknowledge support from the Facultad de Ciencias at the Universidad de los Andes (project number FAPA-P18.160422.043 and INV-2019?84?1800, respectively). D.B. and J.-C.C. acknowledge to the Direcci?n de Investigaciones at the Universidad Pedag?gica y Tecnol?gica de Colombia (project number SGI-3073). J.C. acknowledges Universidad de Ja?n and the Consejeri?a de Econom?a, Innovaci?n y Ciencia (Junta de Andaluc?a, Spain), and Centro de Instrumentation Cient?fico-T?cnico of the Universidad de Jaen (UJA) and its staff for the data collection. Ultimately, D.B. thanks to the Asociaci?n Universitaria Iberoamericana de Postgrado for financial support. Crystallographic data for the structural analysis have been deposited in the Cambridge Crystallographic Data Center, CCDC, with deposition numbers 2112145 (3a), 2112150 (3b), 2112152 (3c), 2112153 (3d). A copy of this information may be obtained free of charge from CCDC, 12 Union Road, Cambridge, CB2 1EZ, UK (Fax: +44?1223?336033; e-mail: deposit@ccdc.cam.ac.uk or http://www.ccdc.cam.ac.uk).</t>
  </si>
  <si>
    <t>Vitaku, E., Smith, D.T., Njardarson, J.T., Analysis of the structural diversity, substitution patterns, and frequency of nitrogen heterocycles among U.S. FDA approved pharmaceuticals (2014) J. Med. Chem., 57. , 10257−10274; Insuasty, B., Montoya, A., Becerra, D., Quiroga, J., Abonia, R., Robledo, S., Vélez, I.D., Cobo, J., Synthesis of novel analogs of 2-pyrazoline obtained from [(7-chloroquinolin-4-yl)amino]chalcones and hydrazine as potential antitumor and antimalarial agents (2013) Eur. J. Med. Chem., 67, pp. 252-262; Insuasty, B., Ramírez, J., Becerra, D., Echeverry, C., Quiroga, J., Abonia, R., Robledo, S.M., Cobo, J., An efficient synthesis of new caffeine-based chalcones, pyrazolines and pyrazolo[3,4-b][1,4]diazepines as potential antimalarial, antitrypanosomal and antileishmanial agents (2015) Eur. J. Med. Chem., 93, pp. 401-413; Khan, M.F., Alam, M.M., Verma, G., Akhtar, W., Akhter, M., Shaquiquzzaman, M., The therapeutic voyage of pyrazole and its analogs: a review (2016) Eur. J. Med. Chem., 120, pp. 170-201; Ansari, A., Ali, A., Asif, M., Shamsuzzaman, S., Review: biologically active pyrazole derivatives (2017) New J. Chem., 41, pp. 16-41; Bennani, F.E., Doudach, L., Cherrah, Y., Ramli, Y., Karrouchi, K., Ansar, M., Faouzi, M.E.A., Overview of recent developments of pyrazole derivatives as an anticancer agent in different cell line (2020) Bioorg. Chem., 97; Karrouchi, K., Radi, S., Ramli, Y., Taoufik, J., Mabkhot, Y.N., Al-aizari, F.A., Ansar, M., Synthesis and pharmacological activities of pyrazole derivatives: a review (2018) Molecules, 23, p. 134; Ahmad, G., Rasool, N., Qamar, M.U., Alam, M.M., Kosar, N., Mahmood, T., Imran, M., Facile synthesis of 4-aryl-N-(5-methyl-1H-pyrazol3-yl)benzamides via suzuki miyaura reaction: antibacterial activity against clinically isolated NDM-1-positive bacteria and their docking studies (2021) Arab. J. Chem., 14; Channar, P.A., Saeed, A., Larik, F.A., Batool, B., Kalsoom, S., Hasan, M.M., Erben, M.F., Ashraf, Z., Synthesis of aryl pyrazole via Suzuki coupling reaction, in vitro mushroom tyrosinase enzyme inhibition assay and in silico comparative molecular docking analysis with Kojic acid (2018) Bioorg. Chem., 79, pp. 293-300; Hurtado, J., Ibarra, L., Yepes, D., García-Huertas, P., Macías, M.A., Triana-Chavez, O., Nagles, E., Muñoz-Castro, A., Synthesis, crystal structure, catalytic and anti-Trypanosoma cruzi activity of a new chromium(III) complex containing bis(3,5-dimethylpyrazol-1-yl)methane (2017) J. Mol. Struct., pp. 365-372. , 1146; Fonseca, D., Páez, C., Ibarra, L., García-Huertas, P., Macías, M.A., Triana-Chávez, O., Hurtado, J.J., Metal complex derivatives of bis(pyrazol-1-yl)methane ligands: synthesis, characterization and anti-Trypanosoma cruzi activity (2019) Transit. Met. Chem., 44, pp. 135-144; Fonseca, D., Leal-Pinto, S.M., Roa-Cordero, M.V., Vargas, J.D., Moreno-Moreno, E.M., Macías, M.A., Suescun, L., Hurtado, J.J., Inhibition of C. albicans dimorphic switch by cobalt(II) complexes with ligands derived from pyrazoles and dinitrobenzoate: synthesis, characterization and biological activity (2019) Int. J. Mol. Sci., 20, p. 3237; Chen, X.-L., Yu, R., Zhang, Q.-K., Zhou, L.-J., Wu, X.-Y., Zhang, Q., Lu, C.-Z., Rational design of strongly blue-emitting cuprous complexes with thermally activated delayed fluorescence and application in solution-processed OLEDs (2013) Chem. Mater., 25, pp. 3910-3920; Xia, J.-B., Li, F.-Y., Yang, H., Li, X.-H., Huang, C.-H., A novel quasi-solid-state dye-sensitized solar cell based on monolayer capped nanoparticles framework materials (2007) J. Mater. Sci., 42, pp. 6412-6416; Tigreros, A., Macías, M., Portilla, J., Photophysical and crystallographic study of three integrated pyrazolo[1,5-a]pyrimidine–triphenylamine systems (2021) Dyes Pigm, 184; Orrego-Hernández, J., Portilla, J., Synthesis of dicyanovinyl-substituted 1-(2-pyridyl)pyrazoles: design of a fluorescent chemosensor for selective recognition of cyanide (2017) J. Org. Chem., 82, pp. 13376-13385; Garzón, L.-M., Portilla, J., Synthesis of novel D–π–A dyes for colorimetric cyanide sensing based on hemicyanine–functionalized N-(2-pyridyl)pyrazoles (2019) Eur. J. Org. Chem., 42, pp. 7079-7088; Castillo, J.-C., Portilla, J., Recent advances in the synthesis of new pyrazole derivatives (2018) Targets Heterocycl. Syst., 22, pp. 194-223; Charris-Molina, A., Castillo, J.-C., Macías, M., Portilla, J., One-step synthesis of fully functionalized pyrazolo[3,4-b]pyridines via isobenzofuranone ring opening (2017) J. Org. Chem., 82, pp. 12674-12681; Liu, X., Manzur, C., Novoa, N., Celedón, S., Carrillo, D., Hamon, J.-R.R., Multidentate unsymmetrically-substituted Schiff bases and their metal complexes: synthesis, functional materials properties, and applications to catalysis (2018) Coord. Chem. Rev., 357, pp. 144-172; Liu, X., Hamon, J.-R., Recent developments in penta-, hexa- and heptadentate Schiff base ligands and their metal complexes (2019) Coord. Chem. Rev., 389, pp. 94-118; Miroslaw, B., Homo- and hetero-oligonuclear complexes of platinum group metals (PGM) coordinated by imine Schiff base ligands (2020) Int. J. Mol. Sci., 21, p. 3493; Singh, K., Kumar, Y., Puri, P., Kumar, M., Sharma, C., Cobalt, nickel, copper and zinc complexes with 1,3-diphenyl-1H-pyrazole-4-carboxaldehyde Schiff bases: antimicrobial, spectroscopic, thermal and fluorescence studies (2012) Eur. J. Med. Chem., 52, pp. 313-321; Saha, N.C., Mandal, S., Das, M., Khatun, N., Mitra, D., Samanta, A., Slawin, A.M.Z., Saha, R., Synthesis, characterization, X-ray crystallography and antimicrobial activities of new Co(III) and Cu(II) complexes with a pyrazole based Schiff base ligand (2014) Polyhedron, 68, pp. 122-130; Mandal, S., Sadhukhan, R., Ghosh, U., Mandal, S., Saha, M., Butcher, R.J., Saha, N.C., Synthesis and characterization of two Cu(II) complexes with a new pyrazole-based Schiff base ligand: crystallography, DNA interaction and antimicrobial activity of Ni(II) and Cu(II) complexes (2016) J. Coord. Chem., 69, pp. 1618-1634; Mandal, S., Das, M., Das, P., Samanta, A., Butcher, R.J., Saha, M., Alswaidan, I.A., Saha, N.C., Synthesis, characterization, DFT and antimicrobial studies of transition metal ion complexes of a new Schiff base ligand, 5-methylpyrazole-3yl-N-(2-hydroxyphenylamine)methyleneimine (MPzOAP) (2019) J. Mol. Struct., 1178, pp. 100-111; Neethu, K.S., Jayanthi, E., Theetharappan, M., Bhuvanesh Nattamai, S.P., Neelakantan, M.A., Velusamy, K.M., Organoruthenium (II) complexes featuring pyrazole-linked Schiff base ligands: crystal structure, DNA/BSA interactions, cytotoxicity and molecular docking (2019) Appl. Organometal. Chem., 33, p. e4751; Lv, X.-H., Ren, Z.-L., Li, D.-D., Ruan, B.-F., Li, Q.-S., Chu, M.-J., Ai, C.-Y., Cao, H.-Q., Discovery of novel double pyrazole Schiff base derivatives as anti-tobacco mosaic virus (TMV) agents (2017) Chin. Chem. Lett., 28, pp. 377-382; Galvez, J., Castillo, J.-C., Quiroga, J., Rajzmann, M., Rodriguez, J., Coquerel, Y., Divergent chemo-, regio-, and diastereoselective normal electron-demand Povarov-type reactions with α-oxo-ketene dienophiles (2014) Org. Lett., 16, pp. 4126-4129; Castillo, J.C., Quiroga, J., Abonia, R., Rodriguez, J., Coquerel, Y., The aryne aza-Diels–Alder reaction: flexible syntheses of isoquinolines (2015) Org. Lett., 17, pp. 3374-3377; Moreno-Fuquen, R., Arango-Daraviña, K., Becerra, D., Castillo, J.-C., Kennedy, A.R., Macías, M.A., Catalyst- and solvent-free synthesis of 2-fluoro-N-(3-methyl­sulfanyl-1H-1,2,4-triazol-5-yl)benzamide through a microwave-assisted Fries rearrangement: x-ray structural and theoretical studies (2019) Acta Cryst, C75, pp. 359-371; Sheldrick, G.M., Crystal structure refinement with SHELXL (2015) Acta Crystallogr. Sect. C, 71, pp. 3-8; Macrae, C.F., Bruno, I.J., Chisholm, J.A., Edgington, P.R., McCabe, P., Pidcock, E., Rodriguez-Monge, L., Wood, P.A., Mercury CSD 2.0 - new features for the visualization and investigation of crystal structures (2008) J. Appl. Crystallogr., 41, pp. 466-470; Spackman, M.A., Jayatilaka, D., Hirshfeld surface analysis (2009) CrystEngComm, 11, pp. 19-32; Jayatilaka, D., Grimwood, D.J., Lee, A., Lemay, A., Russel, A.J., Taylor, C., Wolff, S.K., Whitton, A., (2005), http://hirshfeldsurface.net, TONTO–A system for computational chemistry. Available at:; Spackman, M.A., McKinnon, J.J., Jayatilaka, D., Electrostatic potentials mapped on Hirshfeld surfaces provide direct insight into intermolecular interactions in crystals (2008) CrystEngComm, 10, pp. 377-388; Mackenzie, C.F., Spackman, P.R., Jayatilaka, D., Spackman, M.A., CrystalExplorer model energies and energy frameworks: extension to metal coordination compounds, organic salts, solvates and open-shell systems (2017) IUCrJ, 4, pp. 575-587; Turner, M.J., McKinnon, J.J., Wolff, S.K., Grimwood, D.J., Spackman, P.R., Jayatilaka, D., Spackman, M.A., CrystalExplorer17 (2017), http://hirshfeldsurface.net/, University of Western Australia. Available at; Patil, R.D., Adimurthy, S., Catalytic methods for imine synthesis (2013) Asian J. Org. Chem., 2, pp. 726-744; Belowich, M.E., Stoddart, J.F., Dynamic imine chemistry (2012) Chem. Soc. Rev., 41, pp. 2003-2024; Channar, P.A., Saeed, A., Erben, M.F., Riaz, F.A.L.S., Florke, U., Arshad, M., Synthesis, conformational studies and NBO analysis of (4-chloro-3,5-dimethyl-1H-pyrazol- 1-yl)(p-tolyl)methanone (2019) J. Mol. Struct., 1191, pp. 152-157</t>
  </si>
  <si>
    <t>Castillo, J.-C.; Escuela de Ciencias Química, Avenida Central del Norte 39-115, Colombia</t>
  </si>
  <si>
    <t>2-s2.0-85121106448</t>
  </si>
  <si>
    <t>Serrano A., Tiuzo S., Martínez M.</t>
  </si>
  <si>
    <t>57193499353;57214465325;57214467572;</t>
  </si>
  <si>
    <t>Marketing strategies in colombian agricultural associations [Estrategias de mercadeo en asociaciones agropecuarias colombianas]</t>
  </si>
  <si>
    <t>10.52080/rvgluz.27.98.21</t>
  </si>
  <si>
    <t>https://www.scopus.com/inward/record.uri?eid=2-s2.0-85126299734&amp;doi=10.52080%2frvgluz.27.98.21&amp;partnerID=40&amp;md5=f2019b5d9b0c6191a0c6946c427c1359</t>
  </si>
  <si>
    <t>Escuela de Administración de Empresas Agropecuarias, Universidad Pedagógica y Tecnológica de Colombia, Colombia; Escuela de Administración de Empresas, Universidad Pedagógica y Tecnológica de Colombia, Colombia</t>
  </si>
  <si>
    <t>Serrano, A., Escuela de Administración de Empresas Agropecuarias, Universidad Pedagógica y Tecnológica de Colombia, Colombia; Tiuzo, S., Escuela de Administración de Empresas, Universidad Pedagógica y Tecnológica de Colombia, Colombia; Martínez, M., Escuela de Administración de Empresas, Universidad Pedagógica y Tecnológica de Colombia, Colombia</t>
  </si>
  <si>
    <t>The objective of this research was to analyze the marketing strategies in associations of the agricultural sector, focused on: product identification, life cycle, attributes, price strategies, advertising, place or distribution and marketing channels. A qualitative, documentary theoretical methodology was implemented, applied to two associations in the province of Sugamuxi and Tundama of the Department of Boyacá, Colombia. As a result, the most representative shortcomings exhibited by the agricultural sector were identified in the analysis, which requires the strengthening of distribution channels, advertising and prices. It was concluded that it is important that marketing strategies can improve the image of agricultural products and in the same way the competitiveness of this economic sector. © 2022, Universidad del Zulia. All rights reserved.</t>
  </si>
  <si>
    <t>Agricultural sector; Associations; Colombia; Marketing strategies</t>
  </si>
  <si>
    <t>advertising; agricultural market; life cycle analysis; marketing; price determination; product development; qualitative analysis; theoretical study; Boyaca; Colombia</t>
  </si>
  <si>
    <t>(2016) Asociatividad: Balance de las experiencias de cooperación internacional en Colombia 2010-2016, , https://www.apccolombia.gov.co/sites/default/files/archivos_usuario/publicaciones/asociatividad-baja.pdf; Alba, O. Y., Arévalo, G. H., Rojas, L. B., Associativity: An alternative to strengthen competitiveness (2018) Revista Sinapsis, 10 (1), pp. 45-53. , https://app.eam.edu.co/ojs/index.php/sinapis/article/view/174; Avella Castelblanco, J., Quisphi González, M., Cabra Delgado, A., Sierra Umaña, Y. L., Rueda Montañez, J. M., Rodríguez Gaitán, C. C., Martínez Dedios, A. N., (2018) Boyacá en cifras, año 2016-2017, , https://cctunja.org.co/wp-content/uploads/2021/03/BOYACA-EN-CIFRAS-2018.pdf, Yopal, Casanare: Centro de Desarrollo Tecnológico para la Sostenibilidad y Competitividad Regional C-Star; Castrillón González, N., Asociatividad: Estrategia de desarrollo para el sector rural productivo de Colombia (2019) Economía solidaria en Argentina definiciones, Experiencias y potencialidades. Revista Atlántida, pp. 99-117. , https://repository.ucc.edu.co/handle/20.500.12494/15509, García, A., &amp; Rofman, A. (abril de 2013); Estrada Martínez, M., Escobar Salazar, D., Desarrollo de huertos familiares por los adultos mayores guabeños de la provincia El Oro, Ecuador (2020) Cooperativismo y Desarrollo, 8 (2), pp. 349-361. , https://coodes.upr.edu.cu/index.php/coodes/article/view/301, Recuperado de; Grueso, M. P., Gómez, J. H., Garay, L., Procesos de asociatividad empresarial: Aproximaciones conceptuales e impacto económico, social y organizacional (2012) Borradores de Investigación: Serie documentos Administración, (44). , https://repository.urosario.edu.co/bitstream/handle/10336/3783/BI_44_5_2_10.pdf; Gutiérrez, L. M., Rodríguez, L. F., Bermúdez, L. T., Factibilidad de una comercializadora hortícola de economía solidaria en el Distrito de Riego del Alto Chicamocha (2013) Revista Colombiana de Ciencias Hortícolas, 7 (1), pp. 62-74. , https://doi.org/10.17584/rcch.2013v7i1.2036; Keller, K. L., Kotler, P., (2012) Dirección de marketing, , http://148.202.167.116:8080/xmlui/handle/123456789/3652; Kotler, P., (2007) Dirección de marketing, , Editorial Pearson; Landini, F., Problemas de la extensión rural en América Latina (2016) Perfiles Latinoamericanos, 24 (47), pp. 47-68. , https://doi.org/10.18504/pl2447-005-2016; Luque, F. V., Lozano, L. A. H., Quiroz, A. F. B., Las Tendencias del Marketing: Cuales son y definiciones (2017) RECIMUNDO: Revista Científica de la Investigación y el Conocimiento, 1 (5), pp. 974-988. , https://dialnet.unirioja.es/servlet/articulo?codigo=6732812; Marin, Y. F., Mazo, N., Olivo, V. C., (2015) Diseño e implementación de un siistema de información geográfico orientado a la web para la gestión agrícola municipal, , https://ridum.umanizales.edu.co/xmlui/bitstream/handle/20.500.12746/2621/Marin_Mazo_Olivo_2016.pdf?sequence=1, [Trabajo de Grado presentado como opción parcial para optar al título de Especialista en Información Geográfica. Universidad de Manizales]; Martínez, G., Flóres, D., Bravo, N., Desarrollo de un sistema web y móvil para la gestión de cultivos agrícolas (2017) Trilogía Ciencia Tecnología Sociedad, 10 (18), pp. 151-166. , https://www.redalyc.org/journal/5343/534367758010/html/; (2021) Liniemientos de politica publica para la asociatividad rural productiva; (2021) Sector agropecuario en Colombia, , https://www.minagricultura.gov.co/noticias/Paginas/El-sector-agropecuario-creci%C3%B3-6,8-e-impuls%C3%B3-la-econom%C3%ADa-colombiana-en-el-primer-trimestre-de-2020-.aspx; (2017) Resolución No 464 de 2017, p. 179; Montaña, Z. E., (2016) Estudio de mercado para los productos Hortícolas del programa de agricultura familiar en el municipio de Duitama (Número June), , http://repositorio.uptc.edu.co/handle/001/1932, Universidad Pedagógica y Tecnológica de Colombia; Morales Ramírez, M. Y., Estrategias de mercadeo de las PYMEs del sector confección de la región zuliana (2006) Multiciencias, 6 (1). , https://www.redalyc.org/pdf/904/90460102.pdf; Moreno, K., Proyecto empresarial “estudio de factibilidad para la produccion de hortalizas en la zona rural del municipio de tabio cundinamarca” (2008) Applied Microbiology and Biotechnology, 85 (1). , https://doi.org/10.1016/j.bbapap.2013.06.007; Nope, C., Melo, M. M., Rodríguez, L. F., Plan estratégico de mercadeo para el fomento de la producción de plantas medicinales y aromáticas de Asoplames (Nuevo Colón, Boyacá) (2008) Agronomía Colombiana, 26 (1), pp. 155-164. , http://www.scielo.org.co/scielo.php?pid=S0120-99652008000100018&amp;script=sci_abstract&amp;tlng=es; Ochoa, E., (2016) Diseño de un Software para Asociaciones de Productores Frutícolas en la Provincia del Tundama, , https://repositorio.uptc.edu.co/bitstream/001/1930/1/TGT-458.pdf, [Trabajo de grado modalidad monografía para optar al título de Administrador de empresas agropecuarias. Universidad Pedagógica y Tecnológica De Colombia]; Pacheco, M. C., Rodríguez, L. F., Bermúdez, L. T., Plan estratégico de mercadeo para la cadena hortícola en el Distrito de riego del Alto Chicamocha (2006) Agronomía Colombiana, 24 (1), pp. 147-157. , https://revistas.unal.edu.co/index.php/agrocol/article/view/20017; Romero Zúñiga, C. M., Mendoza Cataño, C., Mejia González, L. P., Logística en los canales de distribución de marketing en las empresas de artesanías wayuu (2018) Revista Espacios, 39 (47). , http://www.revistaespacios.com/a18v39n47/a18v39n47p02.pdf, Y; Saldarriaga Díaz, J. M., Vélez Zapata, C., Betancur Ramírez, G., Estrategias de mercadeo de los vendedores ambulantes (2016), https://doi.org/10.22395/seec.v19n39a7, Universidad Pontificia Bolivariana, U. P. B., Universidad Pontificia Bolivariana, U. P. B Universidad Pontificia Bolivariana, U. P. B. Semestre Económico; Sanabria Torresa, E., Parra Penagos, C. O., Caracterización del comprador sogamoseño en súper e hipermercados (2013) Estudios Gerenciales, 29, pp. 49-57. , http://www.scielo.org.co/pdf/eg/v29n126/v29n126a07.pdf; Serrano Amado, A. M., Martinez Bernal, M. S., Tiuzo, S. C., Pineda Calixto, D. Y., Propuesta de asociatividad para productores hortícolas en Colombia (2020) Revista Espacio, 41 (49). , https://revistaespacios.com/a20v41n49/a20v41n49p27.pdf; Serrano, A. M., Martinez, M. S., Tiuzo, S. C., Pinedo, D. Y., Propuesta de asociatividad para productores hortícolas en Colombia (2020) Revista Espacios, 41 (49). , https://doi.org/10.48082/espacios-a20v41n49p27; Steiner, R., Ramírez, T., (2019) Análisis de experiencias de modelos asociativos como mecanismo para el desarrollo empresarial en la ruralidad, , https://www.repository.fedesarrollo.org.co/handle/11445/3784; Thompson, I., (2005) La Mezcla de Mercadotecnia, , https://www.promonegocios.net/mercadotecnia/mezcla-mercadotecnia-mix.htm; Yamagishi, K., Sañosa, A. R., de Ocampo, M., Ocampo, L., Strategic marketing initiatives for small cooperative enterprises generated from SWOT-TOWS analysis and evaluated with PROMETHEE-GAIA (2021) Journal of Co-Operative Organization and Management, 9 (2), p. 100149. , https://doi.org/10.1016/j.jcom.2021.100149</t>
  </si>
  <si>
    <t>2-s2.0-85126299734</t>
  </si>
  <si>
    <t>Buenhombre Vasquez M.A., Mariño Becerra G.Y.</t>
  </si>
  <si>
    <t>57487859900;57219802286;</t>
  </si>
  <si>
    <t>Associativity as a productivity and competitiveness strategy in the agricultural sector [Asociatividad como estrategia de productividad y competitividad del sector agrícola]</t>
  </si>
  <si>
    <t>10.52080/rvgluz.27.98.15</t>
  </si>
  <si>
    <t>https://www.scopus.com/inward/record.uri?eid=2-s2.0-85126294765&amp;doi=10.52080%2frvgluz.27.98.15&amp;partnerID=40&amp;md5=62c7e21d473a38d410c3d2b8173b96b0</t>
  </si>
  <si>
    <t>Universidad de La Salle, Bogotá, Colombia; Universidad Pedagógica y Tecnológica de Colombia UPTC, Tunja, Colombia</t>
  </si>
  <si>
    <t>Buenhombre Vasquez, M.A., Universidad de La Salle, Bogotá, Colombia; Mariño Becerra, G.Y., Universidad Pedagógica y Tecnológica de Colombia UPTC, Tunja, Colombia</t>
  </si>
  <si>
    <t>The objective of the research is to characterize the forms of associativity and their impact on the productivity and competitiveness of the agricultural sector. The subject is approached from a theoretical, casuistic and participatory point of view for the case of guava production in the province of Vélez, Santander-Colombia. It is studied from the conception and experience of the managers of four associative organizations, grouping about 80 associates, around three variables: characterization of associativity and solidarity organizations, impact of associativity on the productivity and competitiveness of the sector, and benefits of the associative dynamics. The results show that small producers see associativity as the main alternative for solving their productivity and competitiveness problems. Associativity has had an impact on the sector with the recovery of the hegemony of the crop, advances in productivity, technification and quality of the crop; however, it can only be considered incipient given the shortcomings in business vision, strategy, planning, operation, finance and marketing that lead to favoring a short-term dynamic and dependence on government support, which makes it difficult to advance in terms of competitiveness. It is concluded that there are no notable differences in the characteristics and structures of the associations studied; likewise, it is established that productivity has improved, but in terms of product competitiveness, it is still necessary to generate more and better strategies. The results invite to deepen in the identification of business models that promote associativity as a strategy for competitiveness and development. © 2022, Universidad del Zulia. All rights reserved.</t>
  </si>
  <si>
    <t>Associativity; Colombia; Competitiveness; Rural development</t>
  </si>
  <si>
    <t>agricultural worker; competitiveness; fruit production; productivity; rural development; strategic approach; Colombia; Santander [Colombia]</t>
  </si>
  <si>
    <t>Abebaw, D., Haile, M.G., The Impact of Cooperatives on Agricultural Technology Adoption: Empirical Evidence from Ethiopia (2013) Food Policy, 38, pp. 82-91; Ajates, R., Agricultural cooperatives remaining competitive in a globalised food system: At what cost to members, the cooperative movement and food sustainability? (2020) Organization, 27 (2). , https://https://discovery.dundee.ac.uk/ws/files/40500161/Agricultural_cooperatives_Organization_SI_paper_Final_version_published_27.11.19.pdf; Altman, M., Workers Cooperatives as an Alternative Competitive Organizational Form (2006) Advances in the Economic Analysis of Participatory and Labor-Managed Firms, 9, pp. 213-235; Anttila, J., Jussila, K., Kajava, J., Kamaja, I., Integrating ISO/ IEC 27001 and other managerial discipline standards with processes of management in organizations (2012) Proceedings-2012 7th International Conference on Availability, Reliability and Security, , https://https://ieeexplore.ieee.org/document/6329214, St. Petersburg; Benos, T., Kalogeras, N., Verhees, F. J. H. M., Sergaki, P., Pennings, J. M. E., Cooperatives’ Organizational Restructuring, Strategic Attributes, and Performance: The Case of Agribusiness Cooperatives in Greece (2016) Agribusiness, 32 (1), pp. 127-150. , https://onlinelibrary.wiley.com/doi/10.1002/agr.21429; Brandão, J. B., Breitenbach, R., What are the main problems in the management of rural cooperatives in Southern Brazil? (2019) Land Use Policy, 85, p. 121. , https://www.sciencedirect.com/science/article/abs/pii/S0264837718308810; Carrillo, A., Las organizaciones gremiales del sector agrario y su influencia en la política sectorial. un análisis en el contexto de la transición económica (2009) Revista Colombiana de Sociología, 6 (1). , https://repositorio.unal.edu.co/handle/unal/25147; Castellano, N., Díaz, B., Tecnologías de información y comunicación en la sociedad del conocimiento (2020) Negotium, 47, pp. 5-12. , www.revistanegotium.org; CEFOF, C., Costa Rica crecerá a través del incremento de la productividad. Plan Nacional de Productividad (2014) TEC Empresarial, 8, pp. 41-49; Chagwiza, C., Muradian, R., Ruben, R., Cooperative membership and dairy performance among smallholders in Ethiopia (2016) Food Policy, 59, pp. 165-173. , https://www.sciencedirect.com/science/article/abs/pii/S0306919216000178?via%3Dihub; Clegg, S., Ibarra, E., Bueno, L., Global Management: Universal Theories and Local Realities (2014) Global Management: Universal Theories and Local Realities, , https://sk.sagepub.com/books/globalmanagement; Correa, C., Arboleda, O., Las organizaciones de economía solidaria: Un modelo de gestión innovador (2006) Cuadernos de Administración, 34, pp. 97-110. , https://redalyc.org/pdf/225020897004.pdf; Craviotti, C., Agricultura familiar-Agronegocios: disputas, interrelaciones y proyectos (2014) Territorios, 30 (6). , https://revistas.urosario.edu.co/index.php/territorios/article/view/3107/2471; Cruz, M., Sánchez, F., Sánchez, M., Aprendizaje individual, social y competitividad: Aplicación a la Acuicultura en España (2013) Revista de Ciencias Sociales (RCS), XIX (3), pp. 457-471; De Venanzi, A., La teoría corporativa del sistema mundo (2002) globalización y corporación el orden social en el siglo XXI, , En: Ed. Anthropos; Emery, S. B., Forney, J., Wynne-Jones, S., The more-than-economic dimensions of cooperation in food production (2017) Journal of Rural Studies, 53, p. 229. , https://www.sciencedirect.com/science/article/abs/pii/S074301671730493X?via%3Dihub; Fajardo, C., Cabal, C., Donneys, O., La economía solidaria: de lo legal a la formación integral (2008) Criterio Libre, (9), pp. 47-72. , https://dialnet.unirioja.es/descarga/articulo/4547093.pdf; Fayol, H., (1930) Industrial and general administration, , https:///www.jstor.org/stable/258475?origin=crossref, Sir I. Pitman &amp; Sons; Getnet, K., Kefyalew, G., Berhanu, W., On the power and influence of the cooperative institution: Does it secure competitive producer prices? (2018) World Development Perspectives, 5, pp. 120-150. , https://https://www.sciencedirect.com/science/article/abs/pii/S2452292916300868?via%3Dihub; Hooks, T., McCarthy, O., Power, C., Macken-Walsh, A cooperative business approach in a values-based supply chain: A case study of a beef cooperative (2017) Journal of Co-Operative Organization and Management, 5 (2). , https://www.sciencedirect.com/science/article/abs/pii/S2213297X17300848?via%3Dihub; Lombana, J., Rozas, G. S., Marco analítico de la competitividad: Fundamentos para el estudio de la competitividad regional (2009) Pensamiento y Gestión, 26. , http://www.scielo.org.co/scielo.php?script=sci_arttex-t&amp;pid=S1657-62762009000100002; (2018) Indicadores e instrumentos de la cadena de la guayaba 2018, , https://sioc.minagricultura.gov.co/Guayaba/Documentos/2018-09-30%20Cifras%20Sectoriales.pdf; (2020) El sector agropecuario creció 6,8% e impulsó la economía colombiana en el primer trimestre de 2020, , https://www.minagricultura.gov.co/noticias/Paginas/El-sector-agropecuario-creci%C3%B3-6,8-e-impuls%C3%B3-la-econom%C3%ADa-colombiana-en-el-primer-trimestre-de-2020-.aspx, Ministerio de agricultura; Mojo, D., Fischer, C., Degefa, T., The determinants and economic impacts of membership in coffee farmer cooperatives: recent evidence from rural Ethiopia (2017) Journal of Rural Studies, 50, pp. 84-89. , https://www.sciencedirect.com/science/article/abs/pii/S0743016716307380?via%3Dihub; Morales, C., Masis, A., La Medición de la Productividad del Valor Agregado: Una aplicación empírica en una cooperativa agroalimentaria de Costa Rica (2014) Tec Empresarial, 8 (2). , https://dialnet.unirioja.es/servlet/articulo?codigo=4808514; Orrego, C., Arboleda, L., Las Organizaciones de Economía Solidaria: Un Modelo de Gestión Innovador (2006) Cuadernos de Administración, 34, pp. 97-110. , https://www.redalyc.org/pdf/2250/225020897004.pdf; Paranjothi, T., Karanjkar, A., Cooperatives: a panacea for rural population: A case study with reference to Rajarambapu Patil Sahkari Sakhar Karkhana Ltd in Maharashtra (2020) Journal Waking the Asian Pacific Co-Operative Potential, 2 (137). , https://www.sciencedirect.com/science/article/pii/B9780128166666000124?via%3Di-hub; Pérez, D., Incidencia de las Técnicas de Gestión en la mejora de las decisiones administrativas (2016) RETOS. Revista de Ciencias de la Administración y Economía, 6 (12), pp. 199-213. , https://www.redalyc.org/journal/5045/504551172005/html/; Porter, M. E., (2007) La Ventaja Competitiva De Las Naciones, , https://www.sciencedirect.com/science/article/abs/pii/S0439568914000102?via%3Dihub, Harvard Business School; Poulton, C., Dorward, A., Kydd, J., The Future of Small Farms: New Directions for Services, Institutions, and Intermediation (2010) World Development, 38. , https://www.sciencedirect.com/science/article/abs/pii/S0305750X10000987?via%3Dihub; Quiñones, C, Laverde, L., Construcción participativa de modelos de negocios en organizaciones rurales (2019) Telos, 21 (3), pp. 776-794. , https://doi.org/10.36390/telos213.14; Quiroga-Parra, D. J., Torrent-Sellens, J., Las nuevas fuentes de productividad en América Latina y la OCDE (2015) IN3 Working Paper Series, 14. , https://repository.ucc.edu.co/handle/20.500.12494/1382, (009); Rios, M, Rivera, M., Redefining rural prosperity through social learning in the cooperative sector: 25 years of experience from organic agriculture in Spain (2016) Journal Land use policy, 54, pp. 85-94. , https://www.sciencedirect.com/science/article/abs/pii/S026483771600034X?via%3Dihub; Robinson, J., Acemoglu, D., (2012) Por Qué Fracasan Los Países, , Bogota, Ediciones Deusto; Syrquin, M., Patterns of structural change (1988) Handbook of Development, pp. 203-273. , https://www.sciencedirect.com/science/article/abs/pii/S1573447188010101?via%3Dihub; Szeląg, A., Cupiał, M., Niemiec, M., Productivity of Farms in the Aspect of Various Activity Forms (2015) Agriculture and Agricultural Science Procedia, 7, pp. 94-98. , https://www.sciencedirect.com/science/article/pii/S2210784315300437?via%3Dihub; Tregear, A., Cooper, S., Embeddedness, social capital and learning in rural areas: The case of producer cooperatives (2016) Journal of Rural Studies, 44, pp. 101-110. , https://www.researchgate.net/publication/292190122; Yin, R. K., The Abridged Version of Case Study Research-Design and Method (1998) Handbook of Applied Social Research Methods</t>
  </si>
  <si>
    <t>2-s2.0-85126294765</t>
  </si>
  <si>
    <t>Martínez G.A.</t>
  </si>
  <si>
    <t>57937966200;</t>
  </si>
  <si>
    <t>Creation’s Poetics and Musical Foundation in Antonio Gamoneda’s Voice from his “mudanza” of The Flower Songs of Nezahualcoyotl [Poética de criação e fundação musical na voz de Antonio Gamoneda da sua “mudanza” do Cantos del rey Nezahualcóyotl] [Poética de la creación y fundamento musical en la voz de Antonio Gamoneda a partir de su “mudanza” de los Cantos del rey Nezahualcóyotl]</t>
  </si>
  <si>
    <t>e14392</t>
  </si>
  <si>
    <t>10.19053/01218530.n42.2022.14392</t>
  </si>
  <si>
    <t>https://www.scopus.com/inward/record.uri?eid=2-s2.0-85140412736&amp;doi=10.19053%2f01218530.n42.2022.14392&amp;partnerID=40&amp;md5=c186eda7e2692d0361f6eca5e69a62df</t>
  </si>
  <si>
    <t>Facultad de Filología, Universidad Complutense de Madrid, Spain</t>
  </si>
  <si>
    <t>Martínez, G.A., Facultad de Filología, Universidad Complutense de Madrid, Spain</t>
  </si>
  <si>
    <t>In 2016 Antonio Gamoneda published his translations (“mudanzas”) of some of the poems written by the king-poet Nezahualcoyotl. This paper links Gamoneda’s translation experience with one of reanimation of the word. The poet, as a shaman, gives the language its energy back. In other words, he revives it as if it were a living being. This exercise suggests a reawakening of the melodic properties of the voice as a first step carried out by the translator before reaching the final form of the words. The structure of the following pages will be given by key aspects/terms as cultic function, pharmakon, the nature of the poet or the dialectics between two different models of language. © 2022, Universidad Pedagogica y Tecnologica de Colombia. All rights reserved.</t>
  </si>
  <si>
    <t>contemporary poetry; Gamoneda; musicality; nahuas; Nezahualcoyotl; poetic translation</t>
  </si>
  <si>
    <t>Ministerio de Ciencia e Innovación, MICINN: PID2021-125022NB-I00</t>
  </si>
  <si>
    <t>Artículo de reflexión. Este artículo es un resultado de +PoeMAS, “MÁS POEsía para MÁS gente. La poesía en la música popular contemporánea”, proyecto de investigación con financiación del Ministerio de Ciencia e Innovación (PID2021-125022NB-I00), coordinado en la UNED por Clara I. Martínez Cantón y Guillermo Laín Corona, entre enero de 2022 y diciembre de 2024.</t>
  </si>
  <si>
    <t>Colli, Giorgio, (2004) Filosofía de la expresión, , Madrid, Siruela, Impreso; Florenski, Pável, (2010) La columna y el fundamento de la verdad, , Salamanca, Sígueme, Impreso; Gadamer, Hans-Georg, (2006) Estética y hermenéutica, , Madrid, Tecnos, Impreso; Gamoneda, Antonio, (2004) Esta luz, I. , Barcelona, Galaxia Gutenberg, Impreso; Gamoneda, Antonio, (2019) Esta luz, II. , Barcelona, Galaxia Gutenberg, Impreso; Gonzalo Carbó, Antoni, Exceso de luz blanca que mata: de la ‘blanca agonía’ (Mallarmé) a la ‘blancura mortal’ (Antonio Gamoneda) (2015) Erebea, 5, pp. 155-185. , https://doi.org/10.33776/erebea.v5i0.2689, Web. 25 de mayo de 2022; Gonzalo Carbó, Antoni, Tanatología Mística: S. Mallarmé, H. Michaux, G. Scelsi (2020) BRAC: Barcelona, Recerca, Art, Creació, 8 (1), pp. 61-88. , https://doi.org/10.17583/brac.2020.4031, Web. 25 de mayo de 2022; Jaspers, Karl, (2016) Origen y meta de la historia, , Barcelona, Acantilado, Impreso; Kierkegaard, Søren, (2005) Tratado de la desesperación, , Buenos Aires, Leviatán, Impreso; Lévi-Strauss, Claude, (1962) El pensamiento salvaje, , México D.F., Fondo de Cultura Económica, Impreso; Martínez, José Luis, (1972) Nezahualcóyotl. Vida y obra, , México D.F., Fondo de Cultura Económica, Impreso; Martínez González, Roberto, El ihiyotl, la sombra y las almas-aliento en Mesoamérica (2006) Cuicuilco, 13 (38), pp. 177-199. , https://www.redalyc.org/articulo.oa?id=35103810, Web. 25 de mayo de 2022; Palomo, Carmen, (2007) Antonio Gamoneda: Límites, , https://buleria.unileon.es/bitstream/handle/10612/7717/TESIS%20COMPLETA%20CPalomo.pdf;jsessionid=0BFF63CBFB04BA94583F31845F9AF42A?sequence=1, [Tesis doctoral, Universidad de León]. Buleria. Repositorio Institucional Abierto. Web. 20 de mayo de 2022; Ramón, Andrés, (2012) Diccionario de música, mitología, magia y religión, , Barcelona, Acantilado, Impreso; (2008) Los filósofos presocráticos I, , VV. AA. Madrid, Gredos, Impreso; Yeats, William Butler, (2010) Poesía reunida, , Valencia, Pre-Textos, Impreso</t>
  </si>
  <si>
    <t>Martínez, G.A.; Facultad de Filología, Spain; email: guillermo.a.m@ucm.es</t>
  </si>
  <si>
    <t>2-s2.0-85140412736</t>
  </si>
  <si>
    <t>Retamal P.F.</t>
  </si>
  <si>
    <t>55975553200;</t>
  </si>
  <si>
    <t>An unusual discursive relation: the influence of Cat Stevens’ Buddha and the Chocolate Box on Enrique Lafourcade’s Buddha y los chocolates envenenados. [Uma relação discursiva incomum: a influência de Buddha and the Chocolate Box de Cat Stevens em Buddha y los chocolates envenenados de Enrique Lafourcade] [Una relación discursiva inusual: la influencia de Buddha and the Chocolate Box de Cat Stevens en Buddha y los chocolates envenenados de Enrique Lafourcade*]</t>
  </si>
  <si>
    <t>e14321</t>
  </si>
  <si>
    <t>10.19053/01218530.n42.2022.14321</t>
  </si>
  <si>
    <t>https://www.scopus.com/inward/record.uri?eid=2-s2.0-85140400825&amp;doi=10.19053%2f01218530.n42.2022.14321&amp;partnerID=40&amp;md5=ff08df5e7818caf9705b4e4a1427e8df</t>
  </si>
  <si>
    <t>Universidad de Concepción, Campus Los Ángeles, Chile</t>
  </si>
  <si>
    <t>Retamal, P.F., Universidad de Concepción, Campus Los Ángeles, Chile</t>
  </si>
  <si>
    <t>This article offers an interpretation of the novel Buddha y los chocolates envenenados (1997) by the Chilean writer Enrique Lafourcade, in relation with the music album Buddha and the Chocolate Box (1974) by the singer-songwriter Cat Stevens. The methodology, firstly, identifies the literary devices chosen by the storyteller to stablish discursive bonds with Stevens’s work, then, explains how these stylistic procedures take place in the plot. This plan of action lets prove how, and, to what extent, Steven’s production influenced the writer’s novel. The contribution of this case study aims to start a line of research which, until now, had not been explored by the literary critics. Finally, some projections are proposed whose execution will let determine the importance of Lafourcade’s musical imaginary in his own narrative work. © 2022, Universidad Pedagogica y Tecnologica de Colombia. All rights reserved.</t>
  </si>
  <si>
    <t>Buddha and the Chocolate Box; Buddha y los chocolates envenenados; Cat Stevens; Chilean literature; Enrique Lafourcade</t>
  </si>
  <si>
    <t>Aguirre, Mariano, (2010) Razones de un lector. Veinte años de crítica literaria, , Santiago de Chile, Ril editores, Impreso; Barthes, Roland, (2004), S/Z. Ciudad de México, Siglo Veintiuno Editores, Impreso; Becerra, Abril, Lafourcade, el niño terrible de la literatura chilena (2019) DiarioUchile, , https://radio.uchile.cl/2019/07/29/lafourcade-el-nino-terrible-de-la-literatura-chilena/, 29 de julio de Web. 10 de mayo de 2022; Franz, Carlos, La gran novela (homenaje a Lafourcade) (2019) El periodista, , https://www.elperiodista.cl/2019/08/carlos-franz-la-gran-novela-homenaje-a-lafourcade/, 27 de agosto de Web. 10 de mayo de 2022; Fuguet, Alberto, (2020) Despachos del fin del mundo, , Santiago de Chile, Penguin Random House, Impreso; Garrido, Diana, 11 portadas de discos que no sabías que eran grandes obras de arte (2017) Cultura Colectiva, , https://culturacolectiva.com/arte/portadas-de-discos-que-son-obras-de-arte/, 11 de agosto de Web. 10 de mayo de 2022; Garza, Roberto, Buda y la caja de chocolates (2009) El semanal, , https://www.jornada.com.mx/2009/03/08/semroberto.html, 8 de marzo de Web. 10 de mayo de 2022; Godoy, Eduardo, (1992) La generación del 50 en Chile: historia de un movimiento literario (narrativa), , Santiago de Chile, Editorial La Noria, Impreso; Genette, Gérard, (1989) Palimpsestos: la literatura en segundo grado, , Madrid, Taurus, Impreso; Genette, Gérard, (2001) Umbrales, , Ciudad de México, Siglo Veintiuno Editores, Impreso; Guerrero, Pedro, Muere Enrique Lafourcade, prolífico novelista y animador cultural (2019) El Mercurio, , https://web.archive.org/web/20190730130926/https://merreader.emol.cl/2019/07/30/content/pages/img/big/BR3KRVE8.webp?gt=050001, 30 de julio de Web. 2 de junio de 2022; Hamon, Philippe, (1984) Introducción al análisis de lo descriptivo, , Buenos Aires, Edicial, Impreso; Jouffé, André, Lafourcade, Buddha, chocolates y envenenados (1977) El Diario Austral, , http://www.bibliotecanacionaldigital.gob.cl/bnd/628/w3-article-329046.html, 6 de noviembre de Web. 2 de junio de 2022; Lafourcade, Enrique, (1977) Buddha y los chocolates envenenados, , Santiago de Chile, Ediciones Universitarias de Valparaíso, Impreso; Lafourcade, Enrique, (1987) Los hijos del arcoíris, , Santiago de Chile, Galinost, Impreso; Lafourcade, Enrique, Aullidos, susurros y gemidos (1990) El Mercurio, pp. 22-24. , 23 de septiembre de Impreso; Lafourcade, Enrique, (2007) Palomita blanca, , Santiago de Chile, Zig-Zag, Impreso; Maslin, Janet, Buddha and the chocolate box (1974) Rolling Stone, , https://www.rollingstone.com/music/music-albumreviews/buddha-and-the-chocolate-box-255439/, 23 de mayo de Web. 10 de mayo de 2022; Pimentel, Luz, (2001) El espacio en la ficción, , Ciudad de México, Siglo Veintiuno Editores, Impreso; Planet, Gonzalo, (2004) Se oyen los pasos: la historia de los primeros años del rock en Chile. Del beat y la psicodelia al folk rock (1964-1973), , Santiago de Chile, Lom Ediciones, Impreso; Quiñones, Juan, Buddha y los chocolates envenenados (1977) Paula, 259, p. 13. , 6 de diciembre de Impreso; Rojas, Luis, Enrique Lafourcade (2000) Las más importantes biografías del mundo, pp. 387-388. , Santiago de Chile, Cantaclaro, Impreso; Stevens, Cat, Buddha and the chocolate box (1974) Island records, , Album musical; Sontag, Susan, (2006) Sobre la fotografía, , Ciudad de México, Alfaguara, Impreso; Sierra, Malú, Enrique Lafourcade, escritor y despotricador (2013) Historias de Paula. Antología de reportajes y entrevistas, p. 7786. , Santiago de Chile, Catalonia, Impreso; Solar, Claudio, Buddha y los chocolates envenenados (1977) La Estrella, p. 2. , 29 de noviembre de Impreso; Warnken, Cristián, Enrique Lafourcade: no hay olvido (2019) El Mercurio, , 1 de agosto de Impreso</t>
  </si>
  <si>
    <t>Retamal, P.F.; Universidad de Concepción, Chile; email: pfuentesr@udec.cl</t>
  </si>
  <si>
    <t>2-s2.0-85140400825</t>
  </si>
  <si>
    <t>Canala J.P.</t>
  </si>
  <si>
    <t>57221306751;</t>
  </si>
  <si>
    <t>From Theater to Novel. Inflections of the Homosexual Voice in Manuel Puig’s Kiss of the Spider Woman [Do teatro ao romance. Inflexões da voz homossexual em O beijo da Mulher Aranha de Manuel Puig] [Del teatro a la novela. Inflexiones de la voz homosexual en El beso de la mujer araña de Manuel Puig]</t>
  </si>
  <si>
    <t>e14145</t>
  </si>
  <si>
    <t>10.19053/01218530.n42.2022.14145</t>
  </si>
  <si>
    <t>https://www.scopus.com/inward/record.uri?eid=2-s2.0-85140398863&amp;doi=10.19053%2f01218530.n42.2022.14145&amp;partnerID=40&amp;md5=34eff8ff3dbd29380808d3c879846365</t>
  </si>
  <si>
    <t>Universidad de Buenos Aires/ IHAyA (UBACONICET), Argentina</t>
  </si>
  <si>
    <t>Canala, J.P., Universidad de Buenos Aires/ IHAyA (UBACONICET), Argentina</t>
  </si>
  <si>
    <t>This article aims to study the writing process of Manuel Puig’s novel Kiss of the Spider Woman (1976) from his Mexican exile perspective. The archival turn and gender studies are implemented here in order to reflect on the construction of the homosexual voice in the novel from the traces in the author’s papers. We are interested in analyzing the way in which Puig —during his joint work with lesbian activist Nancy Cárdenas— appropriates both the play The Boys in the Band by Mart Crowley, and some theoretical sources from the homosexual militancy groups of the 1970s. This work reveals the way in which these productions influenced both the dialogic technique and the construction of the homosexual voice. © 2022, Universidad Pedagogica y Tecnologica de Colombia. All rights reserved.</t>
  </si>
  <si>
    <t>archives; Argentine literature; genetic criticism; Manuel Puig; Mart Crowley; Nancy Cárdenas; theatre</t>
  </si>
  <si>
    <t>Universidad de Buenos Aires, UBA; Secretaría de Ciencia y Técnica, Universidad de Buenos Aires, UBACyT: 20020130200191BA</t>
  </si>
  <si>
    <t>Este artículo de reflexión surgió de las Jornadas de investigación del Instituto de Género de la Universidad de Buenos Aires (2021). Además, se inscribe en una investigación en curso financiada por una beca doctoral de la Universidad de Buenos Aires, en el marco del proyecto UBACyT (20020130200191BA) “Pasando revista”, dirigido por la Dra. Sylvia Saítta y radicado en el Programa de Historia Social y Económica (PEHESA) del Instituto de Historia Argentina y Americana “Dr. Emilio Ravignani” (UBA-CONICET).</t>
  </si>
  <si>
    <t>Altman, Dennis, (1971) Homosexual. Oppression and Liberation, , Nueva York, Avon, Impreso; Balderston, Daniel, Sexualidad y revolución: en torno a las notas de El beso de la mujer araña (2001) Manuel Puig. El beso de la mujer araña, pp. 564-574. , Edición crítica. Coordinado por José Amícola y Jorge Panesi. Madrid, ALLCA XX, Impreso; Barrientos Lezcano, Gustavo, (2012) Más que una fiesta de cumpleaños: análisis y representación de la homosexualidad en The Boys in the Band de Mart Crowley, , http://catarina.udlap.mx/u_dl_a/tales/documentos/lte/barrientos_l_gd/portada.html, [Trabajo de grado, Universidad de las Américas], Web. 10 de enero de 2022; Butler, Judith, (2007) El género en disputa. El feminismo y la subversión de la identidad, , Traducido por María Antonia Muñoz. Buenos Aires, Paidós, Impreso; Campos, René, ’I’m ready for my close-up’: los ensayos de la heroína (2001) Manuel Puig. El beso de la mujer araña. Edición crítica. Coordinado por José Amícola y Jorge Panesi, pp. 535-549. , Madrid, ALLCA XX, Impreso; Crowley, Mart, (1968) The Boys in the Band, , Londres, Secker &amp; Warburg, Impreso; Didi-Huberman, Georges, El archivo arde (2021) Las lenguas del archivo: Filologías para el siglo XXI, pp. 15-38. , Coordinado por Graciela Goldchluk y Juan Antonio Ennis. La Plata, Universidad Nacional de La Plata, Impreso; Echavarren, Roberto, Género y géneros (2001) Manuel Puig. El beso de la mujer araña, pp. 456-462. , Edición crítica. Coordinado por José Amícola y Jorge Panesi. Madrid, ALLCA XX, Impreso; Eribon, Didier, (2001) Reflexiones sobre la cuestión gay, , Traducido por Jaime Zulaika. Barcelona, Anagrama, Impreso; Ramos, Juan Manuel, (1991) Manuel Puig. La Semana de Autor sobre Manuel Puig se celebró en Madrid del 24 al 27 de abril de 1990, en el Instituto de Cooperación Iberoamericana, , García Madrid, Ediciones de Cultura Hispánica, Impreso; Goldchluk, Graciela, El archivo como política de lectura: aportes de la crítica genética (2016) Actas de las Primeras Jornadas de reflexión sobre la construcción del archivo, pp. 52-64. , http://cedinci.unsam.edu.ar/pdf/Jornadas/Actas-JORNADAS-ARCHIVOS-I_CEDINCI-UNSAM.pdf, Coordinado por Karina Janello y Marcela Frías. Buenos Aires, CEDINCI-UNSAM, Web. 15 de enero de 2022; Goldchluk, Graciela, (2011) El diálogo interrumpido. Marcas de exilio en los manuscritos mexicanos de Manuel Puig, 1974-1978, , Santa Fe, Universidad Nacional de Litoral, Impreso; Grinnell, Lucinda, Lesbianas Presente”: Lesbian Activism, Transnational Alliances, and the State in Mexico City, 1968-1991 (2014), https://digitalrepository.unm.edu/hist_etds/35/, [Tesis Doctoral, The University of New Mexico], Web. 6 de enero de 2022; Helbing, Terry, Gay Plays, Gay Theatre, Gay Performance (1981) The Drama Review, 25 (1), pp. 35-46. , https://doi.org/10.2307/1145342, Impreso; Levaillant, Jean, Écriture et génétique textuelle (1982) Ecriture et génétique textuelle. Valéry à l’œuvre, pp. 11-24. , Editado por Jean Levaillant. Lille, Presses Universitaires de Lille, Impreso; Ludmer, Josefina, Las tretas del débil (2021) Lo que vendrá: Una antología (1963-2013), pp. 189-199. , Buenos Aires, Eterna Cadencia, Impreso; Masiello, Francine, Fuera de lugar: silencios y desidentidades en El beso de la mujer araña (2001) Manuel Puig. El beso de la mujer araña, pp. 574-588. , Edición crítica. Coordinado por José Amícola y Jorge Panesi. Madrid, ALLCA XX, Impreso; Monsiváis, Carlos, Envío a Nancy Cárdenas, activista ejemplar (1994) Debate Feminista, 10, pp. 257-263. , https://doi.org/10.22201/cieg.2594066xe.1994.10.1810, Impreso; Paniagua, Lita, Nancy Cárdenas: Francotiradora de la Política (1975) Siempre!, (1154), pp. 44-45. , Impreso; Peralta, Jorge Luis, El Frente de Liberación Homosexual argentino versus ‘Los chicos de la banda’ (2020) Moléculas Malucas, , https://www.moleculasmalucas.com/post/el-frente-de-liberaci%C3%B3n-homosexual-argentino-versus-los-chicos-de-la-banda, 2 de octubre de Web. 14 de marzo de 2022; Puig, Manuel, (2001) El beso de la mujer araña, , Edición crítica de José Amícola. Madrid, ALLCA XX, Impreso; Puig, Manuel, Entrevista en Lampião da Esquina. “Manuel Puig habla de casi todo (2020), www.revistatransas.com/2020/08/13/puig-en-rio, Traducido al español por J. Reides. En “Puig en Río: la sexualidad ‘casi escondida Revista Transas. Letras y Artes de América Latina, 13 de agosto de Web. 14 de marzo de 2022; Romero, Julia, (2006) Puig por Puig. Imágenes de un escritor, , https://doi.org/10.31819/9783964565693, Madrid-Frankfurt, Iberoamericana-Vervuert, Impreso; Salinas, Carmen, Prohíben Obra gay. Los Chicos de la Banda de Nancy Cárdenas (2020), https://www.youtube.com/watch?v=P6DaRF3Q2tA, YouTube, 3 de julio de; Scroggie, William, Producing identity. From The Boys in the Band to Gay Liberation (1999) The Queer Sixties, pp. 237-254. , Editado por Patricia Juliana Smith. Nueva York-Londres, Routledge, Impreso; Simonetto, Patricio, La otra internacional. Prácticas globales y anclajes nacionales de la liberación homosexual en Argentina y México (1967-1984) (2020) Secuencia. Revista de historia y ciencias sociales, 107, pp. 1-37. , https://doi.org/10.18234/secuencia.v0i107.1697, Web. 3 de enero de 2022; Solana, Rafael, Teatro (1974) Siempre!, 2490, p. 50. , Impreso</t>
  </si>
  <si>
    <t>Canala, J.P.; Universidad de Buenos Aires/ IHAyA (UBACONICET)Argentina; email: sanchocuarto@yahoo.com</t>
  </si>
  <si>
    <t>2-s2.0-85140398863</t>
  </si>
  <si>
    <t>Longoni B.A.</t>
  </si>
  <si>
    <t>57937229800;</t>
  </si>
  <si>
    <t>Pascual Contursi’s Lyrics in Tango’s Formal Definition [A letra de Pascual Contursi na consolidação formal do tango] [Las letras de Pascual Contursi en la consolidación formal del tango*]</t>
  </si>
  <si>
    <t>e14400</t>
  </si>
  <si>
    <t>10.19053/01218530.n42.2022.14400</t>
  </si>
  <si>
    <t>https://www.scopus.com/inward/record.uri?eid=2-s2.0-85140393103&amp;doi=10.19053%2f01218530.n42.2022.14400&amp;partnerID=40&amp;md5=80bc4b1d4709bf8c0edc51f338e42b2d</t>
  </si>
  <si>
    <t>Universidad Industrial de Santander, Colombia; Doctorando en curso en Estudios lingüísticos, literarios y culturales (Universidad de Barcelona), docente en la Universidad Industrial de Santander, Colombia</t>
  </si>
  <si>
    <t>Longoni, B.A., Universidad Industrial de Santander, Colombia, Doctorando en curso en Estudios lingüísticos, literarios y culturales (Universidad de Barcelona), docente en la Universidad Industrial de Santander, Colombia</t>
  </si>
  <si>
    <t>Pascual Contursi (1888-1932) is considered the creator of tango-canción and the themes amuros and milonguitas, published in “Mi noche triste” and “Flor de fango” are also considered the foundation of this musical style. However, a stylistic and formal review of his tangos highlights Contursi’s crucial contribution to the principles of contrastive symmetry and condensation that consolidated the structure of tango in all of its artistic manifestations. Formally, the strengthening of isometric verses coupled with rhyme on the last syllable, the tension between static description and dynamic narration, the minimalistic setting, the theatrical dialogue of the apostrophe, a counterpoint between the first and second person, as well as the systematic use of lunfardo whose adoption entails, by itself, a contrast against the standard variety of language. Such findings contribute to temper Contursi’s presumed image as a naive and schematic poet. © 2022, Universidad Pedagogica y Tecnologica de Colombia. All rights reserved.</t>
  </si>
  <si>
    <t>lyrics; Pascual Contursi; style; tango; “Mi noche triste”</t>
  </si>
  <si>
    <t>El presente artículo se inscribe en el Grupo de Investigación Glotta de la Universidad Industrial de Santander.</t>
  </si>
  <si>
    <t>Conde, Oscar, (2014) Las poéticas del tango-canción: rupturas y continuidades, , Buenos Aires, Biblos. Impreso; Dalbosco, Dulce, La construcción simbólica del arquetipo de la milonguera en las letras del tango (2010) Amaltea: revista de mitocrítica, (2), pp. 29-45. , Impreso; Dalbosco, Dulce, Amurados: el tango y su poética del abandono (2011) Actas del Cuarto Congreso Internacional CELEHUIS de Literatura, pp. 1-6. , Mar del Plata, 7-9 de noviembre de Universidad Católica Argentina. Impreso; Demare, Lucas, Mi noche triste (1952) Estudios Mapol, , https://www.youtube.com/watch?v=X_JfCOBBdig, (Director). YouTube. Web. 7 de julio de 2021; Ferrer, Horacio, (1999) El tango: su historia y evolución, , Buenos Aires, Continente. Impreso; Ferrer, Horacio, (2013) El tango: arte y misterio, , Buenos Aires, Losada. Impreso; Flores, Rafael, (1993) El tango, desde el umbral hacia adentro, , Madrid, Euroliceo. Impreso; Gobello, José, (1980) Crónica general del tango, , Buenos Aires, Fraterna. Impreso; Gobello, José, (1999) Breve historia crítica del tango, , Buenos Aires, Corregidor. Impreso; Higa, Jorge, (2015) Poetas, malandras y otras yerbas, , Buenos Aires, Corregidor. Impreso; Kohan, Pablo, (2010) El ADN del tango. Estudios sobre los estilos compositivos del tango (19201935), , Buenos Aires, Gourmet Musical. Impreso; Lugones, Leopoldo, (1924) Romancero, , Buenos Aires, Babel. Impreso; Real, Martini, Carlos, Juan, Los poetas (I) (1980) Historia del tango, 17. , [editor]. Buenos Aires, Corregidor. Impreso; Matamoro, Blas, (1982) La ciudad del tango, , Buenos Aires, Galerna. Impreso; Mina, Carlos, (2007) Tango, la mezcla milagrosa, , Buenos Aires, Sudamericana. Impreso; Piglia, Ricardo, El tango y la tradición de la traición (1993) La Argentina en pedazos, pp. 78-80. , Buenos Aires, Ediciones de la Urraca. Impreso; Romano, Eduardo, (1983) Sobre poesía popular argentina, , Buenos Aires, Centro Editor de América Latina. Impreso; Rossler, Osvaldo, (1964) Buenos Aires dos por cuatro, , Buenos Aires, Losada. Impreso; Salas, Horacio, (1986) El tango, , Buenos Aires, Planeta. Impreso; Ulla, Noemí, (1982) Tango, rebelión y nostalgia, , Buenos Aires, Centro Editor de América Latina. Impreso; Vilariño, Idea, (1965) Las letras de tango, , Buenos Aires, Schapire. Impreso</t>
  </si>
  <si>
    <t>Longoni, B.A.; Universidad Industrial de SantanderColombia; email: blongoni@correo.uis.edu.co</t>
  </si>
  <si>
    <t>2-s2.0-85140393103</t>
  </si>
  <si>
    <t>Srinivas S., Bakyaraj R.</t>
  </si>
  <si>
    <t>57218208885;57938252700;</t>
  </si>
  <si>
    <t>Socio-Psychological Problems of the Protagonist in Kavita Kane’s Karna’s Wife: The Outcast’s Queen. An Analytical Study [Problemas sócio-psicológicos do Protagonista em Kavita Kane’s Karna’s Wife: The Outcast’s Queen. Um estudo analítico] [Problemas sociopsicológicos de la protagonista de Karna’s Wife: The Outcast’s Queen, de Kavita Kane. Un estudio analítico]</t>
  </si>
  <si>
    <t>e14075</t>
  </si>
  <si>
    <t>10.19053/01218530.n43.2022.14075</t>
  </si>
  <si>
    <t>https://www.scopus.com/inward/record.uri?eid=2-s2.0-85140396264&amp;doi=10.19053%2f01218530.n43.2022.14075&amp;partnerID=40&amp;md5=dfc8c9ef3ddfaecf69ed84fc1e302eca</t>
  </si>
  <si>
    <t>Department of Engineering English, College of Engineering, Koneru Lakshmaiah Education Foundation (KLEF), deemed to be Univerisity, Andhra Pradesh, Vaddeswaram, India; Department of English, Lovely Professional University, Punjab, India</t>
  </si>
  <si>
    <t>Srinivas, S., Department of Engineering English, College of Engineering, Koneru Lakshmaiah Education Foundation (KLEF), deemed to be Univerisity, Andhra Pradesh, Vaddeswaram, India; Bakyaraj, R., Department of English, Lovely Professional University, Punjab, India</t>
  </si>
  <si>
    <t>This paper explores the socio-psychological problems of the protagonist in Kavita Kane’s Karna’s Wife: The Outcast’s Queen, discoursing the causes for the socio-psychological problems that the marginalised were subjected to in the epic era. This research aims to study the-then social conditions and analyse how they cause the trauma in the psyche of the protagonist. While the Freudian psychological approach interprets that the causes for the psychological distress are to be searched for in the unconscious minds, the Marxist approach asserts that they are to be seen in the then-mate-rial conditions of social life. So, the Marxist literary critical approach is necessary for carrying out this research, tracing the dialectical relationship between the human psyche and the then-contemporary social relations. It is asserted that the social discriminations would adversely cause socio-psycho-logical problems among individuals and it was true in the case of Karna, too. © 2022, Universidad Pedagogica y Tecnologica de Colombia. All rights reserved.</t>
  </si>
  <si>
    <t>disturbed psyche; group marriages; lower social identity; monogamous marriages; pairing marriages; Social discriminations</t>
  </si>
  <si>
    <t>An Interview with Kavita Kane (2013) Bookish, , https://www.indiabookstore.net/bookish/an-interview-with-kavita-kane/, November 8, Web. June 1, 2020; Cherry, Kendra, The Preconscious, Conscious, and Unconscious Minds (2020) Verywellmind, , https://www.verywellmind.com/the-cons-cious-and-unconscious-mind-2795946#:~:text=The%20unconscious%20mind%20is%20a,pain%2C%20anxiety%2C%20or%20conflict, March 24, Web. June 3, 2020; Day, David M., Marion, Stéphanie B., Applying Social Psychology to the Criminal Justice System (2017) Applied Social Psychology: Understanding and Addressing Social and Practical Problems, pp. 245-272. , https://doi.org/10.4135/9781071800591.n11, edited by Jamie A. Gruman, Frank W. Schneider &amp; Larry M. Coutts. SAGE Publications. Printed; Engels, Friedrich, (1884) Origin of the Family, Private Property, and the State, , https://www.mar-xists.org/archive/marx/works/download/pdf/origin_family.pdf, Hottingen-Zurich, Marx/Engels Selected Works, E-book. Web. June 5, 2020; Joshi, Nikul, Caste System in Ancient India (2017) World History Encyclopedia, , https://www.worldhistory.org/article/1152/caste-sys-tem-in-ancient-india/, 20 November Web. June 4, 2020; Kane, Kavita, (2013) Karna’s Wife: The Outcast’s Queen, , New Delhi, Rupa Publications, Printed; Krithika, Reddy, Through another pair of eyes: A chat with author Kavita Kane (2020) The Hindu, , https://www.thehindu.com/books/books-author-s/a-chat-with-author-kavita-kane/article30990543.ece, March 5, Web. July 7, 2020; (2012) Now Mahabharata in Contemporary English, , https://www.news18.com/news/books/now-mahabharata-in-contemporary-engli-sh-485494.html, July 3, Web. August 4, 2020; Harshananda, Swami, Suta (2020), http://www.hindupedia.com/en/Suta#cite_note-2, Hindupedia. Web. June 6; Tarakam, Bojja, (2008) Dalitulu – Rajyam (Dalits and State), , Hyderabad, Book Trust, Printed; (2018) What is caste and why is it important to talk about?, , https://www.ambedkaritetoday.com/2018/04/what-is-caste.html, March 18, Web</t>
  </si>
  <si>
    <t>2-s2.0-85140396264</t>
  </si>
  <si>
    <t>De Leone L.</t>
  </si>
  <si>
    <t>41761187100;</t>
  </si>
  <si>
    <t>How, When, Where, to Whom Tell about Sexual Abuse? Forms of the Delay in ¿Por qué volvías cada verano? By Belén López Peiró [Como, quando, onde, a quem contar sobre o abuso sexual? Formas de atraso em ¿Por qué volvías cada verano?, por Belén López Peiró] [¿Cómo, cuándo, dónde, ante quién contar el abuso sexual? Formas de la demora en ¿Por qué volvías cada verano?, de Belén López Peiró*]</t>
  </si>
  <si>
    <t>e14489</t>
  </si>
  <si>
    <t>10.19053/01218530.n43.2022.14489</t>
  </si>
  <si>
    <t>https://www.scopus.com/inward/record.uri?eid=2-s2.0-85140394074&amp;doi=10.19053%2f01218530.n43.2022.14489&amp;partnerID=40&amp;md5=4b480b351b135f1f33822bc2e41e068f</t>
  </si>
  <si>
    <t>Universidad de Buenos Aires, Universidad Nacional de las Artes y Consejo Nacional de Investigaciones científicas y técnicas, Argentina</t>
  </si>
  <si>
    <t>De Leone, L., Universidad de Buenos Aires, Universidad Nacional de las Artes y Consejo Nacional de Investigaciones científicas y técnicas, Argentina</t>
  </si>
  <si>
    <t>¿Por qué volvías cada verano? by Argentinean writer Belén López Peiró is analysed in this paper from the discursive forms, her own literary project, and the issue of narrating the sexual abuse lately. The analysis is carried out from a feminist perspective that proposes to dismantle heteronormative readings of sexual abuse. This book is inserted in a corpus of novels which allowed to analyse continuities and ruptures in the narration of violence. The book works as an expanded archive involving an experiential writing with a village’s story, a sheriff’s story, and the unsuccessful trial on a case of domestic sexual abuse. This book also works as a political point of view in the socio-cultural Argentinean context. A personal story in this novel embodies values and overcomes from the private to the public. © 2022, Universidad Pedagogica y Tecnologica de Colombia. All rights reserved.</t>
  </si>
  <si>
    <t>Autobiographical literature; Belén López Peiró; contemporary Argentine literature; gender; sexual abuse; ¿Por qué volvías cada verano?</t>
  </si>
  <si>
    <t>Consejo Nacional de Investigaciones Científicas y Técnicas, CONICET</t>
  </si>
  <si>
    <t>Artículo de reflexión. Este artículo forma parte del proyecto de investigación “Imaginaciones rurales. Espacio y género en la narrativa argentina actual” (CONICET, Argentina).</t>
  </si>
  <si>
    <t>Abad, Paloma, En primera persona el abuso sexual no puede ser contado. El abuso es colectivo (2020), https://www.vogue.es/living/articulos/belen-lopez-peiro-libro-por-que-volvias-cada-verano, Vogue, 10 de diciembre de Web. 2 de agosto de 2022; Aczel, Ilona, Literatura argentina y aborto: intervención inicial sobre un corpus embrionario (2020) Historia feminista de la literatura argentina. En la intemperie. Poéticas de la fragilidad y la revuelta, pp. 467-495. , coordinado por Laura Arnés, Lucía De Leone y María José Punte, y dirigido por Laura Arnés, Nora Domínguez y María José Punte. Editorial Universitaria Villa María, Eduvim, Impreso; Ahmed, Sara, (2021) Vivir una vida feminista, , https://doi.org/10.34096/mora.n26.10095, Buenos Aires, Caja Negra editora, Impreso; Ahmed, Sara, (2019) La promesa de la felicidad, , Buenos Aires, Caja Negra editora, Impreso; Acevedo, I., (2010) Una idea genial, , Buenos Aires, Mansalva, Impreso; Arfuch, Leonor, (2007) El espacio biográfico. Dilemas de la subjetividad contemporánea, , Buenos Aires, Fondo de Cultura Económica, Impreso; Arfuch, Leonor, Mujeres y escritura(s)” y “La autobiografía como (mal de) archivo (2007) Crítica cultural entre política y poética, p. 125158. , Buenos Aires, Fondo de Cultura Económica, Impreso; Barthes, Roland, La muerte del autor” y “De la obra al texto (2009) El susurro del lenguaje, pp. 65-82. , en Barcelona, Paidós, Impreso; Catelli, Nora, (2006) En la era de la intimidad. Seguida de El espacio autobiográfico, , Rosario, Beatriz Viterbo Editora, Impreso; Docampo, Mariana, (2007) El molino, , Buenos Aires, Bajo la luna, Impreso; Foucault, Michel, (2016) ¿Qué es un autor?, , Buenos Aires, El cuenco de plata, Impreso; Gallardo, Sara, (2009) Enero, , Buenos Aires, Capital Intelectual, Impreso; Gamba, Susana, Diz, Tania, (2021) Nuevo diccionario de Estudios de género y feminismos, , Buenos Aires, Biblos, Impreso; Giordano, Alberto, (2020) El giro autobiográfico, , Rosario, Beatriz Viterbo Editora, Impreso; Gusdorf, Georges, Condiciones y límites de la autobiografía (1991) La autobiografía y sus problemas teóricos. Estudios e investigación documental, pp. 9-18. , En Á. Loureiro (Ed), Barcelona, Editorial Antrophos, Impreso; Kaplan, Betina, (2007) Género y violencia en la narrativa del Cono Sur (1954-2003), , Woodbridge, Tamesis, Impreso; Laera, Alejandra, Sin Dios ni ley: Nefer, la personaje de Sara Gallardo (2018) Revista Transas, , https://www.revistatransas.com/2018/08/07/sin-dios-ni-ley-nefer-la-personaje-de-sara-gallardo/, 7 de agosto de Web. 2 de agosto de 2022; López Peiró, Belén, (2018) ¿Por qué volvías cada verano?, , Buenos Aires, Madreselva, Impreso; Molloy, Sylvia, Identidades textuales femeninas: estrategias de autofiguración (2006) Mora, (12), pp. 68-86. , Impreso; Segato, Rita, (2013) La escritura en el cuerpo de las mujeres asesinadas en Ciudad Juárez, , Buenos Aires, Tinta Limón, Impreso; Sosa Villada, Camila, (2018) El viaje inútil, , Buenos Aires, Traficante de sueños, Impreso; Van Den Abbeele, Georges, (1992) Travel as Metaphor: from Montaigne to Rousseau, , Minnesota, University of Minnesota Press, Impreso; Viñas, David, De Amalia a Casa Tomada. Mirada y violación en la literatura argentina (1990) Sur, suplemento “Las palabras y las cosas, , 20 de mayo de Impreso; Zavallo, Belén, (2022) Las armas, , Buenos Aires, Agua viva, Impreso</t>
  </si>
  <si>
    <t>De Leone, L.; Universidad de Buenos Aires, Argentina</t>
  </si>
  <si>
    <t>2-s2.0-85140394074</t>
  </si>
  <si>
    <t>Medina-Jaramillo C., Usgame-Fagua K., Franco-González N., López-Córdoba A.</t>
  </si>
  <si>
    <t>57000466000;57831696500;57831853500;55915687700;</t>
  </si>
  <si>
    <t>https://www.scopus.com/inward/record.uri?eid=2-s2.0-85135488665&amp;doi=10.3390%2ffoods11050641&amp;partnerID=40&amp;md5=b0da44c061607bf2709594097b66bf0c</t>
  </si>
  <si>
    <t>Medina-Jaramillo, C., Grupo de Investigación en Bioeconomía y Sostenibilidad Agroalimentaria, Escuela de Administración de Empresas Agropecuarias, Facultad Seccional Duitama, Universidad Pedagógica y Tecnológica de Colombia, Carrera 18 con Calle 22, Duitama, 150461, Colombia; Usgame-Fagua, K., Grupo de Investigación en Bioeconomía y Sostenibilidad Agroalimentaria, Escuela de Administración de Empresas Agropecuarias, Facultad Seccional Duitama, Universidad Pedagógica y Tecnológica de Colombia, Carrera 18 con Calle 22, Duitama, 150461, Colombia; Franco-González, N., Grupo de Investigación en Bioeconomía y Sostenibilidad Agroalimentaria, Escuela de Administración de Empresas Agropecuarias, Facultad Seccional Duitama, Universidad Pedagógica y Tecnológica de Colombia, Carrera 18 con Calle 22, Duitama, 150461, Colombia; López-Córdoba, A., Grupo de Investigación en Bioeconomía y Sostenibilidad Agroalimentaria, Escuela de Administración de Empresas Agropecuarias, Facultad Seccional Duitama, Universidad Pedagógica y Tecnológica de Colombia, Carrera 18 con Calle 22, Duitama, 150461, Colombia</t>
  </si>
  <si>
    <t>Bunching green onion is an Allium species that has been widely used in food flavorings and seasonings. This vegetable experiences a rapid loss of quality during storage due to physiological changes and microbial spoilage. In the current work, the single and combined effect of mild-heat treatment (55◦C for 60 s) and alginate edible coatings on the quality preservation of minimally processed bunching green onions was studied. Control and treated samples were stored at 4◦C for 15 days and examined periodically in terms of their respiration rate, weight loss, pH, soluble solids content, firmness, total polyphenol content, antioxidant activity, microbial count, decay ratio, and overall visual quality. The results showed that the combination of mild heat and alginate edible coatings was the most effective approach to slow down the respiration rate and the incidence of decay in the minimally processed bunching green onions. In addition, the treatments with alginate coating alone or combined with mild-heat treatment showed the best performance for maintaining the overall visual quality of the products during the storage. © 2022 by the authors. Licensee MDPI, Basel, Switzerland.</t>
  </si>
  <si>
    <t>Food loss and waste; Food preservation; Hurdle technology; Minimal processing</t>
  </si>
  <si>
    <t>Acknowledgments: The authors would like to thank the Universidad Pedagógica y Tecnológica de Colombia (UPTC) for its financial support.</t>
  </si>
  <si>
    <t>Funding: This research was funded by Minciencias, and the Gobernación de Boyacá through the PATRIMONIO AUTONOMO FONDO NACIONAL DE FINANCIAMIENTO PARA LA CIEN-CIA, LA TECNOLOGÍA Y LA INNOVACIÓN FRANCISCO JOSÉ DE CALDAS (project 75550. Conv. 865-2019).</t>
  </si>
  <si>
    <t>Grzegorzewska, M., Badełek, E., Szczech, M., Kosson, R., Wrzodak, A., Kowalska, B., Colelli, G., Maciorowski, R., The effect of hot water treatment on the storage ability improvement of fresh-cut Chinese cabbage (2022) Sci. Hortic. (Amst.), 291, p. 110551. , [CrossRef]; Botondi, R., Barone, M., Grasso, C., A Review into the Effectiveness of Ozone Technology for Improving the Safety and Preserving the Quality of Fresh-Cut Fruits and Vegetables (2021) Foods, 10, p. 748. , [CrossRef]; Testa, R., Schifani, G., Migliore, G., Understanding Consumers’ Convenience Orientation. An Exploratory Study of Fresh-Cut Fruit in Italy (2021) Sustainability, 13, p. 1027. , [CrossRef]; De Corato, U., Improving the shelf-life and quality of fresh and minimally-processed fruits and vegetables for a modern food industry: A comprehensive critical review from the traditional technologies into the most promising advancements (2020) Crit. Rev. Food Sci. Nutr, 60, pp. 940-975. , [CrossRef]; Lwin, W., Srilaong, V., Kanlayanarat, S., Pongprasert, N., Uthairatanakij, A., Effects of Different Exposure Times of 1-MCP on the Quality of Bunching Onions (Allium fistulosum) (2013) Agric. Sci. J, 3, pp. 269-272; Kurnia, D., Ajiati, D., Heliawati, L., Sumiarsa, D., Antioxidant Properties and Structure-Antioxidant Activity Relationship of Allium Species Leaves (2021) Molecules, 26, p. 7175. , [CrossRef]; Țigu, A.B., Moldovan, C.S., Toma, V.-A., Farcaș, A.D., Moț, A.C., Jurj, A., Fischer-Fodor, E., Pârvu, M., Phytochemical Analysis and In Vitro Effects of Allium fistulosum L. and Allium sativum L. Extracts on Human Normal and Tumor Cell Lines: A Comparative Study (2021) Molecules, 26, p. 574. , [CrossRef]; Alvarez, M.V., Moreira, M.D.R., Roura, S.I., Ayala-Zavala, J.F., González-Aguilar, G.A., 13—Using natural antimicrobials to enhance the safety and quality of fresh and processed fruits and vegetables: Types of antimicrobials (2015) Woodhead Publishing Series in Food Science, Technology and Nutrition, pp. 287-313. , Taylor, T.M., Ed.; Woodhead Publishing: Oxford, UK, ISBN 978-1-78242-034-7; Zudaire, L., Viñas, I., Abadias, M., Simó, J., Aguiló-Aguayo, I., Efficacy of chlorine, peroxyacetic acid and mild-heat treatment on the reduction of natural microflora and maintenance of quality of fresh-cut calçots (Allium cepa L.) (2018) LWT, 95, pp. 339-345. , [CrossRef]; Zudaire, L., Lafarga, T., Viñas, I., Abadias, M., Brunton, N., Aguiló-Aguayo, I., Effect of Ultrasound Pre-Treatment on the Physical, Microbiological, and Antioxidant Properties of Calçots (2019) Food Bioprocess Technol, 12, pp. 387-394. , [CrossRef]; Rozo, G., Gómez, D., Rozo, C., Effect of an alginate edible film coating in the conservation of welsh onion (Allium fistulosum L.) | Efecto de una biopelícula de alginato en la conservación de cebolla larga (Allium fistulosum L.) (2016) Vitae, 23, pp. S419-S423; Cantwell, M.I., Hong, G., Suslow, T.V., Heat treatments control extension growth and enhance microbial disinfection of minimally processed green onions (2001) HortScience, 36, pp. 732-737. , [CrossRef]; Hong, G., Peiser, G., Cantwell, M.I., Use of controlled atmospheres and heat treatment to maintain quality of intact and minimally processed green onions (2000) Postharvest Biol. Technol, 20, pp. 53-61. , [CrossRef]; Hong, S.I., Kim, D., The effect of packaging treatment on the storage quality of minimally processed bunched onions (2004) Int. J. Food Sci. Technol, 39, pp. 1033-1041. , [CrossRef]; Fallik, E., Ilić, Z., Hot Water Treatments (2018) Novel Postharvest Treatments of Fresh Produce, pp. 231-247. , Pareek, S., Ed.; CRC Press: Boca Raton, FL, USA, ISBN 9781315370149; Zhang, L., Li, S., Wang, A., Li, J., Zong, W., Mild heat treatment inhibits the browning of fresh-cut Agaricus bisporus during cold storage (2017) LWT—Food Sci. Technol, 82, pp. 104-112. , [CrossRef]; Mahajan, P.V., Caleb, O.J., Singh, Z., Watkins, C.B., Geyer, M., Postharvest treatments of fresh produce (2014) Philos. Trans. R. Soc. A Math. Phys. Eng. Sci, 372, p. 20130309. , [CrossRef]; Moreira, M.D.R., Ponce, A., Ansorena, R., Roura, S.I., Effectiveness of Edible Coatings Combined with Mild Heat Shocks on Microbial Spoilage and Sensory Quality of Fresh Cut Broccoli (Brassica oleracea L.) (2011) J. Food Sci, 76, pp. 367-374. , [CrossRef]; Giannakourou, M.C., Tsironi, T.N., Application of Processing and Packaging Hurdles for Fresh-Cut Fruits and Vegetables Preservation (2021) Foods, 10, p. 830. , [CrossRef]; Miteluț, A.C., Popa, E.E., Drăghici, M.C., Popescu, P.A., Popa, V.I., Bujor, O.-C., Ion, V.A., Popa, M.E., Latest Developments in Edible Coatings on Minimally Processed Fruits and Vegetables: A Review (2021) Foods, 10, p. 2821. , [CrossRef]; Khan, M.R., Di Giuseppe, F.A., Torrieri, E., Sadiq, M.B., Recent advances in biopolymeric antioxidant films and coatings for preservation of nutritional quality of minimally processed fruits and vegetables (2021) Food Packag. Shelf Life, 30, p. 100752. , [CrossRef]; Medina Jaramillo, C., Estevez Areco, S., Goyanes, S., López Córdoba, A., Characterization of starches isolated from Colombian native potatoes and their application as novel edible coatings for wild Andean blueberries (Vaccinium meridionale Swartz) (2019) Polymers, 11, p. 1937. , [CrossRef]; Nair, M.S., Tomar, M., Punia, S., Kukula-Koch, W., Kumar, M., Enhancing the functionality of chitosan-and alginate-based active edible coatings/films for the preservation of fruits and vegetables: A review (2020) Int. J. Biol. Macromol, 164, pp. 304-320. , [CrossRef] [PubMed]; Zapata, P.J., Castillo, S., Valero, D., Guillén, F., Serrano, M., Díaz-Mula, H.M., The use of alginate as edible coating alone or in combination with essential oils maintained postharvest quality of tomato (2010) Acta Hortic, 877, pp. 1529-1534. , [CrossRef]; Wüstenberg, T., General Overview of Food Hydrocolloids (2015) Cellulose and Cellulose Derivatives in the Food industry Fundamentals and Applications, pp. 1-68. , Wüstenberg, T., Ed.; Wiley-VCH Verlag GmbH &amp; Co. KGaA: Weinheim, Germany; Medina-Jaramillo, C., Quintero-Pimiento, C., Gómez-Hoyos, C., Zuluaga-Gallego, R., López-Córdoba, A., Alginate-Edible Coatings for Application on Wild Andean Blueberries (Vaccinium meridionale Swartz): Effect of the Addition of Nanofibrils Isolated from Cocoa By-Products (2020) Polymers, 12, p. 824. , [CrossRef] [PubMed]; Jayakody, M.M., Vanniarachchy, M.P.G., Wijesekara, I., Seaweed derived alginate, agar, and carrageenan based edible coatings and films for the food industry: A review (2022) J. Food Meas. Charact, , [CrossRef]; Medina-Jaramillo, C., Quintero-Pimiento, C., Díaz-Díaz, D., Goyanes, S., López-Córdoba, A., Improvement of Andean Blueberries Postharvest Preservation Using Carvacrol/Alginate-Edible Coatings (2020) Polymers, 12, p. 2352. , [CrossRef]; Prakash, A., Baskaran, R., Vadivel, V., Citral nanoemulsion incorporated edible coating to extend the shelf life of fresh cut pineapples (2020) LWT, 118, p. 108851. , [CrossRef]; Robles-Sánchez, R.M., Rojas-Graü, M.A., Odriozola-Serrano, I., González-Aguilar, G., Martin-Belloso, O., Influence of alginate-based edible coating as carrier of antibrowning agents on bioactive compounds and antioxidant activity in fresh-cut Kent mangoes (2013) LWT—Food Sci. Technol, 50, pp. 240-246. , [CrossRef]; Poverenov, E., Danino, S., Horev, B., Granit, R., Vinokur, Y., Rodov, V., Layer-by-Layer Electrostatic Deposition of Edible Coating on Fresh Cut Melon Model: Anticipated and Unexpected Effects of Alginate–Chitosan Combination (2014) Food Bioprocess Technol, 7, pp. 1424-1432. , [CrossRef]; Sarengaowa, Hu, W., Jiang, A., Xiu, Z., Feng, K., Effect of thyme oil–alginate-based coating on quality and microbial safety of fresh-cut apples (2018) J. Sci. Food Agric, 98, pp. 2302-2311. , [CrossRef]; Ansorena, M.R., Marcovich, N.E., Roura, S.I., Impact of edible coatings and mild heat shocks on quality of minimally processed broccoli (Brassica oleracea L.) during refrigerated storage (2011) Postharvest Biol. Technol, 59, pp. 53-63. , [CrossRef]; Koh, P.C., Noranizan, M.A., Karim, R., Nur Hanani, Z.A., Lasik-Kurdyś, M., Combination of alginate coating and repetitive pulsed light for shelf life extension of fresh-cut cantaloupe (Cucumis melo L. reticulatus cv. Glamour) (2018) J. Food Process. Preserv, 42, p. e13786. , [CrossRef]; Ben-Fadhel, Y., Cingolani, M.C., Li, L., Chazot, G., Salmieri, S., Horak, C., Lacroix, M., Effect of γ-irradiation and the use of combined treatments with edible bioactive coating on carrot preservation (2021) Food Packag. Shelf Life, 28, p. 100635. , [CrossRef]; Piñeros-Hernandez, D., Medina-Jaramillo, C., López-Córdoba, A., Goyanes, S., Edible cassava starch films carrying rosemary antioxidant extracts for potential use as active food packaging (2017) Food Hydrocoll, 63, pp. 488-495. , [CrossRef]; Singleton, V.L., Orthofer, R., Lamuela-Raventos, R.M., Analysis of total phenols and other oxidation substrates and antioxidants by means of Folin-Ciocalteu reagent (1999) Methods in Enzymology (Oxidants and Antioxidants, Part A), 299, pp. 152-178. , Lester Packer, L., Ed.; Academic Press: San Diego, CA, USA; Estevez-Areco, S., Guz, L., Famá, L., Candal, R., Goyanes, S., Bioactive starch nanocomposite films with antioxidant activity and enhanced mechanical properties obtained by extrusion followed by thermo-compression (2019) Food Hydrocoll, 96, pp. 518-528. , [CrossRef]; Brand-Williams, W., Cuvelier, M.E., Berset, C., Use of a free radical method to evaluate antioxidant activity (1995) LWT—Food Sci. Technol, 28, pp. 25-30. , [CrossRef]; (2013) Microbiology of the Food Chain—Horizontal Method for the Enumeration of Microorganisms—Part 1: Colony Count at 30 C by the Pour Plate Technique, , International Standard Organization: Geneva, Switzerland; (2008) Microbiology of Food and Animal Feeding Stuffs—Horizontal Method for the Enumeration of Yeasts and Moulds—Part 2: Colony Count Technique in Products with Water Activity Less Than or Equal to 0.95, , ISO 21527-2:2008; ISO: Geneva, Switzerland; Moskowitz, H.R., Beckley, J.H., Resurreccion, A.V.A., What types of tests do sensory researchers do to measure sensory response to the product? and … why do they do them? (2012) Sensory and Consumer Research in Food Product Design and Development, pp. 229-281. , Moskowitz, H.R., Beckley, J.H., Resurreccion, A.V.A., Eds.; John Wiley &amp; Sons: Ames, IA, USA; Alharaty, G., Ramaswamy, H.S., The Effect of Sodium Alginate-Calcium Chloride Coating on the Quality Parameters and Shelf Life of Strawberry Cut Fruits (2020) J. Compos. Sci, 4, p. 123. , [CrossRef]; Xylia, P., Chrysargyris, A., Tzortzakis, N., The Combined and Single Effect of Marjoram Essential Oil, Ascorbic Acid, and Chitosan on Fresh-Cut Lettuce Preservation (2021) Foods, 10, p. 575. , [CrossRef] [PubMed]; Romanazzi, G., Feliziani, E., Sivakumar, D., Chitosan, a Biopolymer With Triple Action on Postharvest Decay of Fruit and Vegetables: Eliciting, Antimicrobial and Film-Forming Properties (2018) Front. Microbiol, 9, p. 2745. , [CrossRef] [PubMed]; Senturk Parreidt, T., Müller, K., Schmid, M., Alginate-Based Edible Films and Coatings for Food Packaging Applications (2018) Foods, 7, p. 170. , [CrossRef] [PubMed]; Siddiq, M., Roidoung, S., Sogi, D.S., Dolan, K.D., Total phenolics, antioxidant properties and quality of fresh-cut onions (Allium cepa L.) treated with mild-heat (2013) Food Chem, 136, pp. 803-806. , [CrossRef]; Mcglynn, W., The Importance of Food pH in Commercial Canning Operations (2003) Food Technology Fact Sheet, pp. 1-8. , Oklahoma Cooperative Extension Service, Division of Agricultural Sciences and Natural Resources, Oklahoma State University: Stillwater, OK, USA; Zudaire, L., Viñas, I., Abadias, M., Lafarga, T., Bobo, G., Simó, J., Aguiló-Aguayo, I., Effects of long-term controlled atmosphere storage, minimal processing, and packaging on quality attributes of calçots (Allium cepa L.) (2019) Food Sci. Technol. Int, 26, pp. 403-412. , [CrossRef] [PubMed]; Toivonen, P.M.A., Brummell, D.A., Biochemical bases of appearance and texture changes in fresh-cut fruit and vegetables (2008) Postharvest Biol. Technol, 48, pp. 1-14. , [CrossRef]; Andrés-Bello, A., Barreto-Palacios, V., García-Segovia, P., Mir-Bel, J., Martínez-Monzó, J., Effect of pH on Color and Texture of Food Products (2013) Food Eng. Rev, 5, pp. 158-170. , [CrossRef]; Kumar, N., Pratibha, Ojha, A., Upadhyay, A., Singh, R., Kumar, S., Effect of active chitosan-pullulan composite edible coating enrich with pomegranate peel extract on the storage quality of green bell pepper (2021) LWT, 138, p. 110435. , Neeraj [CrossRef]; Kocira, A., Kozłowicz, K., Panasiewicz, K., Staniak, M., Szpunar-Krok, E., Hortyńska, P., Polysaccharides as Edible Films and Coatings: Characteristics and Influence on Fruit and Vegetable Quality—A Review (2021) Agronomy, 11, p. 813. , [CrossRef]; Han, C., Ji, Y., Li, M., Li, X., Jin, P., Zheng, Y., Influence of wounding intensity and storage temperature on quality and antioxidant activity of fresh-cut Welsh onions (2016) Sci. Hortic. (Amst.), 212, pp. 203-209. , [CrossRef]; Howard, L.R., Yoo, K.S., Pike, L.M., Miller, G.H., Quality Changes in Diced Onions Stored in Film Packages (1994) J. Food Sci, 59, pp. 110-112. , [CrossRef]; Kubec, R., Hrbáčová, M., Musah, R.A., Velíšek, J., Allium Discoloration: Precursors Involved in Onion Pinking and Garlic Greening (2004) J. Agric. Food Chem, 52, pp. 5089-5094. , [CrossRef]</t>
  </si>
  <si>
    <t>2-s2.0-85135488665</t>
  </si>
  <si>
    <t>González Sawczuk S.Y., Chicangana-Bayona Y.A.</t>
  </si>
  <si>
    <t>36164932700;26631741000;</t>
  </si>
  <si>
    <t>The Memoirs of Emma Reyes and Flora Tristán: Outcasts or Pioneers? [As memórias de Emma Reyes e Flora Tristán: párias ou pioneiras?] [Las memorias de Emma Reyes y Flora Tristán: ¿parias o pioneras?*]</t>
  </si>
  <si>
    <t>e14011</t>
  </si>
  <si>
    <t>10.19053/01218530.N43.2022.14011</t>
  </si>
  <si>
    <t>https://www.scopus.com/inward/record.uri?eid=2-s2.0-85134248583&amp;doi=10.19053%2f01218530.N43.2022.14011&amp;partnerID=40&amp;md5=71cea2bf00c968b8991e52d747bb42e9</t>
  </si>
  <si>
    <t>Departamento de Estudios Filosóficos y Culturales, Facultad de Ciencias Humanas y Econó-micas, Universidad Nacional de Colombia, Sede Medellín, Colombia; Departamento de Historia, Facultad de Ciencias Humanas y Económicas, Universidad Nacional de Colombia, Sede Medellín, Colombia</t>
  </si>
  <si>
    <t>González Sawczuk, S.Y., Departamento de Estudios Filosóficos y Culturales, Facultad de Ciencias Humanas y Econó-micas, Universidad Nacional de Colombia, Sede Medellín, Colombia; Chicangana-Bayona, Y.A., Departamento de Historia, Facultad de Ciencias Humanas y Económicas, Universidad Nacional de Colombia, Sede Medellín, Colombia</t>
  </si>
  <si>
    <t>This paper is based on the reflections of the memories of two extraordinary outcasts of our America. On the one hand, Emma Reyes reminds us of the childhood/experience relationship in her letters in Memory by correspondence. They are brief letters that, beyond a certain affective confession, represent stories as a figure of a painful genesis that invite us to immerse ourselves in the procedures of language mediation in suffering, and to realize the experience of grief. While, two centuries before, Flora Tristan, another declassed and fervent social fighter published in France her memories, Peregrinations of a Pariah. Some interpretations are considered in the light of Giorgio Agamben’s text, Infancy and History, on the mute experience of childhood, some articles by Mario Vargas Llosa are also discussed. © 2022, Universidad Pedagogica y Tecnologica de Colombia. All rights reserved.</t>
  </si>
  <si>
    <t>Childhood; Emma Reyes; Experience; Flora Tristán; Language; Memory</t>
  </si>
  <si>
    <t>Agamben, Giorgio, (2001) Infancia e historia, , Buenos Aires, Adriana Hidalgo Editora, Im-preso; Agamben, Giorgio, El autor como gesto (2005) Profanaciones, pp. 81-94. , Buenos Aires, Adriana Hidalgo, Impreso; Arciniegas, Germán, De Flora Tristán a Emma Reyes (1993) El Tiempo, , 9 de agosto de Impreso; Aubert, Louis, Litografía de Flora Tristán, 1938 Le Charivari, 53. , https://www.liberation.fr/france/2018/10/10/flora-tris-tan-une-ouvriere-victime-de-feminicide_1684545, 22 de febrero de 1839. Web. 25 de julio de 2020; Bonilla, María Elvira, Memorias inconclusas (2012) El Espectador, , https://www.elespectador.com/opinion/columnistas/maria-elvi-ra-bonilla/memorias-inconclusas-column-381210/, 14 de octubre de Web. 29 de abril de 2020; Comte-Sponville, André, Prólogo (2010) Correspondencia (1866-1876). Gustav Flaubert y George Sand, pp. 7-10. , Traducción, notas y epílogo de Albert Julibert, Barcelona, Marbot Edicio-nes, Impreso; Hermanos, Courret, Fotografía de Flora Tristán, Lima, Siglo XIX (2020) El Baúl de la historia de Perú, , http://perusigloxix.blogspot.com/2011/09/tapada-li-mena.html, Web. 25 de julio de; Donadio, Alberto, El mejor libro del año (2012) El Espectador, , https://www.elespectador.com/opinion/columnistas/alberto-do-nadio/emma-reyes-column-376665/, 22 de septiembre de Web. 30 de abril de 2020; Duque Naranjo, Lisandro, Lo divino y lo humano. Emma Reyes (2012) El Espectador, , https://www.elespectador.com/opinion/columnistas/lisandro-duque-naranjo/lo-divino-y-lo-humano-column-14269/, 29 de sep-tiembre de Web. 30 de abril de 2020; Enríquez, Mariana, (2016) Pinta con lágrimas, , https://www.pagina12.com.ar/diario/suplementos/libros/10-5782-2016-02-07.html, Página 12, 7 de febrero de Web. 30 de abril de 2020; Foucault, Michel, Qué es un autor (1999) Entre filosofía y literatura. Obras esenciales, 1, pp. 329-360. , Barcelona, Ediciones Paidós Ibérica, Impreso; Garzón, Diego, ¿Qué pasó con Emma Reyes? (2013) SoHo, , https://www.soho.co/historias/articulo/que-paso-con-emma-reyes-por-die-go-garzon/29333/, 16 de enero de Web. 21 de abril de 2020; Martínez, William, Memoria por correspondencia: recordar el dolor sin odio (2016) El Especta-dor, , https://www.elespectador.com/no-ticias/cultura/memoria-correspondencia-recordar-el-dolor-sin-odio-articulo-629002, 25 de abril de Web. 30 de abril de 2020; Molloy, Sylvia, (1996) Acto de presencia. La escritura autobiográfica en Hispanoamérica, , Ciudad de México, Fondo de Cultura Económica, Impreso; Arcadia, Revista, Emma Reyes regresa a Colombia (2015), https://www.revistaarcadia.com/arte/articulo/em-ma-reyes-en-casa-cano/44398, Revista Arcadia 120, 29 de septiembre de Web. 21 de abril de 2020; Reyes, Emma, (2012) Memoria por correspondencia, , Bogotá, Editorial Kimpres, Colección Laguna Crónica, Impreso; Reyes, Emma, (2012) Memoria por correspondencia, , Bogotá, Laguna Libros, Fundación Arte Vivo Otero Herrera, Impreso; Ruiz, Carlos Enrique, Emma Reyes: mujer que respeta solo lo vivido (1999) Revista Aleph, 110, pp. 17-33. , Impreso; Tristán, Flora, (2003) Peregrinaciones de una paria, 2 tomos, , http://sisbib.unmsm.edu.pe/bibvirtual/libros/literatura/pereg_paria/contenido.htm, Lima, Centro de la Mujer Peruana Flora Tristán, Universidad Nacional Mayor de San Marcos, Fondo Editorial, Web. 10 de enero de 2022; Vargas Llosa, Mario, (2002) La odisea de Flora Tristán, , www.hacer.org/pdf/flora.pdf, Marbella, Web. 10 de enero de 2022; Vargas Llosa, Mario, Flora Tristán y Paul Gauguin (2003) Peregrinaciones de una paria, , http://sisbib.unmsm.edu.pe/bibvirtual/libros/literatura/pereg_paria/contenido.htm, Lima, Centro de la Mujer Peruana Flora Tristán, Universidad Nacional Mayor de San Mar-cos, Fondo Editorial, Web. 10 de enero de 2022</t>
  </si>
  <si>
    <t>2-s2.0-85134248583</t>
  </si>
  <si>
    <t>Garayalde N.</t>
  </si>
  <si>
    <t>57189460970;</t>
  </si>
  <si>
    <t>Roland Barthes, Autonimic Writer [Roland Barthes, escritor autonímico] [Roland Barthes, escritor autonímico*]</t>
  </si>
  <si>
    <t>e14089</t>
  </si>
  <si>
    <t>10.19053/01218530.N43.2022.14089</t>
  </si>
  <si>
    <t>https://www.scopus.com/inward/record.uri?eid=2-s2.0-85134221317&amp;doi=10.19053%2f01218530.N43.2022.14089&amp;partnerID=40&amp;md5=a17f1ec5a0bc5cd82ab3086ca1ec6617</t>
  </si>
  <si>
    <t>CONICET – Universidad Nacional de Córdoba, Argentina</t>
  </si>
  <si>
    <t>Garayalde, N., CONICET – Universidad Nacional de Córdoba, Argentina</t>
  </si>
  <si>
    <t>In Barthes, criticism rushes into a form of literature. What does his criticism as literature con-sist of? What relationship, of similarity and difference, does it have with the impressionism of Jules Lemaitre and Anatole France? This essay aims to investigate criticism as literature that appears in the work of Barthes. To do this, starting from a contrast between the first and the last of his texts, I will analyze some topics of impressionist criticism that reappear in Barthes, such as subjectivism, reading and rhetoric. I will seek to develop the hypothesis according to which the Barthesian work is an attempt to make criticism a form of literature in the Impressionist tradition, but according to a singular appropriation traversed by linguistics and psychoanalysis. Therefore, I will try to develop and establish the foundation of what Barthes has called autonimic writing. © 2022, Universidad Pedagogica y Tecnologica de Colombia. All rights reserved.</t>
  </si>
  <si>
    <t>Anatole France; autonimic writing; criticism as literature; impressionism; Jules Lemaitre; rhetoric; Roland Barthes; subjectivism</t>
  </si>
  <si>
    <t>Barthes, Roland, Qu’est-ce que la critique? (2002) Essais critiques, Œuvres complètes, II. , Tomo París, Seuil, Impreso; Barthes, Roland, (2002) Critique et vérité. Œuvres complètes, II. , Tomo París, Seuil, Impreso; Barthes, Roland, L’ancienne rhétorique (2002) Œuvres complètes, , Tomo III, París, Seuil, Impreso; Barthes, Roland, Le retour du poéticien (2002) Œuvres complètes, IV. , Tomo París, Seuil, Impreso; Barthes, Roland, Barthes puissance trois (2002) Œuvres complètes, IV. , Tomo París, Seuil, Impreso; Barthes, Roland, Premier texte (2002) Œuvres complètes, , Tomo IV, París, Seuil, Impreso; Barthes, Roland, Roland Barthes par Roland Barthes (2002) Œuvres complètes, IV. , Tomo París, Seuil, Impreso; Barthes, Roland, Texte a deux (2002) Œuvres complètes, , Tomo París, Seuil, Impreso; Barthes, Roland, Avant-propos à « Jakobson (2002) Œuvres complètes, , Tomo París, Seuil, Impreso; Barthes, Roland, Délibération (2002) Œuvres complètes, , Tomo París, Seuil, Impreso; Barthes, Roland, On échoue toujours à parler de ce qu’on aime (2002) Œuvres complètes, , Tomo París, Seuil, Impreso; Barthes, Roland, (2010) Le lexique de l’auteur, , París, Seuil, Impreso; Barthes, Roland, (2015) La préparation du roman, , París, Seuil, Impreso; Brunetière, Ferdinand, La Littérature personnelle (1888) Revue des Deux Mondes, pp. 433-452. , 15 de enero de Impreso; Charles, Michel, (1985) L’Arbre et la source, , París, Seuil. Impreso; Compagnon, Antoine, (1983) La Troisième République des Lettres, , París, Seuil, Impreso; France, Anatole, (1921) La vie littéraire, 1ère série, , París, Calmann-Lévy, Impreso; Garayalde, Nicolás, Enseñanza y retórica (2021) Revista chilena de literatura, 103, pp. 481-503. , https://revistas.uchile.cl/index.php/RCL/article/view/64002, Web. 15 de diciembre de 2021; Hartman, Geoffrey, (1975) The Fate of Reading, , Chicago, The University of Chicago Press, Impreso; Lemaitre, Jules, M. Ferdinand Brunetière (1886) Les Contemporains, pp. 217-248. , 1ère série, París, Société française d’imprimerie et de librairie, Impreso; Lemaitre, Jules, En guise de préface (1896) Les Contemporains, pp. v-xii. , 6ème série, París, Société française d’impri-merie et de librairie, Impreso; Picard, Raymond, (1965) Nouvelle critique ou nouvelle imposture, , Utrecht, Pauvert, Impreso; Rabau, Sophie, Note sur la notion de «culture rhétorique» chez Michel Charles (2012) Fabu-la-Atelier, , https://www.fabula.org/atelier.php?-Note_sur_la_notion_de_%26laquo%3B_culture_rh%26eacute%3Btorique_%26ra-quo%3B_chez_Michel_Charles, Web. 1 de mayo de 2022; Roger, Thierry, Jules Lemaitre et la querelle de l’impressionnisme (2012) Fabula/Les collo-ques, , https://www.fabula.org/colloques/docu-ment1609.php, Web. 22 de octubre de 2021; Staël, Madame, (1959) De la littérature considérée dans ses rapports avec les institutions sociales, , Ginebra, Droz, Impreso; Stendhal, (1925) Racine et Shakespeare, , París, Champion, Impreso; Thibaudet, Albert, (1939) Réflexions sur la critique, , París, Gallimard, Impreso; Yllera, Alicia, (1996) Teoría de la literatura francesa, , Madrid, Síntesis, Impreso</t>
  </si>
  <si>
    <t>Garayalde, N.; CONICET – Universidad Nacional de CórdobaArgentina; email: negarayalde@gmail.com</t>
  </si>
  <si>
    <t>2-s2.0-85134221317</t>
  </si>
  <si>
    <t>Aguilera-Prado M., Salcedo O., Fernandez E.A.</t>
  </si>
  <si>
    <t>57207940435;57211904116;57192273844;</t>
  </si>
  <si>
    <t>Cybernetics and Information Technologies</t>
  </si>
  <si>
    <t>https://www.scopus.com/inward/record.uri?eid=2-s2.0-85129062958&amp;doi=10.2478%2fcait-2022-0006&amp;partnerID=40&amp;md5=6f354b87c863611ea5a96d25065b1f0c</t>
  </si>
  <si>
    <t>Vice Rectorate for Research, Universitaria Agustiniana, Bogota, Colombia; Faculty of Engineering, Universidad Distrital Francisco Jose de Caldas, Bogota, Colombia; Faculty of Engineering, Universidad Pedagogica y Tecnologica de Colombia, Tunja, Colombia</t>
  </si>
  <si>
    <t>Aguilera-Prado, M., Vice Rectorate for Research, Universitaria Agustiniana, Bogota, Colombia; Salcedo, O., Faculty of Engineering, Universidad Distrital Francisco Jose de Caldas, Bogota, Colombia; Fernandez, E.A., Faculty of Engineering, Universidad Pedagogica y Tecnologica de Colombia, Tunja, Colombia</t>
  </si>
  <si>
    <t>This article provides the results of a citation determinants model for a set of academic engineering texts from Colombia. The model establishes the determinants of the probability that a text receives at least one citation through the relationship among previous citations, journal characteristics, the author and the text. Through a similarity matrix constructed by Latent Semantic Analysis (LSA), a similarity variable has been constructed to capture the fact that the texts have similar titles, abstracts and keywords to the most cited texts. The results show: i) joint significance of the variables selected to characterize the text; ii) direct relationship of the citation with similarity of keywords, published in an IEEE journal, research article, more than one author; and authored by at least one foreign author; and iii) inverse relationship between the probability of citation with the similarity of abstracts, published in 2016 or 2017, and published in a Colombian journal. © 2022 Marco Aguilera-Prado et al., published by Sciendo.</t>
  </si>
  <si>
    <t>bibliometrics; citation determinants; Latent semantic analysis; text similarity</t>
  </si>
  <si>
    <t>Gregorio, O., Analisis bibliométrico y de calidad de la revista Signo y Pensamiento (2007) Signo y Pensamiento, Vol, 50 (26), pp. 22-32; Rivera-Garzon, D.M., Caracterizacion de la comunidad científica de Psicología que publica en la revista Universitas Psychologica 2002-2008 (2008) Universitas Psychologica, Vol, 7 (3), pp. 917-932; Suarez, J.O., Analisis bibliométrico de la revista Infectio 1995 a 2011 (2012) Infectio, 16 (3), pp. 166-172; Rincon, H., Valencia, G., Cardernas, J., Colombia?s Contribution to the Use of Biogas from Solid Waste: A Bibliometric Analysis (2018) Contemporary Engineering Sciences, Vol, 11 (78), pp. 3873-3882; Rojas-Sola, J.I., De San-Antonio-Gomez, C., Analisis bibliometrico de las publicaciones científicas colombiana en la categoría engineering multidisciplinary de la base de datos Web of Science 1997-2009 (2010) Dyna, Vol, 77 (164), pp. 9-17; Aguilera-Prado, M., Aguirre, C., Salcedo, O., Approach to Citation Determinants of Articles from Colombian Engineering Journals in Scopus (2017) Contemporary Engineering Sciences, 10 (26), pp. 1279-1286; Tahamtan, I., Safipour Afshar, A., Ahamdzadeh, K., Factors Affecting Number of Citations: A Comprehensive Review of the Literature (2016) Scientometrics, Vol, 107, pp. 1195-1225; Mingers, J., Leysderdoff, L., A Review of Theory and Practice in Scientometrics (2015) European Journal of Operational Research, Vol, 246, pp. 1-19; Chen, L., Baird, A., Straub, D., An Analysis of the Evolving Intellectual Structure of Health Information Systems Research in the Information Systems Discipline (2019) Journal of the Association for Information Systems, Vol, 20 (8), pp. 1023-1074; Yang, J., Ward, J., Gharavi, E., Dawson, J., Alvarado, R., Bi-Directional Relevance Matching between Medical Corpora, In: Proc. of (2019) Systems and Information Engineering Design Symposium (SIEDS?19, 2019, pp. 1-6; Boyack, K.W., Newman, D., Duhon, R.J., Klavans, R., Patek, M., Biberstine, J.R., Schijvenaars, B., Borner, K., Clustering More than Two Million Biomedical Publications: Comparing the Accuracies of Nine Text-Based Similarity Approaches (2011) PLOS One, Vol, 6 (3), pp. 1-11; Kulkarni, S., Apte, U., Evangelopoulos, N., The Use of Latent Semantic Analysis in Operations Management Research (2014) Decision Sciences, Vol, 45 (5), pp. 971-994; Landauer, T.K., Dumais, S.T., A Solution to Plato?s Problem: The Latent Semantic Analysis Theory (1997) Psychological Review, Vol, 104 (2), pp. 211-240; Gutierrez M., R., Analisis Semantico Latente: Teoria psicologica del significado? (2005) Signos, 38 (9), pp. 303-323; Deerwester, S., Dumais, S.T., Furnas, G.W., Landauer, T.K., Harshman, R., Indexing by Latent Semantic Analysis (1990) Journal of American Society for Information Science, Vol, 41 (6), pp. 391-407; Berry, M.W., Dumais, S.T., Obrien, G.W., Using Linear Algebra for Intelligent Information Retrieval (1995) SIAM Review, 37 (4), pp. 573-595; Schwartz, C., Lsemantica, A., A Command for Text Similarity Based on Latent Semantic Analysis (2019) The Stata Journal, Vol, 19 (1), pp. 129-142</t>
  </si>
  <si>
    <t>Sciendo</t>
  </si>
  <si>
    <t>2-s2.0-85129062958</t>
  </si>
  <si>
    <t>Mahop R.-A.M.M.</t>
  </si>
  <si>
    <t>57639584900;</t>
  </si>
  <si>
    <t>The Oral Epic of Ngombi Nliga Ngwan: between Literariness and Pragmatics [O épico oral de Ngombi nliga Ngwan: entre literariedade e pragmática] [La epopeya oral de Ngombi Nliga Ngwan: entre literariedad y pragmática*]</t>
  </si>
  <si>
    <t>e13776</t>
  </si>
  <si>
    <t>10.19053/01218530.n43.2022.13776</t>
  </si>
  <si>
    <t>https://www.scopus.com/inward/record.uri?eid=2-s2.0-85128839156&amp;doi=10.19053%2f01218530.n43.2022.13776&amp;partnerID=40&amp;md5=e34162316da7b524c502a3271ab0d388</t>
  </si>
  <si>
    <t>Université de Yaoundé I, Cameroon</t>
  </si>
  <si>
    <t>Mahop, R.-A.M.M., Université de Yaoundé I, Cameroon</t>
  </si>
  <si>
    <t>This paper studies an oral epic from the Cameroon’s Basaa, translated into French and annotated recently for the first time (2019). Resorting to an interdisciplinary methodology, this research combines contributions from anthropology, stylistics, and literary pragmatics. The reflection attempts to underline the literariness on this epic, which not only brings the fundamental traits commonly accepted as literary ones of the genre, but also lends itself to the theories developed in recent decades within the framework of reception theory. Thus, the work is embedded in the context in which it is stated, and certain sociological and axiological values, typical of the Cameroonian Basaa socioculture are emphasized. © 2022, Universidad Pedagogica y Tecnologica de Colombia, Instituto de Investigaciones y Formacion Avanzada. All rights reserved.</t>
  </si>
  <si>
    <t>Basaa people; Cameroonian traditional literature; literariness; oral epic; pragmatics</t>
  </si>
  <si>
    <t>Baumgardt, Ursule, Derive, Jean, (2008) Littératures orales africaines. Perspectives théoriques et méthodologiques, , (eds). París, Karthala; Derive, Jean, L’oralité, un mode de civilisation (2008) Littératures orales africaines. Perspectives théoriques et méthodologiques, pp. 17-34. , en Ursule Baumgardt y Jean Derive (coord) París, Karthala; Eco, Umberto, (1997) Opera aperta, forma e indeterminazione nelle poetiche contemporanee, , Milano, Saggi Tascabili-Bompiani; Belinga, Eno, Martin, Samuel, (1978) L’épopée camerounaise, , Mvet. Yaoundé, Ceper; Finnegan, Ruth, (2012) Oral Literature in Africa, , https://doi.org/10.11647/OBP.0025, Cambridge, Open Books Publisher; Konka, Romain, Histoire de la littérature camerounaise i, , Paris, Mazères 2000[1983]; Makani, Antoine-Guillaume, (2019) Ngombi Nliga Ngwan. Epopée Basaa du 19ème siècle, 1. , Yaoundé, Editions du Cerdotola; Mayoral, José Antonio, (1994) Las figuras retóricas, , Madrid, Síntesis; Mwamba, Cabakulu, De l’oralité à l’écriture ou de l’africanité à la transculturalité (2009) Ars &amp; Humanitas, 3 (1-2), pp. 63-87. , https://doi.org/10.4312/ars.3.1-2.63-87, Web. 13 Oct. 2021; Ong, Walter, (2006) Oralidad y escritura, tecnologías de la palabra, , Traducido por Angélica Scherp. México, Fondo de Cultura Económica; Reyzábal, María Victoria, (1998) Diccionario de términos literarios, , Madrid, Acento Editorial; Seydou, Christiane, Réflexions sur les structures narratives du texte épique. L’exemple des épopées peule et bambara (1983) L’homme. Tomo, 23 (3), pp. 41-54. , https://doi.org/10.3406/hom.1983.368414, Web 14 Sep. 2021; Seydou, Christiane, Épopées et identité: exemples africains (1989) Journal des Africanistes, 58 (1), pp. 7-22. , https://doi.org/10.3406/jafr.1988.2246, Web. 20 Sep. 2021; Tamsir Niane, Djibril, (1960) Soundjata ou l’épopée mandingue, , París, Présence Africaine; Wognon, Jean-Marcel Eugene, (2010) Les Bassa du Cameroun. Monographie historique d’après la tradition orale, , Ouagadougou, L’Harmattan; Zumthor, Paul, (1991) Introducción a la poesía oral, , https://archive.org/details/zumthor-paul-introduccion-a-la-poesia-oral, Traducido por María Concepción García-Lomas. Madrid, Taurus, Web. 20 Sep. 2021</t>
  </si>
  <si>
    <t>Mahop, R.-A.M.M.; Université de Yaoundé ICameroon; email: mahorom2006@yahoo.fr</t>
  </si>
  <si>
    <t>2-s2.0-85128839156</t>
  </si>
  <si>
    <t>Ramos S.P.</t>
  </si>
  <si>
    <t>57641609400;</t>
  </si>
  <si>
    <t>The Roots of Traditional Literature Interwoven in the Magical Universe of Harry Potter [As raízes da literatura tradicional tecidas no universo mágico de Harry Potter] [Las raíces de la literatura tradicional entretejidas en el universo mágico de Harry Potter*]</t>
  </si>
  <si>
    <t>https://www.scopus.com/inward/record.uri?eid=2-s2.0-85128831167&amp;doi=10.19053%2f01218530.n43.2022.13779&amp;partnerID=40&amp;md5=44be070e290ba2da40b9c7ba95c8b7c5</t>
  </si>
  <si>
    <t>Ramos, S.P., Universidad Pedagógica y Tecnológica de Colombia, Colombia</t>
  </si>
  <si>
    <t>The purpose of this paper is to highlight both, the validity and importance of traditional literature, in the creation of the diverse imaginary worlds offered by contemporary literature for young people. To this end, some of the topics and motifs of traditional literature that weave the story of Harry Potter are analyzed. The focus is specifically on making an exhaustive comparative review on the appearance of the fatality of death, and the figure of “the unnamable” in traditional stories compiled by Wilhelm and Jacob Grimm and published in the first edition of Kinder-und Hausmärchen. By relating the stories of the Grimm brothers with some intradiegetic tales of the Harry Potter saga, it is evident how some stories are adapted from mythological tales and updated to a contemporary magical universe. © 2022, Universidad Pedagogica y Tecnologica de Colombia, Instituto de Investigaciones y Formacion Avanzada. All rights reserved.</t>
  </si>
  <si>
    <t>Baquedano Morales, Teresa, Salamandras y silfos: una aproximación a los elementales en la literatura francesa de los siglos xvii y xviii (2008) EPOS, 24, pp. 157-171. , https://doi.org/10.5944/epos.24.2008.10578, Web. 10 oct. 2021; Budge, E. A. Wallis, (2005) The literature of the Ancient Egyptians, , https://www.gutenberg.org/ebooks/15932, The Project Gutenberg, Web. 10 oct. 2021; Callejo, Jesús, Canales, Carlos, (1994) Duendes, , Madrid, Editorial EDAF, Impreso; Colodro, Max, (2000) El silencio en la palabra: aproximaciones a lo innombrable, , Santiago, Cuarto propio, Impreso; de la Hoz, Freja, Farid, Adrián, Literatura tradicional en Colombia: entre el folclor y el olvido (2021) Estudios de Literatura Colombiana, 49, pp. 155-174. , https://doi.org/10.17533/udea.elc.n49a09, Web. 17 feb. 2022; Gude, José Luis, Horrocruxes y almas externadas: literatura, folclore y Harry Potter (2008) Educación y Biblioteca, 20 (164), pp. 91-94. , https://gredos.usal.es/bitstream/handle/10366/119503/EB20_N164_P91-94.pdf?sequence=1&amp;isAllowed=y, Garrosa Web. 23 may. 2021; Gill, Sam D., Prayers as Person: the performative force in navajo prayer acts (1977) History of Religions, 17 (2), pp. 143-157. , https://doi.org/10.1086/462785, Web. 17 feb. 2022; Grimm, Jacob, Grimm, Wilhelm, Godfather death (2014) The original folk and fairy tales of the Brothers Grimm. The complete first edition, , https://doi.org/10.1515/9781400851898, Editado y traducido por Jack Zipes. Boston, Princeton University Press, Impreso; Grimm, Jacob, Grimm, Wilhelm, Rumpelstiltskin (2014) The original folk and fairy tales of the Brothers Grimm. The complete first edition, , https://doi.org/10.1515/9781400851898, Editado y traducido por Jack Zipes. Boston, Princeton University Press, Impreso; Havelock, Eric, (2008) La musa aprende a escribir, , Traducido por Luis Bredlow Wenda. Barcelona, Paidós, Impreso; Kluckhohn, Clyde, Myths and rituals: A general theory (1966) Myth and Literature: Contemporary Theory and Practice, pp. 33-34. , Editado por John B. Vickery. Lincoln, University of Nebraska Press, Impreso; Míguez, Eduardo José, Antropología e historia (2012) Memoria Americana, 20 (1), pp. 129-136. , Impreso; Moss, María, The Achiles’ Heel of absolute power: Narrative survival strategies in Native American literature (2000) Mirror writing: (re-)constructions of Native American identity, pp. 193-211. , Editado por Thomas Claviez y María Moss. Cambridge, Galda Wilch Verlag, Impreso; Rodríguez, Jaime, Muerte y literatura: cinco aproximaciones (2011) La muerte: siete visiones, una realidad, pp. 29-55. , Director José Luis Meza Rueda. Bogotá, Pontificia Universidad Javeriana, Impreso; Rowling, J. K., (1997) Harry Potter y la piedra filosofal, , Barcelona, Ediciones Salamandra, Impreso; Rowling, J. K., (1998) Harry Potter y la cámara secreta, , Barcelona, Ediciones Salamandra, Impreso; Rowling, J. K., (2005) Harry Potter y el misterio del príncipe, , Barcelona, Ediciones Salamandra, Impreso; Rowling, J. K., (2007) Harry Potter y las reliquias de la Muerte, , Barcelona, Ediciones Salamandra, Impreso; Rowling, J. K., (2008) Los cuentos de Beedle el Bardo, , Madrid, Ediciones Salamandra, Impreso</t>
  </si>
  <si>
    <t>Ramos, S.P.; Universidad Pedagógica y Tecnológica de ColombiaColombia; email: stephanie.patino@uptc.edu.co</t>
  </si>
  <si>
    <t>2-s2.0-85128831167</t>
  </si>
  <si>
    <t>Arranz Mínguez C.J., Méndez López N.F.</t>
  </si>
  <si>
    <t>57218378275;57638558200;</t>
  </si>
  <si>
    <t>Omitted speech and literary speech in Río Escondido: visual and literary approach, and the issue of script’s authorship [Fala omitida e fala literária em Río Escondido: algumas chaves visuais e literárias que diluem ou esclarecem a autoria de um roteiro de filme] [Discurso omitido y discurso literario en Río Escondido: algunas claves visuales y literarias que diluyen o esclarecen la autoría de un guion*]</t>
  </si>
  <si>
    <t>e13749</t>
  </si>
  <si>
    <t>10.19053/01218530.n43.2022.13749</t>
  </si>
  <si>
    <t>https://www.scopus.com/inward/record.uri?eid=2-s2.0-85128816988&amp;doi=10.19053%2f01218530.n43.2022.13749&amp;partnerID=40&amp;md5=b2119d8ab37d3e4728a30d3d7f7f88a4</t>
  </si>
  <si>
    <t>Instituto Tecnológico Autónomo de México (ITAM), Mexico; El Colegio de México (Colmex), Mexico</t>
  </si>
  <si>
    <t>Arranz Mínguez, C.J., Instituto Tecnológico Autónomo de México (ITAM), Mexico; Méndez López, N.F., El Colegio de México (Colmex), Mexico</t>
  </si>
  <si>
    <t>The aim of this work is to establish the significance of the film Río Escondido’s script. Consequently, it is evident that in this film the role of the author is different since its script is a collective, polyphonic, and convergent work. In such a way, it is analyzed the History’s documents in connection to the story from the script as a semiotic approach that allows the transfer from text to screen. By this way, the analysis is focused on the relevance of the script’s literariness which is supressed in the film and might implies a controversy in between the writer and the director. It is concluded, in this approach, the importance of the literary analysis in the Mexican film industry, far away from mercantilization and stated cliches. © 2022, Universidad Pedagogica y Tecnologica de Colombia, Instituto de Investigaciones y Formacion Avanzada. All rights reserved.</t>
  </si>
  <si>
    <t>cinematographic semiotic; golden age; literary script; Mauricio Magdaleno; Mexican cinema; Río Escondido</t>
  </si>
  <si>
    <t>Arranz Mínguez, Conrado José, Estudio preliminar (2013) El resplandor. Mauricio Magdaleno, pp. 11-108. , Madrid, Universidad Nacional de Educación a Distancia; Arranz Mínguez, Conrado José, (2014) El universo literario de Mauricio Magdaleno (1906-1986), , Tesis de Doctorado. Madrid, Universidad Nacional de Educación a Distancia; Bálazs, Béla, (1978) El film: evolución y ciencia de un arte nuevo, , Traducido por Enric VázquezBarcelona, Editorial Gustavo Gili S. A; Bourdieu, Pierre, (2010) Las reglas del arte. Génesis y estructura del campo literario, , Traducido por Thomas Kauf. Barcelona, Anagrama; Brennan, Juan Arturo, Río Escondido. Las peripecias de una restauración Revista Liber, , https://centroricardobsalinaspliego.org/ayc-biblioteca/rio-escondido-las-peripecias-de-una-restauracion/, 19 de abril de 2021. Web. 2 Nov. 2021; Carballo, Emmanuel, (1994) Protagonistas de la literatura mexicana, , México, Porrúa; Cuauhtémoc, Carmona Álvarez, Sánchez, Carlos, (2012) El Estado y la imagen en movimiento. Reflexiones sobre las políticas públicas y el cine mexicano, , y Sánchez. México, Conaculta Instituto Mexicano de Cinematografía; De los Reyes García-Rojas, Aurelio, Del cine mudo al sonoro (2016) Miradas al cine mexicano, 1, pp. 17-65. , Coordinado por Aurelio de los Reyes García-Rojas. México, Instituto Mexicano de Cinematografía Secretaría de Cultura; (2021) El Colegio de México, , https://dem.colmex.mx/Inicio, Web. 2 Nov. 2021; García Riera, Emilio, La Malquerida (1992) Historia documental del cine mexicano, 5, pp. 49-52. , México, Universidad de Guadalajara; (1947) Fondo Reservado Mauricio Magdaleno, , Universidad Intercontinental; Huerta, César, «Río escondido», con María Félix, se exhibirá restaurada en la Cineteca El Universal, , https://www.eluniversal.com.mx/espectaculos/cine/rio-escondido-con-maria-felix-se-exhibira-restaurada-en-la-cineteca, 18 de junio de 2021. Web. 20 Oct. 2021; Huerta, Efraín, (2010) Close up. Crítica cinematográfica de Efraín Huerta, 1. , Editado por Alejandro García y colaboración de Evelin Tapia. Guanajuato, Ediciones La Rana Universidad de Guanajuato; Huerta, Efraín, (2014) El otro Efraín. Antología prosística, , Editado por Carlos Ulises Mata. México, Fondo de Cultura Económica; Huerta-Nava, Raquel, Prólogo (2014) Cine y Anticine”. Las cuarenta y nueve entregas, pp. 9-11. , México, Universidad Nacional Autónoma de México; Magdaleno, Mauricio, Diario personal, , Archivo Rosario Magdaleno, s/f; Magdaleno, Mauricio, (1936) Concha Bretón, El compadre Mendoza, El baile de los Pintos, , México, Ediciones Botas; Magdaleno, Mauricio, (1949) La Tierra Grande, , México, Espasa-Calpe; Magdaleno, Mauricio, Mauricio Magdaleno (1976) Testimonios para la historia del cine mexicano, 3, pp. 25-36. , Coordinado por Eugenia Meyer. México, Cineteca Nacional; Magdaleno, Mauricio, (2013) El resplandor, , Editado por Conrado José Arranz. Madrid, Universidad Nacional de Educación a Distancia; Martínez Martínez, Germán, Río escondido o el espejo nefasto, , https://www.etcetera.com.mx/opinion/rio-escondi-do-o-el-espejo-nefasto/?fbclid=iwar1z4a6p5yx1q3ll3w4wkxfcz5-ip-1eeoau3t1qt1i-vvxb_csgfu3mdtai, Etcétera, 16 de julio de 2021. Web. 20 Oct. 2021; Molina, Silvia, Entrevista a Mauricio Magdaleno. Un artista en la historia de México (1981) Unomásuno. Sábado, 214, pp. 3-4. , Impreso; Monsiváis, Carlos, (2017) Carlos Monsiváis: reflexiones acerca del cine mexicano, , Editado por David R. Maciel. México, Cineteca Nacional; Peredo Castro, Francisco, Las intervenciones gubernamentales como estrategia de crecimiento y supervivencia durante la Segunda Guerra Mundial y la posguerra (1940-1952) (2012) El estado y la imagen en movimiento. Reflexiones sobre las políticas públicas y el cine mexicano, pp. 75-108. , Coordinado por Cuauhtémoc Carmona Álvarez y Carlos Sánchez y Sánchez. México, Conaculta Instituto Mexicano de Cinematografía; Peredo, Francisco, La dramática fílmica de José Revueltas en el cine mexicano (2015) José Revueltas. Obra cinematográfica (1943-1976), pp. 47-188. , Coordinado por Francisco Peredo y Carlos Narro. México, Universidad Nacional Autónoma de México; Pollarolo, Giovanna, El guion cinematográfico, ¿texto literario? (2011) Lexis, 35 (1), pp. 289-319. , Impreso; Rocco, Alessandro, El guion cinematográfico en la historia literaria mexicana (1940-1968) (2019) Auge y declive del nacionalismo. La cultura literaria entre el compromiso, la ruptura y la tradición (1940-1968), pp. 343-364. , Coordinado por Alberto Vital Díaz y Adriana de Teresa y Ochoa. México, Universidad Nacional Autónoma de México; Rulfo, Juan, (2005) Pedro Páramo, , México, Editorial RM Fundación Juan Rulfo; . John Marner, Terence, (1976) Cómo dirigir cine, , St Trad. Graciela Colombo y Mariano Aguirre. Madrid, Fundamentos; Taibo, Paco Ignacio, (1986) El “Indio” Fernández. El cine por mis pistolas, , México, Joaquín Mortiz Planeta; Torres Portillo, Adolfo, (2014) Autobiografía de un guión cinematográfico, , 2.ª ed. Querétaro, México, Calygramma; Tuñón Pablos, Julia, Una escuela en celuloide. El cine de Emilio «Indio» Fernández o la obsesión por la educación (1998) Historia Mexicana, 48 (2), pp. 437-470. , (oct.-dic): Impreso; Tuñón Pablos, Julia, La Revolución Mexicana, comadrona de un fracaso: El agrarismo en el cine de Emilio Fernández (2006) Justicia social: debate político del siglo xx, pp. 61-90. , Editado por Ruth Arboleyda et al., México, Yehuetlatolli, A. C; Zavala, Lauro, (2018) Para analizar cine y literatura, , Madrid, El Barco Ebrio</t>
  </si>
  <si>
    <t>2-s2.0-85128816988</t>
  </si>
  <si>
    <t>Sermeño-Correa C., Lopera-Toro A., Moreno-Mancilla O., Candamil-Baños J., Ramírez-Restrepo L., Taboada-Verona C.</t>
  </si>
  <si>
    <t>57210291692;57195931500;57222620486;57608526400;55695644600;57193851686;</t>
  </si>
  <si>
    <t>Diversity of dung beetles (Coleoptera: Scarabaeidae) in three urban areas from Colombian Caribbean [Diversidad de escarabajos coprófagos (Coleoptera: Scarabaeidae) en tres zonas urbanizadas del Caribe colombiano]</t>
  </si>
  <si>
    <t>Revista Peruana de Biologia</t>
  </si>
  <si>
    <t>10.15381/RPB.V29I1.20887</t>
  </si>
  <si>
    <t>https://www.scopus.com/inward/record.uri?eid=2-s2.0-85128634017&amp;doi=10.15381%2fRPB.V29I1.20887&amp;partnerID=40&amp;md5=1dcf2fa39ba4d4d49ecc308242c661f4</t>
  </si>
  <si>
    <t>Investigaciones Biomédicas, Universidad de Sucre, Sincelejo, Colombia; Fundación Ecotrópico Colombia, DC, Bogotá, Colombia; Grupo de Investigación en Sistemática Biológica sisbio, Universidad Pedagógica y Tecnológica de Colombia, Boyacá, Tunja, Colombia; Universidad de Sucre, Sincelejo, Colombia; Grupo Conservación de Ecosistemas, Departamento Administrativo de Gestión del Medio Ambiente -DAG-MA, Alcaldía de Santiago de Cali. Avenida 5AN #20-08, Valle del Cauca, Cali, Colombia; Grupo Evolución y Sistemática Tropical, Universidad de Sucre, Sincelejo, Colombia; MCS Consultoría y Monitoreo Ambiental, Bogotá, Colombia</t>
  </si>
  <si>
    <t>Sermeño-Correa, C., Investigaciones Biomédicas, Universidad de Sucre, Sincelejo, Colombia; Lopera-Toro, A., Fundación Ecotrópico Colombia, DC, Bogotá, Colombia; Moreno-Mancilla, O., Grupo de Investigación en Sistemática Biológica sisbio, Universidad Pedagógica y Tecnológica de Colombia, Boyacá, Tunja, Colombia; Candamil-Baños, J., Universidad de Sucre, Sincelejo, Colombia; Ramírez-Restrepo, L., Grupo Conservación de Ecosistemas, Departamento Administrativo de Gestión del Medio Ambiente -DAG-MA, Alcaldía de Santiago de Cali. Avenida 5AN #20-08, Valle del Cauca, Cali, Colombia; Taboada-Verona, C., Grupo Evolución y Sistemática Tropical, Universidad de Sucre, Sincelejo, Colombia, MCS Consultoría y Monitoreo Ambiental, Bogotá, Colombia</t>
  </si>
  <si>
    <t>In this paper, diversity and composition of dung beetles assemblage was study in three urbanized areas with different ecological characteristics from Sucre department, Colombia. Individuals were captured with baited pitfall traps. Sampling effort, range-abundance curves, alpha and beta diversity indices were estimated and compared among the sites. Seven hundred ten individuals grouped into nine genera and 13 species were recorded. The completeness analysis yielded values above 97%. The most diverse assemblage in any of the three orders of "q" was found in the site with a mixture of buildings, gardens, and a patch of secondary vegetation forest, followed by the site with few facilities and open green spaces, and the least diverse site corresponded to the area surrounded by buildings with little vegetation cover. Sorensen-Dice index similarity among the three sites was 38%. The range-abundance curves showed higher species equitability in the most diverse site. The results show that the beetle assemblage composition depends on environmental conditions and the degree of urbanization. It was also evident that some species have high adaptability to urban spaces and others are potentially at risk of local extinction events. © Los autores.</t>
  </si>
  <si>
    <t>anthropogenic disturbance; Canthon mutabilis; Tropical dry forest; urban ecology; urban habitat</t>
  </si>
  <si>
    <t>A Claudia Medina Uribe por la corroboración de las especies.</t>
  </si>
  <si>
    <t>Aguilera-Díaz, M., (2005) La economía del departamento de Sucre: ganadería y sector público, , https://doi.org/10.32468/dtseru.63, Colombia: Editorial Banco de la República; Amell-Caez, Y, Decastro-Arrazola, I, García, H, Monroy-G, J, Noriega, J., Spatial diversity of dung beetle assemblages (Coleoptera: Scarabaeidae: Scarabaeinae) in five ecoregions from Sucre, Colombian Caribbean coast (2019) Revista Colombiana de Entomología, 45 (2), p. e7963. , https://doi.org/10.25100/socolen.v45i2.7963; Andresen, E., Effects of dung presence, dung amount and secondary dispersal by dung beetles on the fate of Micropholis guyanensis (Sapotaceae) seeds in Central Amazonia (2001) Journal of Tropical Ecology, 17 (1), pp. 61-78. , https://doi.org/10.1017/S0266467401001043; Arriaga, A, Halffter, G, Moreno, C., Biogeographical affinities and species richness of copronecrophagous beetles (Scarabaeoidea) in the southeastern Mexican High Plateau (2012) Revista Mexicana de Biodiversidad, 83, pp. 519-529. , https://doi.org/10.22201/ib.20078706e.2012.2.933; Barraza, J, Montes, J, Martínez, N, Deloya, C., Ensamblaje de escarabajos coprófagos (Scarabaeidae: Scarabaeinae) del Bosque Tropical Seco, Bahía Concha, Santa Marta (Colombia) (2010) Revista Colombiana de Entomología, 36 (2), pp. 285-291; Baselga, A., Partitioning the turnover and nestedness components of beta diversity (2010) Global Ecology and Bio-geography, 19 (1), pp. 134-143. , https://doi.org/10.1111/j.1466-8238.2009.00490.x; Baselga, A, Orme, C., betapart: an R package for the study of beta diversity (2012) Methods in Ecology and Evolution, 3 (5), pp. 808-812. , https://doi.org/10.1111/j.2041210X.2012.00224.x; Beninde, J, Veith, M, Hochkirch, A., Biodiversity in cities needs space: a meta-analysis of factors determining intra-urban biodiversity variation (2015) Ecology Letters, 18, pp. 581-592. , https://doi.org/10.1111/ele.12427; Camero-Rubio, E., Los escarabajos del género Eurysternus Dalman, 1824 (Coleoptera: Scarabaeidae) de Colombia (2010) Boletín de la Sociedad Entomológica Aragonesa, 46, pp. 147-179; Carpaneto, GM, Mazziotta, A, Piattella, E., Changes in food resources and conservation of scarab beetles: from sheep to dog dung in a green urban area of Rome (Coleoptera, Scarabaeoidea) (2005) Biological Conservation, 123, pp. 547-556. , https://doi.org/10.1016/j.biocon.2004.12.007; Cave, R., Scientific note: observations of urban dung beetles utilizing dog feces (Coleoptera: Scarabaeidae) (2005) The Coleopterists Bulletin, 59 (3), pp. 400-401. , https://doi.org/10.1649/748.1; Chao, A, Jost, L., Coverage-based rarefaction and extrapolation: standardizing samples by completeness rather than size (2012) Ecology, 93 (12), pp. 2533-2547. , https://doi.org/10.1890/11-1952.1; Chao, A, Gotelli, NJ, Hsieh, TC, Sander, EL, Ma, KH, Colwell, RK, Ellison, AM., Rarefaction and extrapolation with Hill numbers: a framework for sampling and estimation in species diversity studies (2014) Ecological Monographs, 84 (1), pp. 45-67. , https://doi.org/10.1890/13-0133.1; Correa, CM, Ferreira, KR, Puker, A, Audino, LD, Korasaki, V., Greenspace sites conserve taxonomic and functional diversity of dung beetles in an urbanized landscape in the Brazilian Cerrado (2021) Urban Ecosyst, 24, pp. 1023-1034. , https://doi.org/10.1007/s11252-021-01093-8; Delgado-Gómez, P, Lopera, A, Rangel-Ch, JO., Variación espacial del ensamblaje de escarabajos coprófagos (Scarabaeidae: Scarabaeinae) en remanentes de bosque seco en Chimichagua (Cesar, Colombia) (2012) Colombia Diversidad Biótica XII: La región Caribe de Colombia, pp. 833-849. , En: Rangel-Ch JO, (Ed). Bogotá: Instituto de Ciencias Naturales; Delgado, Y, Burkman, C, Eldredge, T, Gardiner, M., Patch and landscape-scale variables influence the taxonomic and functional composition of beetles in urban greenspaces (2017) Ecosphere, 8 (11), p. e02007. , https://doi.org/10.1002/ecs2.2007; Edmonds, WD, Zidek, J., A taxonomic review of the neotropical genus Coprophanaeus Olsoufieff, 1924 (Coleoptera: Scarabaeidae, Scarabaeinae) (2010) Insecta Mundi, 129, pp. 1-111; Escobar, F., Estudios de la comunidad de coleópteros coprófagos (Scarabaeidae) en un remaente de bosque seco al norte del Tolima, Colombia (1997) Caldasia, 19 (3), pp. 419-430; Escobar, F, Chacón De Ulloa, P., Distribución espacial y temporal en un gradiente de sucesión de la fauna de coleópteros coprófagos (Scarabaeinae, Aphodiinae) en un bosque tropical montano, Nariño-Colombia (2000) Revista de Biología Tropical, 48 (4), pp. 961-975; Fattorini, S., Insect extinction by urbanization: a long term study in Rome (2011) Biological Conservation, 144, pp. 370-375. , http://dx.doi.org/10.1016/j.biocon.2010.09.014; Filgueiras, BK, Iannuzzi, L, Leal, IR., Habitat fragmentation alters the structure of dung beetle communities in the Atlantic Forest (2011) Biological Conservation, 144 (1), pp. 362-369. , https://doi.org/10.1016/j.biocon.2010.09.013; Fowler, F, Denning, S, Hu, S, Watson, W., Carbon Neutral: The failure of dung beetles (Coleoptera: Scarabaeidae) to affect dung-generated greenhouse gases in the pasture (2020) Environmental entomology, 49 (5), pp. 1105-1116. , https://doi.org/10.1093/ee/nvaa094; Fuentes-Medina, P, Camero-Rubio, E., Estudio de la fauna de escarabajos coprófagos (Coleoptera: Scarabaeidae) en un Bosque Húmedo Tropical de Colombia (2009) Entomotrópica, 21 (3), pp. 133-143; Gámez, J, Acconcia, R., Informaciones ecológicas sobre Coprophanaeus (Coprophanaeus) gamezi Arnaud (Coleoptera: Scarabaeidae: Phanaeini) en un sistema agropastoril en la depresión de Maracaibo, Estado de Zulia, Venezuela (2009) Acta Zoológica Mexicana, 25 (2), pp. 387-396. , https://doi.org/10.21829/azm.2009.252645; González-Alvarado, A, Medina, CA., Listado de especies de escarabajos coprófagos (Coleoptera: Scarabaeidae: Scarabaeinae) de bosque seco de Colombia (2015) Biota Colombiana, 16 (1), pp. 36-44; Halffter, G, Favila, M., The Scarabaeinae (Insecta: Coleoptera) an animal group for analyzing, inventorying and monitoring biodiversity in tropical rainforest and modified landscapes (1993) Biology International, 27, pp. 15-21; Hamer, A, McDonnell, M., Amphibian ecology and conservation in the urbanising world: A review (2008) Biological Conservation, 141 (10), pp. 2432-2449. , https://doi.org/10.1016/j.biocon.2008.07.020; Hanski, I, Cambefort, Y., (1991) Dung beetle ecology, , https://doi.org/10.1515/9781400862092, USA: Princeton University Press; Holdridge, LR., (1987) Ecología basada en zonas de vida, p. 216. , San José, Costa Rica: Instituto Interamericano de Cooperación para la Agricultura; Howden, HF, Howden, AT, Storey, RI., Nocturnal perching of Scarabaeine dung beetles (Coleoptera, Scarabaeidae) in an Australian tropical rain forest (1991) Biotropica, 23 (1), pp. 51-57. , https://doi.org/10.2307/2388687; Jiménez-Ferbans, L, Mendieta, W, García, H, Amat, G., Notas sobre los escarabajos coprófagos (Coleoptera: Scarabaeinae) en ambientes secos de la región de Santa Marta, Colombia (2008) Acta Biológica Colombiana, 13 (2), pp. 203-208; Jost, L., Entropy and Diversity (2006) Okios, 113 (2), pp. 363-375. , https://doi.org/10.1111/j.2006.0030-1299.14714.x; Knop, E., Biotic homogenization of three insect groups due to urbanization (2016) Global Change Biology, 22, pp. 228-236. , https://doi.org/10.1111/gcb.13091; Kohlmann, B, Solís, A., El género Onthophagus (Coleoptera: Scarabaeidae) (2001) Giornale Italiano di Entomologia, 9, pp. 159-261; Korasaki, V, Lopes, J, Gardner, G, Louzada, J., Using dung beetles to evaluate the effects of urbanization on Atlantic Forest biodiversity (2013) Insect Science, 20, pp. 393-406. , https://doi.org/10.1111/j.1744-7917.2012.01509.x; Lovett, GM, Tear, TH, Evers, DC, Findlay, SE, Cosby, BJ, Dunscomb, JK, Driscoll, CT, Weathers, KC., Effects of air pollution on ecosystems and biological diversity in the eastern United States (2009) Annals of the New York Academy of Sciences, 1162, pp. 99-135. , http://dx.doi.org/10.1111/j.1749-6632.2009.04153.x; Lynch, AJ., Creating Effective Urban Greenways and Stepping-stones: Four Critical Gaps in Habitat Connectivity Planning Research (2019) Journal of Planning Literature, 34 (2), pp. 131-155. , https://doi.org/10.1177/0885412218798334; MacGregor-Fors, I, Avendaño-Reyes, S, Bandala, VM, Multi-taxonomic diversity patterns in a neotropical green city: a rapid biological assessment (2015) Urban Ecosystems, 18 (2), pp. 633-647. , https://doi.org/10.1007/s11252-014-0410-z; Martello, F, Andriolli, F, de Souza, TB, Dodonov, P, Ribeiro, M., Edge and land use effects on dung beetles (Coleoptera: Scarabaeidae: Scarabaeinae) in Brazilian cerrado vegetation (2016) J Insect Conserv, 20, pp. 957-970. , https://doi.org/10.1007/s10841-016-9928-0; Martínez, NJ, Cañas, LM, Rangel, JL, Barraza, J, Montes, J, Blanco, OR., Coleópteros coprófagos (Scarabaeidae: Scarabaeinae) en un fragmento de bosque seco tropical en el departamento del Atlántico, Colombia (2010) Boletín del Museo de Entomología de la Universidad del Valle, 11 (1), pp. 21-30; Martínez, NJ, Muñoz, GS, Quintero, KS, Méndez, JB., Escarabajos coprófagos (Coleoptera: Scarabaeinae) asociados a excrementos de mamíferos en un fragmento de bosque seco tropical en el Departamento del Atlántico, Colombia (2012) Ecología austral, 22 (3), pp. 203-210. , https://doi.org/10.25260/EA.12.22.3.0.1227; McKinney, ML., Urbanization as a major cause of biotic homogenization (2006) Biological Conservation, 127 (3), pp. 247-260. , https://doi.org/10.1016/j.biocon.2005.09.005; McKinney, ML., Effects of urbanization on species richness: a review of plants and animals (2008) Urban Ecosyst, 11 (2), pp. 161-176. , https://doi.org/10.1007/s11252-007-0045-4; Medina, CA, Lopera, A., Clave ilustrada para la identificación de géneros de escarabajos coprófagos (Coleoptera: Scarabaeinae) de Colombia (2000) Caldasia, 22 (2), pp. 299-315; Moreno, C, Verdú, J, Arita, H., Elementos ecológicos e históricos como determinantes de la diversidad de especies en comunidades (2007) Monografías Tercer Milenio Sociedad Entomológica Aragonesa (SEA), 7, pp. 179-191; Navarro, L, Roman, K, Gómez, H, Pérez, A., Variación estacional en escarabajos coprófagos (Coleoptera: Scarabaeidae: Scarabaeinae) de la serranía de Coraza, Sucre (Colombia) (2011) Revista Colombiana de Ciencia Animal, 3 (1), pp. 102-110. , https://doi.org/10.24188/recia.v3.n1.2011.330; Nichols, E, Spector, S, Louzada, J, Larsen, T, Amezquita, S, Favila, M., Ecological functions and ecosystem services provided by Scarabaeinae dung beetles (2008) Biological Conservation, 141 (6), pp. 1461-1474. , https://doi.org/10.1016/j.biocon.2008.04.011; Noriega, JA, Barranco, W, Hernández, J, Hernández, E, Castillo, S, Monroy, D, García, H., Estructura estacional del ensamblaje de escarabajos coprófagos (Coleoptera: Scarabaeinae) en una parcela permanente de bosque seco tropical (2016) Revista de la Academia Colombiana de Ciencias Exactas, Físicas y Naturales, 40 (154), pp. 75-83. , https://doi.org/10.18257/raccefyn.255; Noriega, JA, Zapata-Prisco, C, García, H, Hernández, E, Hernández, J, Martínez, R, Santos-Santos, J, Calatayud, J., Does ecotourism impact biodiversity? An assessment using dung beetles (Coleoptera: Scarabaeinae) as bioindicators in a tropical dry forest natural park (2020) Ecological Indicators, 117, p. 106580. , https://doi.org/10.1016/j.ecolind.2020.106580; Noriega, JA, March-Salas, M, Castillo, S, García-Q, H, Hortal, J, Santos, AM., Human perturbations reduce dung beetle diversity and dung removal ecosystem function (2021) Biotropica, 53 (3), pp. 753-766. , https://doi.org/10.1111/btp.12953; Noriega, JA, Santos, AM, Calatayud, J, Chozas, S, Hortal, J., Short-and long-term temporal changes in the assemblage structure of Amazonian dung beetles (2021) Oecologia, 195 (3), pp. 719-736. , https://doi.org/10.1007/s00442-020-04831-5; Noriega, J, Solís, C, García, H, Murillo-Ramos, L, Renjifo, J, Olarte, J., Sinopsis de los escarabajos coprófagos (Coleoptera: Scarabaeinae) del Caribe colombiano (2013) Caldasia, 35 (2), pp. 465-477; Ortega-Álvarez, R, MacGregor-Fors, I., Dusting-off the file: Areview of knowledge on urban ornithology in Latin America (2011) Landscape Urban Plan, 101 (1), pp. 1-10. , https://doi.org/10.1016/j.landurbplan.2010.12.020; Pizano, C, Garcia, H, (2014) El bosque seco tropical en Colombia, , editores. Bogotá, Colombia: Instituto de Investigación de Recursos Biológicos Alexander von Humboldt (IAvH); Proppe, DS, Sturdy, CB, St Clair, CC., Anthropogenic noise decreases urban songbird diversity and may contribute to homogenization (2013) Global change biology, 19, pp. 1075-1084. , http://dx.doi.org/10.1111/gcb.12098; Ramírez-Restrepo, L, Halffter, G., Copro-necrophagous beetles (Coleoptera: Scarabaeinae) in urban areas: A global review (2016) Urban ecosystems, 19 (3), pp. 1179-1195. , https://doi.org/10.1007/s11252-016-0536-2; Rangel, JL, Blanco, OR, Gutierrez, BP, Martínez, NJ., Coleópteros coprófagos (Scarabaeidae: Scarabaeinae) asociados a excrementos de mamíferos de la Reserva Natural Luriza (RNL), Departamento del Atlántico, Colombia (2012) Boletín de la Sociedad Entomológica Aragonesa, 50, pp. 409-419; Rangel-Acosta, JL, Martínez-Hernández, NJ., Comparación de los ensamblajes de escarabajos copronecrófagos (Scarabaeidae: Scarabaeinae) entre fragmentos de bosque seco tropical y la matriz adyacente en el departamento del Atlántico-Colombia (2017) Revista Mexicana de Biodiversidad, 88 (2), pp. 389-401. , https://doi.org/10.1016/j.rmb.2017.03.012; (2021) R: A language and environment for statistical computing, , https://www.R-project.org/, R Foundation for Statistical Computing, Vienna, Austria; Salomão, RP, Alvarado, F, Baena-Díaz, F, Urbanization effects on dung beetle assemblages in a tropical city (2019) Ecological Indicators, 103, pp. 665-675. , https://doi.org/10.1016/j.ecolind.2019.04.045; Sarmiento-Garcés, R, Amat-García, G., (2014) Escarabajos del género Dichotomius Hope 1838 (Scarabaeidae: Scarabaeinae) en Colombia, p. 132. , Bogotá, Colombia: Universidad Nacional; Sarmiento-Garcés, R, Hernández, M., A decrease in taxonomic and functional diversity of dung beetles impacts the ecosystem function of manure removal in altered subtropical habitats (2021) Plos One, 16 (1), p. e0244783. , https://doi.org/10.1371/journal.pone.0244783; Shizukuda, K, Saito, MU., Effects of human-dominated landscape on the community structure of silphid and dung beetles collected by carrion pitfall traps (2021) Entomological Science, 24 (2), pp. 157-168. , https://doi.org/10.1111/ens.12466; Smith, A, Skelley, P., A review of the Aphodiinae (Coleoptera: Scarabaeidae) of southern South America (2007) Zootaxa, 1458, pp. 1-80. , https://doi.org/10.11646/zootaxa.1458.1.1; Solís, A, Kohlmann, B., El género Canthon (Coleoptera: Scarabaeidae) en Costa Rica (2002) Giornale Italiano di Entomologia, 10 (50), pp. 1-68; Solís, A, Kohlmann, B., El género Canthidium (Coleoptera: Scarabaeidae) en Costa Rica (2004) Giornale Italiano di Entomologia, 11 (52), pp. 1-73; Stokstad, E., Loss of dung beetles puts ecosystems in deep doodoo (2004) Science, 305, p. 1230. , https://doi.org/10.1126/science.305.5688.1230a; Taboada-Verona, C, Sermeño-Correa, C, Sierra-Serrano, O, Noriega, JA., Checklist of the superfamily Scarabaeoidea (Insecta, Coleoptera) in an urban area of the Caribbean Colombia (2019) Check List, 15, pp. 579-594. , https://doi.org/10.15560/15.4.579; Tonelli, M, Verdú, JR, Zunino, M., Effects of the progressive abandonment of grazing on dung beetle biodiversity: body size matters (2018) Biodiversity and Conservation, 27, pp. 189-204. , https://doi.org/10.1007/s10531-017-1428-3; Tovar, HL, Noriega, J, Caraballo, P., Efecto de la ivermectina sobre la estructura del ensamble de escarabajos coprófagos (Coleoptera: Scarabaeidae: Aphodiinae-Scarabaeinae) en las sabanas colombianas de la región Caribe (2016) Actualidades Biológicas, 38, pp. 157-166. , https://doi.org/10.17533/udea.acbi.v38n105a03; Whittaker, RH., Dominance and diversity in land plant communities: numerical relations of species express the importance of competition in community function and evolution (1965) Science, 147, pp. 250-260. , https://doi.org/10.1126/science.147.3655.250</t>
  </si>
  <si>
    <t>Taboada-Verona, C.; Grupo Evolución y Sistemática Tropical, Colombia; email: carlostaboadaverona@gmail.com</t>
  </si>
  <si>
    <t>Facultad de Ciencias Biologicas, Universidad Nacional Mayor de San Marcos</t>
  </si>
  <si>
    <t>Rev. Peru. Biol.</t>
  </si>
  <si>
    <t>2-s2.0-85128634017</t>
  </si>
  <si>
    <t>Gonzalez J.E.P., Piraquive M.S.R., Gonzalez C.P., Moreno M.A.S., Becerra N.M.P.</t>
  </si>
  <si>
    <t>57579798300;57210174084;57580203700;57580414400;57580000100;</t>
  </si>
  <si>
    <t>Factors Associated with Urinary Tract Infection after Prostatectomy [Factores asociados a infección de vías urinarias luego de una prostatectomía]</t>
  </si>
  <si>
    <t>Urologia Colombiana</t>
  </si>
  <si>
    <t>10.1055/s-0042-1743204</t>
  </si>
  <si>
    <t>https://www.scopus.com/inward/record.uri?eid=2-s2.0-85128421762&amp;doi=10.1055%2fs-0042-1743204&amp;partnerID=40&amp;md5=9450fe74239f125c30983a72b22aeff5</t>
  </si>
  <si>
    <t>Servicio de Urgencias, Clínica Antioquia S.A., Antioquia, Medellín, Colombia; Facultad de Ciencias Básicas, Universidad Tecnológica de Bolívar, Colombia; Facultad de Medicina, Universidad Pedagógica y Tecnológica de Colombia, Tunja, Colombia</t>
  </si>
  <si>
    <t>Gonzalez, J.E.P., Servicio de Urgencias, Clínica Antioquia S.A., Antioquia, Medellín, Colombia; Piraquive, M.S.R., Servicio de Urgencias, Clínica Antioquia S.A., Antioquia, Medellín, Colombia; Gonzalez, C.P., Facultad de Ciencias Básicas, Universidad Tecnológica de Bolívar, Colombia; Moreno, M.A.S., Servicio de Urgencias, Clínica Antioquia S.A., Antioquia, Medellín, Colombia; Becerra, N.M.P., Facultad de Medicina, Universidad Pedagógica y Tecnológica de Colombia, Tunja, Colombia</t>
  </si>
  <si>
    <t>Introduction and Objective Prostate surgery is a common procedure among older men. There are different techniques, and the choice depends on the pathology to be treated, the experience of the specialist, and the technical availability. Among its complications is urinary tract infection, which causes increased morbidity and mortality and costs for the health system. The main objective of the present study was to evaluate the factors related to the onset of urinary tract infection after prostate surgery. Materials and Methods A case-control study was conducted in a population of patients undergoing prostatectomy from 2018 to early 2020 in the city of Medellín, Colombia. The cases corresponded to patients who presented urinary tract infection up to 30 days after prostatectomy. The association between cases and controls was estimated by calculating the odds ratio (OR), which was adjusted with logistic regression and a multivariate generalized additive model. Results We identified 96 incident cases of urinary tract infection after prostatectomy, with a prevalence of 8.99%. The frequency of requests for preoperative urine culture was of 52.92% (95% confidence interval [95%CI]: 48.34-57.44). The independently associated variables were: request for preoperative urine culture, number of doses, and type of antibiotic used for prophylaxis. In particular, the use of aminoglycosides in prophylaxis schemes was found to be a protective factor. The main germs isolated were: Eschirichia coli, Pseudomonas aeruginosa, Klepsiella pneumoniae, Enterococos faecalis, and Serratia marcescens. Conclusion The present study shows that factors such as the preoperative request for urine culture and the use of aminoglycosides for surgical prophylaxis influence the probability of developing urinary tract infection after prostatectomy. © 2022. Sociedad Colombiana de Urología. All rights reserved.</t>
  </si>
  <si>
    <t>bacteriuria; postoperative complications; prostatectomy; risk factors; transurethral resection of the prostate; urinary tract infections</t>
  </si>
  <si>
    <t>aminoglycoside; antibiotic agent; antibiotic prophylaxis; Article; case control study; Colombia; controlled study; Enterococcus faecalis; Escherichia coli; human; Klebsiella pneumoniae; major clinical study; male; nonhuman; preoperative period; prevalence; prostatectomy; Pseudomonas aeruginosa; Serratia marcescens; urinary tract infection; urine culture</t>
  </si>
  <si>
    <t>Caro-Zapata, F.L., Vásquez-Franco, A., Correa-Galeano, E.D.-V., Complicaciones infecciosas después de prostatectomía abierta y resección transuretral de próstata en pacientes con hiperplasia prostática benigna (2018) Iatreia., 31 (3), pp. 274-283; Khalil, M.I., Bhandari, N.R., Payakachat, N., Davis, R., Raheem, O.A., Kamel, M.H., Perioperative mortality and morbidity of outpatient versus inpatient robot-assisted radical prostatectomy: A propensity matched analysis (2020) Urol Oncol, 38 (1), pp. 3e1-3e6. , 10.1016/j.urolonc.2019.07.008; Pérez Manzanares, V.M., Salinas González, F., García Vásquez, R.A., Arriaga Aguilar, J., Candia Plata, M.C., Estudio comparativo de adenomectomía prostática laparoscópica y abierta. ¿cuál ofrece mejores resultados? (2016) Rev Mex Urol, 76 (2), pp. 99-103. , 10.1016/j.uromx.2016.01.007; Mohee, A.R., Gascoyne-Binzi, D., West, R., Bhattarai, S., Eardley, I., Sandoe, J.A., Bacteraemia during transurethral resection of the prostate: What are the risk factors and is it more common than we think? (2016) PLoS One, 11 (7), p. 157864; Hwang, E.C., Jung, S.I., Kwon, D.D., A prospective Korean multicenter study for infectious complications in patients undergoing prostate surgery: Risk factors and efficacy of antibiotic prophylaxis (2014) J Korean Med Sci, 29 (9), pp. 1271-1277; Colau, A., Lucet, J.C., Rufat, P., Botto, H., Benoit, G., Jardin, A., Incidence and risk factors of bacteriuria after transurethral resection of the prostate (2001) Eur Urol, 39 (3), pp. 272-276; Cruz Arévalo, A., Cárdenas, A.M., Gómez, J.E., Reyes, J.C., Duarte, R.A., Factores predictores de complicaciones infecciosas en pacientes sometidos a prostatectomía (2016) Urol Colomb [Internet], 26 (2), pp. 81-86. , 10.1016/j.uroco.2016.06.003; Gupta, K., Hooton, T.M., Naber, K.G., International clinical practice guidelines for the treatment of acute uncomplicated cystitis and pyelonephritis in women: A 2010 update by the Infectious Diseases Society of America and the European Society for Microbiology and Infectious Diseases (2011) Clin Infect Dis, 52 (5), pp. 103-120. , European Society for Microbiology and Infectious Diseases; https://www.minsalud.gov.co/sites/rid/Lists/BibliotecaDigital/RIDE/DE/DIJ/RESOLUCION-8430-DE-199, Ministerio de salud y protección social. [Internet]. [cited 2021 May 25]; De Cueto, M., Microbiological diagnosis of urinary tract infections (2005) Enferm Infecc Microbiol Clin, 23, pp. 9-14; Köves, B., Tenke, P., Tandogdu, Z., Transurethral Resection of the Prostate: Are We Following the Guidelines?-Outcomes from the Global Prevalence of Infections in Urology (GPIU) Study (2019) J Chemother, 31 (1), pp. 15-22. , 10.1080/1120009X.2018.1542552; Li, Y.-H., Li, G.-Q., Guo, S.-M., Che, Y.-N., Wang, X., Cheng, F.-T., Clinical analysis of urinary tract infection in patients undergoing transurethral resection of the prostate (2017) Eur Rev Med Pharmacol Sci, 21 (20), pp. 4487-4492. , http://www.ncbi.nlm.nih.gov/pubmed/291; Nicolle, L.E., Gupta, K., Bradley, S.F., Al, E., ; Grabe, M., Bartoletti, R., Bjerklund-Johansen, T.E., http://www.uroweb.org/gls/pdf/15_Urological_Infection; Cai, T., Verze, P., Palmieri, A., Is Preoperative Assessment and Treatment of Asymptomatic Bacteriuria Necessary for Reducing the Risk of Postoperative Symptomatic Urinary Tract Infections after Urologic Surgical Procedures? (2017) Urology, 99, pp. 100-105. , https://pubmed.ncbi.nlm.nih.gov/2777, cited2021Apr16 [Internet]; Gallegos Salazar, J., O'Brien, W., Strymish, J.M., Itani, K., Branch-Elliman, W., Gupta, K., Association of Screening and Treatment for Preoperative Asymptomatic Bacteriuria with Postoperative Outcomes among US Veterans (2019) JAMA Surgery, pp. 241-248. , American Medical Association; Lightner, D.J., Wymer, K., Sanchez, J., Kavoussi, L., Best Practice Statement on Urologic Procedures and Antimicrobial Prophylaxis, , https://doi.org/10.1097/JU.00000000000, [cited 2021 Apr 17]; Machado-Alba, J.E., González-Santos, D.M., (2009) Dispensación de Antibióticos de Uso Ambulatorio en Una Población Colombiana, 11, pp. 734-744. , Revista de Salud Pública. Scieloco; Erdem, H., Kiliç, S., Pahsa, A., Besirbellioglu, B.A., Gram-negative bacterial resistance to cephalosporins in community-acquired infections in Turkey (2005) J Chemother, 17 (1), pp. 61-65. , 10.1179/joc.2005.17.1.61; Hayward, R.S., Harding, J., Molloy, R., Adverse effects of a single dose of gentamicin in adults: A systematic review (2018) Br J Clin Pharmacol, 84 (2), pp. 223-238. , http://doi.wiley.com/10.1111/bcp, cited2021Apr17 [Internet]; Nielsen, D.V., Fedosova, M., Hjortdal, V., Jakobsen, C.-J., Is single-dose prophylactic gentamicin associated with acute kidney injury in patients undergoing cardiac surgery? A matched-pair analysis (2014) J Thorac Cardiovasc Surg, 148 (4), pp. 1634-1639. , 10.1016/j.jtcvs.2014.05.090; Schober, P., Vetter, T.R., Logistic Regression in Medical Research (2021) Anesth Analg, 132 (2), pp. 365-366. , https://journals.lww.com/anesthesia-analgesia/Fulltext/2021/02000/Logistic_Regression_in_Medical_Research.12</t>
  </si>
  <si>
    <t>Gonzalez, J.E.P.Calle 45 N° 49-02, Antioquia, Colombia; email: paillier999@hotmail.com</t>
  </si>
  <si>
    <t>Thieme Medical Publishers, Inc.</t>
  </si>
  <si>
    <t>0120789X</t>
  </si>
  <si>
    <t>Urol. Colomb.</t>
  </si>
  <si>
    <t>2-s2.0-85128421762</t>
  </si>
  <si>
    <t>Condeza Dall'Orso R.C., Galo Erazo E., Pérez Picado A.M., Moreno Mella A., Lavín España C.B.</t>
  </si>
  <si>
    <t>57226153600;57580469000;57579846500;57579424900;57580049300;</t>
  </si>
  <si>
    <t>News agenda and representation of childhood and adolescence in Chilean television newscasts [Agenda informativa y representaciones de la niñez y la adolescencia en los noticiarios de televisión chilenos]</t>
  </si>
  <si>
    <t>Revista de Comunicacion</t>
  </si>
  <si>
    <t>10.26441/RC21.1-2022-A5</t>
  </si>
  <si>
    <t>https://www.scopus.com/inward/record.uri?eid=2-s2.0-85128389298&amp;doi=10.26441%2fRC21.1-2022-A5&amp;partnerID=40&amp;md5=cb0427e3a85f80255b6a604c272167e2</t>
  </si>
  <si>
    <t>Université de Montréal, Canada; Programa en Ciencias de la Comunicación, Pontificia Universidad Católica, Chile</t>
  </si>
  <si>
    <t>Condeza Dall'Orso, R.C., Université de Montréal, Canada; Galo Erazo, E., Programa en Ciencias de la Comunicación, Pontificia Universidad Católica, Chile; Pérez Picado, A.M., Programa en Ciencias de la Comunicación, Pontificia Universidad Católica, Chile; Moreno Mella, A., Programa en Ciencias de la Comunicación, Pontificia Universidad Católica, Chile; Lavín España, C.B., Programa en Ciencias de la Comunicación, Pontificia Universidad Católica, Chile</t>
  </si>
  <si>
    <t>This article studies the content of the information on childhood and adolescence broadcast daily in the main television newscasts in Chile during prime time. It starts from the assumption that the news discourse is one of the central axes of its sociocultural construction, by putting into circulation different representations and imaginaries about these groups through the media. To determine the news topics about childhood and adolescence, the presence of stereotypes and the preferential informative treatment of television channels, we conducted a quantitative analysis between March and June 2020, finding 109 videos. The results show a news agenda concentrated on four main themes: abuse (28.4%), children's rights (24.8%), lawbreakers (22%) and participation in demonstrations (14.7%). 36% of the news presents stereotypes. When analyzing the correspondence by television channel, it is observed that the news agenda on childhood and adolescence of some newscasts mobilizes negative stereotypes with greater frequency. Because these TV programs continue to be the most consumed daily by the population in Chile to know about current events, this line of research may contribute to a greater awareness of the relevance that news frameworks, thematic diversity and an ethical perspective have in the public opinion process. © 2022 University of Piura. All rights reserved.</t>
  </si>
  <si>
    <t>childhood and adolescence; ethics; informative agenda; journalism; news about infancy; stereotypes</t>
  </si>
  <si>
    <t>Amigo Latorre, B., Bravo Núñez, M.C., Cortés Concha, O., Ramírez Sánchez, M., Estudio sobre cobertura y tratamiento en prensa y televisión sobre infancia y adolescencia en Chile (2017) (2020) Niños, niñas y adolescentes en medios de comunicación. Construcción de estereotipos en los medios de comunicación, , En: Ojeda, A. M. &amp; Walker, P. (Coord). Unicef: Santiago de Chile; Andi, (2006) Derechos, Infancia y Agenda pública. Un análisis comparativo de la cobertura periodística latinoamericana, , Brasilia: Andi y Red Andi América Latina; Barry, C., Brescoll, V., Gollust, S., Framing Childhood Obesity: How Individualizing the Problem Affects Public Support for Prevention (2013) Political Psychology, 34 (3), pp. 327-347. , https://doi.org/10.1111/pops.12018; Berents, H., Depicting Childhood: A critical Framework from Engaging Images of Children in IR (2020) Discovering Childhood in International Relations, , https://doi.org/10.1007/978-3-030-46063-1, Beier J. (eds) Palgrave Macmillan, Cham; Bell, B. T., Dittmar, H., Does Media Type Matter? The Role of Identification in Adolescent Girls' Media Consumption and the Impact of Different Thin-Ideal Media on Body Image (2011) Sex Roles, 65 (7-8), pp. 478-490. , https://doi.org/10.1007/s11199-011-9964-x; Berlinerblau, V., Nino, M., Viola, S., Guía de buenas prácticas para el abordaje de niños/as adolescentes víctimas de abuso o testigos de abuso sexual y otros delitos (2013) Protección de sus derechos, acceso a la justicia y obtención de pruebas válidas para el proceso, , Unicef (Argentina) &amp; Asociación de Derechos civiles (ACD); Casado del Río, M. A., Jiménez Iglesias, E., Moreno Cano, M. A., Infancia y adolescencia en las noticias: representación y tratamiento informativo de los menores de edad en la prensa diaria vasca (2012) Estudios sobre el mensaje periodístico, 19 (1), pp. 53-69. , http://dx.doi.org/10.5209/rev_ESMP.2013.v19.n1.42507, Y; Cely, D., Análisis de los niños, niñas y adolescentes como sujetos de derecho (2015) Salud y Sociedad, 2 (1), pp. 42-47. , https://revistas.uptc.edu.co/index.php/salud_sociedad/article/view/3978/3430; Chueca, L., Lagos, C., Cabalin, C., Adolescentes infractores: de delincuentes juveniles a víctimas del sistema (2008) Justicia y Derechos del niño, 10, pp. 341-358; (2015) Ética Periodística/Código de ética, , https://www.colegiodeperiodistas.cl/p/etica-periodistica.html, Recuperado de; Condeza, R., La infancia y la adolescencia en primera plana (2005) Cuadernos.info, 18, pp. 140-147. , https://doi.org/10.7764/cdi.18.154; Condeza, R., (2020) Noticias sobre primera infancia: oportunidades para mejorar y aumentar su cobertura; Ojeda, A.M., Walker, P., Niños, niñas y adolescentes en medios de comunicación Construcción de estereotipos en los medios de comunicación, pp. 45-65. , En: (Coord). Unicef: Santiago de Chile; (1997) Sentencia #55, , http://www.consejodeetica.cl/sitio/bases/55-055.pdf.pdf, Recuperado de; Clawson, R. A., Trice, R., Poverty as We Know It: Media Portrayals of the Poor (2000) The Public Opinion Quarterly, 64 (1), pp. 53-64. , http://www.jstor.org/stable/3078840; (2017) Lineamientos para un tratamiento mediático adecuado de la inmigración, , Consejo Nacional de Televisión. Santiago: Chile; (2021) Anuario estadístico. Oferta y consumo de televisión 2020. Consejo nacional de televisión, , Santiago: Chile; Delgadillo, I., La infancia en la perspectiva de las relaciones sociales (2004) Pedagogía y saberes, 20, pp. 41-52; Drotden, K., The co construction of Media and Childhood (2015) The Routledge International Handbook of Children, Adolescents and Media, , https://doi.org/10.4324/9780203366981, En Dafna Lemish (Ed). Routledge; Etchegaray, N., Matus, A., Evolución de la cobertura de la pobreza entre 2005 y 2014: qué ha cambiado y qué no en los noticiarios de la televisión abierta en Chile (2015) Cuadernos.info, 36, pp. 53-69. , https://doi.org/10.7764/cdi.36.727; Hancock, L., Framing Children in the News: The Face and Color of Youth Crime in America (2000) The Public Assault on America's Children: Poverty, Violence and Juvenile Injustice, , En Valerie Polakow (Ed). Teachers College Press; Kaziaj, E., "The adult gaze": exploring the representation of children in television news in Albania. 426-442 (2016) Journal of Children and the Media, 10 (4). , https://doi.org/10.1080/17482798.2016.1203805; Labio, A., Del estereotipo al amarillismo. Prácticas periodísticas incorrectas en el tratamiento de grupos sociales vulnerables (2006) Análisi, 33, pp. 31-44; (2021) La información sobre la infancia en el diario El Mundo (2000-2018), , Lin.W. Tesis doctoral, Universidad Complutense de Madrid. (Dir. María Jesús Casals Carro); Maciá Barber, C., La imagen del menor en la cobertura fotoperiodística de conflictos armados. El caso de la prensa generalista de España (2013) Estudios Sobre El Mensaje Periodístico, 19 (2), pp. 751-766. , https://doi.org/10.5209/rev_ESMP.2013.v19.n2.43469; Maronna, M., Sánchez Vilela, R, (2005) Narrativas de infancia y adolescencia, , Montevideo: Andros; Milkie, M., Social world approach to cultural studies. Mass media and gender in the adolescent peer group (1994) Journal of Contemporary Ethnography, 23 (3), pp. 354-380. , https://doi-org//10.1177/089124194023003005; Min, S. J., Feaster, J.C., Racial and Gender Representations of Missing Children Cases (2010) Communication Research Reports, 27 (3), pp. 207-216. , https://doi.org/10.1080/14616690701412855; Moller, S., A Hierarchy of Innocence. The Media's Use of Children in the Telling of International News (2002) Press Politics, 7 (1), pp. 36-56; Neuendorf, K. A., (2017) The content analysis guidebook, , SAGE Publications, Inc; Olson, D., Rampaul, G., Representations of childhood in the media (2015) The Routledge International Handbook of Children, Adolescents and Media, , https://doi.org/10.4324/9780203366981, En Dafna Lemish (Ed). Routledge; Pavez Soto, I., Poblete Godoy, D., Galaz Valderrama, C., Infancia migrante y pandemia en Chile: inquietudes y desafíos (2020) Sociedad e Infancia, 4, pp. 259-262. , https://doi.org/10.5209/soci.69619; Pereyra, R., Alonso, E., Lencina, R, La construcción noticiosa de los pueblos indígenas en los principales diarios online de Argentina (2021) Revista de Comunicación, 20 (1), pp. 217-238. , https://doi.org/10.26441/RC20.1-2021-A12; Philo, C., The Corner-stones of my world. Editorial introduction to special issue on spaces of childhood (2000) Childhood, 7 (3), pp. 243-256; Ruble, T., Cohen, R., Ruble, D., Sex Stereotypes. Occupational Barriers for Women (1984) American Behavioral Scientist, 27 (3), pp. 339-356; Soares Costa, P., Correia Santos, N., Cunha, P., Cotter, J., Sousa, N., The Use of Multiple Correspondence Analysis to Explore Associations between Categories of Qualitative Variables in Healthy Ageing (2013) Journal of Aging Research, pp. 1-12. , https://doi.org/10.1155/2013/302163; Suárez López, M., Imagen de la infancia en la prensa española durante el 'procés' catalán (2019) Investigación sobre el tratamiento informativo desde el análisis de contenido y la ética periodística, , Tesis doctoral, Universidad Pompeu Fabbra. (Dir. María del Pilar Suárez López); (1989) Convención internacional de los derechos del niño, , https://www.unicef.org/lac/niños-y-niñas-en-américa-latina-yel-caribe, www.unicef.org Unicef (s/f). Niños y niñas en América Latina y El Caribe. Abordando los derechos de 188 millones de niños, niñas y adolescentes. Recuperado de; Tan, A. S., TV Beauty Ads and Role Expectations of Adolescent Female Viewers (1979) Journalism Quarterly, 56 (2), pp. 283-288; Wayne, R., The Social Construction of Childhood Bullying Through U.S. News Media (2013) Journal of Contemporary Anthropology, 4 (1), pp. 36-49. , https://docs.lib.purdue.edu/jca/vol4/iss1/3</t>
  </si>
  <si>
    <t>University of Piura</t>
  </si>
  <si>
    <t>Rev. Comun.</t>
  </si>
  <si>
    <t>2-s2.0-85128389298</t>
  </si>
  <si>
    <t>Suárez G.A.P., Galindo N.J.P., Pardo Cuervo O.H.</t>
  </si>
  <si>
    <t>57432950200;57433387800;57210733641;</t>
  </si>
  <si>
    <t>Journal of Supercritical Fluids</t>
  </si>
  <si>
    <t>https://www.scopus.com/inward/record.uri?eid=2-s2.0-85123782035&amp;doi=10.1016%2fj.supflu.2022.105538&amp;partnerID=40&amp;md5=00d9034f9307178221fad1ec007e0e0b</t>
  </si>
  <si>
    <t>Escuela de Ciencias Químicas, Universidad Pedagógica y Tecnológica de Colombia (UPTC), Avenida Central del Norte 39–115, Tunja, 150003, Colombia</t>
  </si>
  <si>
    <t>Suárez, G.A.P., Escuela de Ciencias Químicas, Universidad Pedagógica y Tecnológica de Colombia (UPTC), Avenida Central del Norte 39–115, Tunja, 150003, Colombia; Galindo, N.J.P., Escuela de Ciencias Químicas, Universidad Pedagógica y Tecnológica de Colombia (UPTC), Avenida Central del Norte 39–115, Tunja, 150003, Colombia; Pardo Cuervo, O.H., Escuela de Ciencias Químicas, Universidad Pedagógica y Tecnológica de Colombia (UPTC), Avenida Central del Norte 39–115, Tunja, 150003, Colombia</t>
  </si>
  <si>
    <t>In order to determine the most efficient method to extract bioactive compounds from Colombian propolis, a comparison was made between Soxhlet extraction (SE) and modern extraction methods. A higher yield was obtained by SE (76.55%), followed by microwave-assisted extraction (MAE) (73.84%), and finally extraction by supercritical CO2 fluid (SCCO2E) (1.32%). The highest amount of total polyphenols expressed as mg of gallic acid equivalent per gram of propolis (mg GAE)/gP) was obtained with the use of MAE (81.78), followed by SE (80.19) and SCCO2E (68.99). The highest flavonoid content expressed in mg of quercetin equivalents per gram of propolis (mg QE/gP) (60.11), was obtained using SCCO2E and 15% ethanol as adjuvant. The antioxidant capacity was higher for the extracts obtained with SCCO2E followed by MAE and SE. Finally, by means of HPLC-DAD, the bioactive flavonoids in the extracts obtained by supercritical CO2 were identified. © 2022 Elsevier B.V.</t>
  </si>
  <si>
    <t>Antioxidant capacity; Bioactive compounds; Microwave; Propolis; Supercritical CO2</t>
  </si>
  <si>
    <t>Antioxidants; Extraction; Antioxidant capacity; Bioactive compounds; Colombians; Extraction method; Higher yield; Microwave-assisted extraction; Propolis; Soxhlet extraction; Supercritical CO 2; Total polyphenols; Carbon dioxide</t>
  </si>
  <si>
    <t>Wiwekowati, A.P., Jawi, I.M., Sabir, A., Antioxidant activity of apis mellifera sp. propolis extract from java (Indonesia) (2017) Int. Res. J. Eng., IT Sci. Res., 3, p. 18; Bankova, V.S., Castro, S.L.D., Marcucci, M.C., Propolis: recent advances in chemistry and plant origin (2000) Apidologie, 31, pp. 3-15; Lotfy, M., Biological activity of bee propolis in health and disease (2006) Asian Pac. J. Cancer Prev., 7, pp. 22-31; Kurek-Górecka, A., Rzepecka-Stojko, A., Górecki, M., Stojko, J., Sosada, M., Swierczek-Zieba, G., Structure and antioxidant activity of polyphenols derived from propolis (2014) Molecules, 19, pp. 78-101; Yuan, Y., Zheng, S., Zeng, L., Deng, Z., Zhang, B., Li, H., The phenolic compounds, metabolites, and antioxidant activity of propolis extracted by ultrasound-assisted method (2019) J. Food Sci., 84, pp. 3850-3865; Correa, Y.X., Rojas, M.A., Mora, E.M., Potentialities of the Colombian propolis in pharmaceutics and cosmetics: a standpoint from the quality control (2019) Rev. Colomb. De. Cienc. Quím. -Farm., 48, pp. 762-788; Banskota, A.H., Tezuka, Y., Kadota, S., Recent progress in pharmacological research of propolis (2001) Phytother. Res., 15, pp. 561-571; Osés, S.M., Marcos, P., Azofra, P., de Pablo, A., Fernández-Muíño, M.Á., Sancho, M.T., Phenolic profile, antioxidant capacities and enzymatic inhibitory activities of propolis from different geographical areas: needs for analytical harmonization (2020) Antioxidants, 9, pp. 20-35; Akhir, R.A.M., Bakar, M.F.A., Sanusi, S.B., Antioxidant and antimicrobial activity of stingless bee bread and propolis extracts (2017) AIP Conf. Proc., 1891; Mohd, N.F., Yian, L.N., Idham, Z., Aris, N.A., Putra, N.R., Abdul, A.H., Che, M.A., Mini review: application of supercritical carbon dioxide in extraction of propolis extract (2018) Malays. J. Fundam. Appl. Sci., 14, pp. 387-396; Oroian, M., Ursachi, F., Dranca, F., Influence of ultrasonic amplitude, temperature, time and solvent concentration on bioactive compounds extraction from propolis (2020) Ultrason. Sonochem., 64; Chen, C.T., Chien, Y.H., Yu, Y.H., Chen, Y.W., Extraction and analysis of taiwanese green propolis (2019) J. Vis. Exp., 143, pp. 1-6; Burgut, A., Effects of propolis extracts on biogenic amine production by food-borne pathogens (2020) Kafkas Univ. Vet. Fak. Derg., 26, pp. 193-200; Alm-Eldeen, A.A., Basyony, M.A., Elfiky, N.K., Ghalwash, M.M., Effect of the Egyptian propolis on the hepatic antioxidant defense and pro-apoptotic p53 and anti-apoptotic bcl2 expressions in aflatoxin B1 treated male mice (2017) Biomed. Pharmacother., 87, pp. 247-255; Escriche, I., Borrás, J.M., Standardizing the analysis of phenolic profile in propolis (2018) Food Res. Int., 106, pp. 834-841; Mouhoubi-Tafinine, Z., Ouchemoukh, S., Tamendjari, A., Antioxydant activity of some algerian honey and propolis (2016) Ind. Crops Prod., 88, pp. 85-90; Veiga, R.S., de Mendonça, S., Mendes, P.B., Paulino, N., Mimica, M.J., Lagareiro, A.A., Netto, A.A., Marcucci, M.C., Artepillin C and phenolic compounds responsible for antimicrobial and antioxidant activity of green propolis and Baccharis dracunculifolia DC (2017) J. Appl. Microbiol., 122, pp. 911-920; Fasolo, D., Pippi, B., Meirelles, G., Zorzi, G., Fuentefria, A.M., von Poser, G., Ferreira, H., Topical delivery of antifungal Brazilian red propolis benzophenones-rich extract by means of cationic lipid nanoemulsions optimized by means of Box-Behnken Design (2020) J. Drug Deliv. Sci. Technol., 56; Narimane, S., Demircan, E., Salah, A., Ozcelik, B.Ö., Salah, R., Correlation between antioxidant activity and phenolic acids profile and content of Algerian propolis: influence of solvent (2017) Pak. J. Pharm. Sci., 30, pp. 1417-1423; Andrade, J.K.S., Denadai, M., de Oliveira, C.S., Nunes, M.L., Narain, N., Evaluation of bioactive compounds potential and antioxidant activity of brown, green and red propolis from Brazilian northeast region (2017) Food Res. Int., 101, pp. 129-138; Wang, B., Yang, J., Cicalo, J., Ivanov, A., Zorian, Y., Supercritical fluid extractive fractionation –study of the antioxidant activities of propolis (2004) Food Chem., 86, pp. 237-242; Monroy, Y.M., Rodrigues, R.A.F., Rodrigues, M.V.N., Cabral, F.A., Fractionation of ethanolic and hydroalcoholic extracts of green propolis using supercritical carbon dioxide as an anti-solvent to obtain artepillin rich-extract (2018) J. Supercrit. Fluids, 138, pp. 167-173; Pellati, F., Prencipe, F.P., Bertelli, D., Benvenuti, S., An efficient chemical analysis of phenolic acids and flavonoids in raw propolis by microwave-assisted extraction combined with high-performance liquid chromatography using the fused-core technology (2013) J. Pharm. Biomed. Anal., 81, pp. 126-132; Soumaya, T., Nawal, E.M., Bratko, F.A.P., Arabi, I.E.L., Wail, B.L., Chemical analysis and antioxidant content of various propolis samples collected from different regions and their impact on antimicrobial activities (2018) Asian Pac. J. Trop. Med., 11, pp. 436-442; Yuan, M., Yuan, X.J., Pineda, M., Liang, Z.Y., He, J., Sun, S., Pan, T., Li, K., A comparative study between Chinese propolis and Brazilian green propolis: metabolite profile and bioactivity (2020) Food Funct., 11, pp. 2368-2379; Forma, E., Bryś, M., Anticancer activity of propolis and its compounds (2021) Nutrients, 13, pp. 1-21; Nina, N., Quispe, C., Jiménez-Aspee, F., Theoduloz, C., Giménez, A., Schmeda-Hirschmann, G., Chemical profiling and antioxidant activity of Bolivian propolis (2016) J. Sci. Food Agric., 96, pp. 2142-2153; Salas, A., Alberto, M.R., Zampinia, C., Cuello, S., Maldonado, L., Ríos, J.L., Schmeda-Hirschmannd, G., Isla, M.I., Biological activities of polyphenols-enriched propolis from Argentina arid regions (2016) Phytomedicine, 23, pp. 27-31; Costa, A.G., Yoshida, N.C., Garcez, W.S., Perdomo, R.T., Matos, M.D.F.C., Garcez, F.R., Metabolomics approach expands the classification of propolis samples from midwest Brazil (2020) J. Nat. Prod., 83, pp. 333-343; Salamanca, G., Carvajal, I.L.C., Principal, J., Perfil de flavonoides e índices de oxidación de algunos propóleos colombianos (2007) Zootec. Trop., 25; Palomino, L., García, C., Gil, J.H., Rojano, B., Durango, D., Determinación del contenido de fenoles y evaluación de la actividad antioxidante de propóleos recolectados en el departamento de Antioquia, Colombia (2009) VITAE, 16, pp. 388-395; Palomino, L., Martínez, J., García, C., Gíl, J., Durango, D., Physicochemical characterization and antimicrobial activity of propolis from municipality of La union (Antioquia, Colombia) (2010) Rev. Fac. Nal. Agr. Medellín., 63, pp. 5373-5383; Mora, D.P.P., Santiago, K.B., Conti, B.J., Cardozo, E.O., Conte, F.L., Oliveira, L.P.G., Golim, M.A., Sforcin, J.M., The chemical composition and events related to the cytotoxic effects of propolis on osteosarcoma cells: acomparative assessment of Colombian samples (2019) Phyther. Res., 33, pp. 591-601; Biscaia, D., Ferreira, S.R.S., Propolis extracts obtained by low pressure methods and supercritical fluid extraction (2009) J. Supercrit. Fluids, 51, pp. 17-23; Pellati, F., Prencipe, F.P., Bertelli, D., Benvenuti, S., An efficient chemical analysis of phenolic acids and flavonoids in raw propolis by microwave-assisted extraction combined with high-performance liquid chromatography using the fused-core technology (2013) J. Pharm. Biomed. Anal., 81, pp. 126-132; Stashenko, E., Acosta, R., Martínez, J.R., High-resolution gas-chromatographic analysis of the secondary metabolites obtained by subcritical-fluid extraction from Colombian rue (Ruta graveolens L.) (2000) J. Biochem. Biophys. Methods, 43, pp. 379-390; Ahn, M.R., Kumazawa, S., Hamasaka, T., Bang, K.S., Nakayama, T., Antioxidant activity and constituents of propolis collected in various areas of China (2007) Food Chem., 101, pp. 1383-1392; Boufadi, Y.M., Soubhye, J., Riazi, A., Rousseau, A., Vanhaeverbeek, M., Nève, J., Boudjeltia, K.Z., Antwerpen, P.V., Characterization and antioxidant properties of six Algerian propolis extracts: Ethyl acetate extracts inhibit Myeloperoxidase activity (2014) Int. J. Mol. Sci., 15, pp. 2327-2345; Bonvehí, J.S., Gutiérrez, A.L., Antioxidant activity and total phenolics of propolis from the basque country (Northeastern Spain) (2011) J. Am. Oil Chemists’ Soc., 88, pp. 1387-1395; Siripatrawan, U., Vitchayakitti, W., Sanguandeekul, R., Antioxidant and antimicrobial properties of Thai propolis extracted using ethanol aqueous solution (2013) Int. J. Food Sci. Technol., 48, pp. 22-27; Bhargava, H.R., Elakkiya, S., Mathumitha, K., Keerthika, E., Rani, U., Eswaran, V.U., Antioxidative analysis and antagonistic activity of apis and trigona propolis collected from different geo locations (2014) Iran. J. Energy Environ., 5, pp. 461-468; Zhao, Y.Z., Tian, W., Guo, Z., Gao, L., Peng, W., Optimization of ethanol extraction technology from propolis by response surface methodology (2012) J. Agric. Sci. Technol., 14, pp. 85-93; Dos Santos Pereira, A., Seixas, F.R.M.S., Neto, F.R.D., Propolis: 100 years of research and future perspectives (2002) Quím. Nova., 25, pp. 321-326; Sosa, Á., Cabrera, M., Álvarez, M., Vegetación de origen como parámetro de caracterización microbiana de los propóleos (2016) Selva Andin. Biosph., 4, pp. 3-23. , 〈http://www.scielo.org.bo/pdf/jsab/v4n1/v4n1_a02.pdf〉; Puerto, N.J., Prieto, G.A., Castro, S.R., Análisis proximal y fisicoquímico de propóleos (propolis) provenientes de apiarios boyacenses (2016) Bistua Rev. De. la Fac. De. Cienc. Básicas, 14, pp. 126-140; Cunha, I.B.S., Sawaya, A.C.H.F., Caetano, F.M., Shimizu, M.T., Marcucci, M.C., Drezza, F.T., Poviaa, G.S., Carvalho, P., Factors that influence the yield and composition of Brazilian propolis extracts (2004) J. Braz. Chem. Soc., 15, pp. 964-970; Paviani, L.C., Fiorito, G., Sacoda, P., Cabral, F.A., Different solvents for extraction of brazilian green propolis: composition and extraction yield of phenolic compounds (2013) III Iberoam. Conf. Supercritial Fluids, pp. 1-7. , https://doi.org, (); Schmidt, E.M., Stock, D., Chada, F.J.G., Finger, D., Frankland, C.H.A., Eberlin, M.N., Felsner, M.L., Reyes, Y., A comparison between characterization and biological properties of brazilian fresh and aged propolis (2014) BioMed. Res. Int.; Belmehdi, O., Douhri, B., Bouyahya, A., Laghmouchi, Y., Senhaji, N.S., Abrini, J., Phenolic content, antibacterial and antioxidant activities of moroccan propolis (2019) Curr. Bioact. Compd., 15, pp. 696-705; Andrade, J.K.S., Denadai, M., de Oliveira, C.S., Nunes, M.L., Narain, N., Evaluation of bioactive compounds potential and antioxidant activity of brown, green and red propolis from Brazilian northeast region (2017) Food Res. Int., 101, pp. 129-138; Salamanca, G., Carvajal, I.L.C., Principal, J., Perfil de flavonoides e índices de oxidación de algunos propóleos colombianos (2007) Zootec. Trop., 25; Torres, A.R., Sandjo, L.P., Friedemann, M.T., Tomazzoli, M.M., Maraschin, M., Mello, C.F., Santos, A.R.S., Chemical characterization, antioxidant and antimicrobial activity of propolis obtained from Melipona quadrifasciata and Tetragonisca angustula stingless bees (2018) Braz. J. Med. Biol. Res., 51, pp. 1-10; Ilyasov, I.R., Beloborodov, V.L., Selivanova, I.A., Terekhov, R.P., ABTS/PP decolorization assay of antioxidant capacity reaction pathways (2020) Int. J. Mol. Sci., 21, pp. 2-27; Da Silva, C., Prasniewski, A., Calegari, M.A., de Lima, V.A., Oldoni, T.L.C., Determination of total phenolic compounds and antioxidant activity of ethanolic extracts of propolis using ATR–FT-IR spectroscopy and chemometrics (2018) Food Anal. Methods, 11, pp. 2013-2021; Bayram, N.E., Gerçek, Y.C., Öz, G.C., Screening for antioxidant capacity, pollen types and phytochemical profile by GC/MS and UHPLC from propolis (2020) Prog. Nutr., 22 (3); Brand-Williams, W., Cuvelier, M.E., Berset, C., Use of a free radical method to evaluate antioxidant activity (1995) LWT - Food Sci. Technol., 28, pp. 25-30; Sadeer, N.B., Montesano, D., Albrizio, S., Zengin, G., Mahomoodally, M.F., The versatility of antioxidant assays in food science and safety—chemistry, applications, strengths, and limitations (2020) Antioxidants, 9, pp. 1-39; Aljadi, A.M., Kamaruddin, M.Y., Evaluation of the phenolic contents and antioxidant capacities of two Malaysian floral honeys (2004) Food Chem., 85, pp. 513-518; Zhang, H.F., Yang, X.H., Wang, Y., Microwave assisted extraction of secondary metabolites from plants: current status and future directions (2011) Trends Food Sci. Technol., 22, pp. 672-688; Hamzah, N., Leo, C.P., Microwave-Assisted extraction of trigona propolis: the effects of processing parameters (2015) Int. J. Food Eng., 11, pp. 861-870; Bankova, V., Trusheva, B., Popova, M., Propolis extraction methods: a review. (2021) J. Apic. Res., pp. 1-10; De Zordi, N., Cortesi, A., Kikic, I., Moneghini, M., Solinas, D., Innocenti, G., Portolan, A., Dall'Acqua, S., The supercritical carbon dioxide extraction of polyphenols from Propolis: a central composite design approach (2014) J. Supercrit. Fluids, 95, pp. 491-498; Catchpole, O.J., Grey, J.B., Mitchell, K.A., Lan, J.S., Supercritical antisolvent fractionation of propolis tincture (2004) J. Supercrit. Fluids, 29, pp. 97-106; Devequi, D., Souza, B.A., de Abreu, G.B., Silva, J.R., da Silva, D.F., da Rocha, C., Brandão, H.N., Umsza-Guez, M.A., Chemical characterization and biological activity of six different extracts of propolis through conventional methods and supercritical extraction (2018) PLoS One, 13, pp. 1-20; Benhanifia, M., Mohamed, W.M., Bellik, Y., Benbarek, H., Antimicrobial and antioxidant activities of different propolis samples from north-western Algeria (2013) Int. J. Food Sci. Technol., 48, pp. 2521-2527; Guo, X., Chen, B., Luo, L., Zhang, X., Dai, X., Gong, S., Chemical compositions and antioxidant activities of water extracts of Chinese propolis (2011) J. Agric. Food Chem., 59, pp. 12610-12616; Al Naggar, Y., Sun, J., Robertson, A., Giesy, J.P., Wiseman, S., Caracterización química y propiedades antioxidantes del propóleos canadiense (2016) J. Apic. Res., 55, pp. 305-314; Athikomkulchai, S., Awale, S., Ruangrungsi, N., Ruchirawat, S., Kadota, S., Chemical constituents of Thai propolis (2013) Fitoterapia, 88, pp. 96-100; Bankova, V., Popova, M., Bogdanov, S., Sabatini, A.G., Chemical composition of European propolis: expected and unexpected results (2002) Z. Fur Naturforsch. - Sect. C. J. Biosci., 57, pp. 530-533; Teixeira, É.W., Message, D., Negri, G., Salatino, A., Stringheta, P.C., Seasonal variation, chemical composition and antioxidant activity of brazilian propolis samples (2010) Evid. -Based Complement. Altern. Med., 7, pp. 307-315; Pietta, P.G., Gardana, C., Pietta, A.M., Analytical methods for quality control of propolis (2002) Fitoterapia, 73</t>
  </si>
  <si>
    <t>Pardo Cuervo, O.H.; Escuela de Ciencias Químicas, Avenida Central del Norte 39–115, Colombia; email: oscarhernando.pardo@uptc.edu.co</t>
  </si>
  <si>
    <t>JSFLE</t>
  </si>
  <si>
    <t>J. Supercritical Fluids</t>
  </si>
  <si>
    <t>2-s2.0-85123782035</t>
  </si>
  <si>
    <t>Manrique Valderrama N., Varassin I.G., Passos L.S., Morales Puentes M.E.</t>
  </si>
  <si>
    <t>57410153700;22952204300;57410886000;24802537400;</t>
  </si>
  <si>
    <t>First report on generalized pollination systems in Melastomataceae for the Andean páramos</t>
  </si>
  <si>
    <t>Plant Species Biology</t>
  </si>
  <si>
    <t>https://www.scopus.com/inward/record.uri?eid=2-s2.0-85122767649&amp;doi=10.1111%2f1442-1984.12364&amp;partnerID=40&amp;md5=f5a7ba3f5af8cbc450d490f3bae5fcd2</t>
  </si>
  <si>
    <t>Estudiante Maestría en Ciencias Biológicas, Escuela de Posgrados en Ciencias, Universidad Pedagógica y Tecnológica de Colombia, Tunja, Colombia; Grupo Sistemática Biológica, Herbario UPTC, Universidad Pedagógica y Tecnológica de Colombia, Tunja, Colombia; Programa de Pós-Graduação em Botânica, Universidade Federal do Paraná, Centro Politécnico, Curitiba, Brazil; Laboratório de Interações e Biologia Reprodutiva, Universidade Federal do Paraná, Centro Politécnico, Curitiba, Brazil</t>
  </si>
  <si>
    <t>Manrique Valderrama, N., Estudiante Maestría en Ciencias Biológicas, Escuela de Posgrados en Ciencias, Universidad Pedagógica y Tecnológica de Colombia, Tunja, Colombia, Grupo Sistemática Biológica, Herbario UPTC, Universidad Pedagógica y Tecnológica de Colombia, Tunja, Colombia; Varassin, I.G., Programa de Pós-Graduação em Botânica, Universidade Federal do Paraná, Centro Politécnico, Curitiba, Brazil, Laboratório de Interações e Biologia Reprodutiva, Universidade Federal do Paraná, Centro Politécnico, Curitiba, Brazil; Passos, L.S., Programa de Pós-Graduação em Botânica, Universidade Federal do Paraná, Centro Politécnico, Curitiba, Brazil, Laboratório de Interações e Biologia Reprodutiva, Universidade Federal do Paraná, Centro Politécnico, Curitiba, Brazil; Morales Puentes, M.E., Grupo Sistemática Biológica, Herbario UPTC, Universidad Pedagógica y Tecnológica de Colombia, Tunja, Colombia</t>
  </si>
  <si>
    <t>Melastomataceae is a megadiverse family with records of transitions from specialized to generalized pollination systems for several species. These transitions are associated with the colonization of new, unpredictable and/or impoverished pollinator habitats or habitats where specialized pollinators are scarce (e.g., in highland environments). The bee species diversity is low in highlands. Therefore, autonomous breeding systems such as apomixis and self-pollination emerge in these environments. In this paper, we studied the floral traits associated with the generalization of pollination systems and registered the floral visitors of two species in the Colombian Andes: Miconia cataractae and M. elaeoides. We investigated the breeding system of M. elaeoides. Both species presented small flowers, short anthers of medium pore size, and nectar-producing stomata on the base of the anthers. Miconia cataractae produced an average of 1.62 μl nectar/flower, a sugar concentration of 6.78%, whereas M. elaeoides produced 0.09 μl nectar/flower, a sugar concentration of 6.13%. We recorded a wide diversity of pollinators for both species, mainly insects from the orders Hymenoptera and Diptera. Miconia elaeoides presented a mixed breeding system and was also capable of setting fruits by apomixis. We conclude that flower and anther morphology, combined with nectar production, thus represent convergent traits resulting in a generalist pollination system shared by M. cataractae and M. elaeoides. Here, we presented the first generalist pollination system recorded for Miconia (and the Melastomataceae) in the Andes, the first report for a species from the small-pored section Amblyarrhena, and the first report for a species from the large-pored section Cremanium in Colombia. © 2022 The Society for the Study of Species Biology</t>
  </si>
  <si>
    <t>International Council for Canadian Studies, ICCS: 8-2019; Coordenação de Aperfeiçoamento de Pessoal de Nível Superior, CAPES: 88882.382585/2019‐01; Conselho Nacional de Desenvolvimento Científico e Tecnológico, CNPq: 313801/2017‐7; Universidade Federal do Paraná, UFPR</t>
  </si>
  <si>
    <t>Brazilian Coordination for the Improvement of Higher Education Personnel, Grant/Award Number: 88882.382585/2019‐01; National Council for Scientific and Technological Development, Grant/Award Number: 313801/2017‐7 Funding information</t>
  </si>
  <si>
    <t>The postgraduate in Biological Science of UPTC, Vicerrectoría de Investigación y Extensión, Dirección de Investigaciones and Centro de Investigación y Extensión CIEC for grant VIE No 8‐2019. The Brazilian National Council for Scientific and Technological Development (CNPq) grant 313801/2017‐7 to IGV. The Brazilian Coordination for the Improvement of Higher Education Personnel (CAPES), scholarship to LSP (88882.382585/2019‐01). Instituto para la Investigación e Innovación en Ciencia y Tecnología de Materiales (INCITEMA) at Universidad Pedagógica y Tecnológica de Colombia (UPTC) to scanning electron microscopy and specialists in the identification of visitants insects (Laboratorio de Entomología de la UPTC). The research group Sistemática Biológica SisBio of Universidad Pedagógica y Tecnológica de Colombia, and the Laboratorio de Interações e Biologia Reprodutiva of the Universidade Federal do Paraná.</t>
  </si>
  <si>
    <t>The postgraduate in Biological Science of UPTC, Vicerrector?a de Investigaci?n y Extensi?n, Direcci?n de Investigaciones and Centro de Investigaci?n y Extensi?n CIEC for grant VIE No 8-2019. The Brazilian National Council for Scientific and Technological Development (CNPq) grant 313801/2017-7 to IGV. The Brazilian Coordination for the Improvement of Higher Education Personnel (CAPES), scholarship to LSP (88882.382585/2019-01). Instituto para la Investigaci?n e Innovaci?n en Ciencia y Tecnolog?a de Materiales (INCITEMA) at Universidad Pedag?gica y Tecnol?gica de Colombia (UPTC) to scanning electron microscopy and specialists in the identification of visitants insects (Laboratorio de Entomolog?a de la UPTC). The research group Sistem?tica Biol?gica SisBio of Universidad Pedag?gica y Tecnol?gica de Colombia, and the Laboratorio de Intera??es e Biologia Reprodutiva of the Universidade Federal do Paran?.</t>
  </si>
  <si>
    <t>Aigner, P.A., Optimality modeling and fitness trade-offs: When should plants become pollinator specialists? (2001) Oikos, 95, pp. 177-184. , https://doi.org/10.1034/j.1600-0706.2001.950121.x; Armbruster, W.S., Baldwin, B.G., Switch from specialized to generalized pollination (1998) Nature, 394, p. 632. , https://doi.org/10.1038/29210; Arroyo, M.T.K., Primack, R., Armesto, J.J., Community studies in pollination ecology in the high temperate Andes of Central Chile I (1982) American Journal of Botany, 69, pp. 82-97. , https://doi.org/10.2307/2442833; Arroyo, M.T.K., Armesto, J.J., Primack, R.B., Community studies in pollination ecology in the high temperate Andes of central Chile II. Effect of temperature on visitation rates and pollination possibilities (1985) Plant Systematics and Evolution, 149, pp. 187-203. , https://doi.org/10.1007/BF00983305; Barrett, S.C.H., The reproductive biology and genetics of Island plants (1996) Philosophical Transactions of the Royal Society B: Biological Sciences, 351, pp. 725-733. , https://doi.org/10.1098/rstb.1996.0067; Bawa, K.S., Breeding systems of tree species of a lowland tropical community (1974) Evolution, 28, pp. 85-92. , https://doi.org/10.1111/j.1558-5646.1974.tb00729.x; Bernal, R., Gradstein, S.R., Celis, M., (2015) Catálogo de plantas y líquenes de Colombia, , Instituto de Ciencias Naturales, Universidad Nacional de Colombia; Brito, V.L.G., Fendrich, T.G., Smidt, E.C., Varassin, I.G., Goldenberg, R., Shifts from specialized to generalized pollination systems in Miconieae (Melastomataceae) and their relation with anther (2016) Plant Biology, 18, pp. 585-593. , https://doi.org/10.1111/plb.12432; Brito, V.L.G., Rech, A.R., Ollerton, J., Sazima, R., Nectar production, reproductive success and the evolution of generalised pollination within a specialised pollen-rewarding plant family: A case study using Miconia theizans (2017) Plant Systematics and Evolution, 303, pp. 709-718. , https://doi.org/10.1007/s00606-017-1405-z; Brito, V.L.G., Sazima, M., Tibouchina pulchra (Melastomataceae): Reproductive biology of a tree species at two sites of an elevational gradient in the Atlantic rainforest in Brazil (2012) Plant Systematics and Evolution, 298, pp. 1271-1279. , https://doi.org/10.1007/s00606-012-0633-5; Buchmann, S.L., (1983) Buzz pollination in Angiosperms. Handbook of experimental pollination biology, , Van Nostrand Reinhold; Bullock, S.H., Breeding systems in the flora of a tropical deciduous forest in Mexico (1985) Biotropica, 17, pp. 287-301. , https://doi.org/10.2307/2388591; Cadavid, M., (2004) Biología reproductiva de Miconia serrulata en la Amazonia colombiana [Undergraduate thesis, Universidad de los Andes], , https://repositorio.uniandes.edu.co/handle/1992/21565; Cantillo, E.E., Lozada, A., Pinzón, J., Caracterización sucesional para la restauración de la Reserva Forestal Cárpatos, Guasca, Cundinamarca (2009) Revista Colombia Forestal, 12, pp. 103-118. , https://doi.org/10.14483/udistrital.jour.colomb.for.2009.1.a08; Castellanos, M.C., Wilson, P., Thomson, J.D., ‘Anti-bee’ and ‘pro-bird’ changes during the evolution of hummingbird pollination in Penstemon flowers (2004) Journal of Evolutionary Biology, 17, pp. 876-885. , https://doi.org/10.1111/j.1420-9101.2004.00729.x; Cruden, R.W., Pollen-ovule ratios: A conservative indicator of breeding systems in flowering plants (1977) Evolution, 31, pp. 32-46. , https://doi.org/10.2307/2407542; (2014) Estudios técnicos, económicos, sociales y ambientales para la identificación y delimitación del complejo del páramo Rabanal a escala 1:25000. Bogotá; Dafni, A., (1992) Pollination ecology: A practical approach. Practical approach series 110, , University Press; Dafni, A., Kevan, P.G., Husband, B.C., (2005) Practical pollination ecology, , Enviroquest; De Luca, P.A., Vallejo-Marín, M., What's the ‘buzz’ about? The ecology and evolutionary significance of buzz-pollination (2013) Current Opinion in Plant Biology, 16, pp. 429-435. , https://doi.org/10.1016/j.pbi.2013.05.002; Dellinger, A.S., Chartier, M., Fernández-Fernández, D., Penneys, D.S., Alver, M., Almeda, F., Michelangeli, F.A., Schönenberger, J., Beyond buzz-pollination-departures from an adaptive plateau lead to new pollination syndromes (2018) New Phytologist, 221, pp. 1136-1149. , https://doi.org/10.1111/nph.15468; Dellinger, A.S., Pérez-Barrales, R., Michelangeli, F.A., Penneys, D.S., Fernández-Fernández, D.M., Schönenberger, J., Low bee visitation rates explain pollinator shifts to vertebrates in tropical mountains (2021) New Phytologist, 231, pp. 864-877. , https://doi.org/10.1111/nph.17390; Dellinger, A.S., Scheer, L.M., Artuso, S., Fernández-Fernández, D., Sornoza, F., Penneys, D.S., Tenhaken, R., Schönenberger, J., Bimodal pollination systems in Andean Melastomataceae involving birds, bats, and rodents (2019) The American Society of Naturalists, 194, pp. 1-13. , https://doi.org/10.1086/703517; Fenster, C.B., Armbruster, W.S., Wilson, P., Dudash, M.R., Thomson, J.D., Pollination syndromes and floral specialization (2004) Annual Review of Ecology, Evolution, and Systematics, 35, pp. 375-403. , https://doi.org/10.1146/annurev.ecolsys.34.011802.132347; Fleet, D.S., Histochemical location of enzymes in vascular plants (1952) Botanical Review, 18, pp. 354-398. , https://doi.org/10.1007/BF02957550; Franco, A.M., Goldenberg, R., Varassin, I.G., Pollinator guild organization and its consequences for reproduction in three synchronopatric species of Tibouchina (Melastomataceae) (2011) Revista Brasileira de Entomologia, 55, pp. 381-388. , https://doi.org/10.1590/S0085-56262011005000040; Gavrutenko, M., Reginato, M., Kriebel, R., Nicolas, A., Michelangeli, F., Evolution of floral morphology and symmetry in the Miconieae (Melastomataceae): Multiple generalization trends within a specialized family (2020) International Journal of Plant Science, 181, pp. 1-18. , https://doi.org/10.5061/dryad.c2fqz614s; Goldenberg, R., Shepherd, G.J., Studies on the reproductive biology of Melastomataceae in “Cerrado” vegetation (1998) Plant Systematics and Evolution, 211, pp. 13-29. , https://doi.org/10.1007/BF00984909; Goldenberg, R., Varassin, G.I., Sistemas reprodutivos de espécies de Melastomataceae da Serra do Japi, Jundiaí, São Paulo, Brasil (2001) Revista Brasileira de Botânica, 24, pp. 283-288. , https://doi.org/10.1590/S0100-84042001000300006; Goldenberg, R., Penneys, D., Almeda, F., Judd, W.S., Michelangeli, F.A., Phylogeny of Miconia (Melastomataceae): Patterns of stamen diversification in a megadiverse Neotropical genus (2008) International Journal of Plant Sciences, 169, pp. 963-979. , https://doi.org/10.1086/589697; Goldenberg, R., Almeda, F., Caddah, M.K., Martins, A.B., Meirelles, J., Michelangeli, F.A., Weiss, M., Nomenclator botanicus for the neotropical genus Miconia (Melastomataceae: Miconieae) (2013) Phytotaxa, 106, pp. 1-171. , https://doi.org/10.11646/phytotaxa.106.1.1; Gómez, J.M., Zamora, R., Ecological factors that promote the evolution of generalization in pollination systems (2006) Plant-pollinator interactions from specialization to generalization, pp. 145-166. , N. M. Waser, &amp;, J. Ollerton, (Eds.),, The University of Chicago Press; Henao, C.M., (2019) Dependencia de la polinización por abejas para las especies de la familia Melastomataceae asociadas a los afloramientos rocosos al sur de la Serranía de la Macarena, Meta, Colombia. [Master's thesis, Universidad Nacional de Colombia, Bogotá], , https://repositorio.unal.edu.co/handle/unal/77025; Hokche, O., Ramírez, N., Sistemas reproductivos de especies de Melastomataceae en La Gran Sabana (Estado Bolivar, Venezuela) (2008) Acta Botánica Venezuelica, 31, pp. 387-408; Holsinger, K.E., Reproductive systems and evolution in vascular plants (2000) Proceedings of the National Academy of Sciences, 97, pp. 7037-7042. , https://doi.org/10.1073/pnas.97.13.7037; Inouye, D.W., The terminology of floral larceny (1980) Ecology, 60, pp. 1251-1253. , https://doi.org/10.2307/1936841; Jaimes, I., Ramírez, N., Breeding systems in a secondary deciduous forest in Venezuela: The importance of life form, habitat, and pollination specificity (1999) Plant Systematics and Evolution, 215, pp. 23-36. , https://doi.org/10.1007/BF00984645; Plataforma de nombres comunes de las plantas de Bogotá. Miconia elaeoides, , http://colecciones.jbb.gov.co/nombrescomunesbogota; King, C., Ballantyne, G., Willmer, P.G., Why flower visitation is a poor proxy for pollination: Measuring single-visit pollen deposition, with implications for pollination networks and conservation (2013) Methods in Ecology and Evolution, 4, pp. 811-818. , https://doi.org/10.1111/2041-210X.12074; Kriebel, R., Zumbado, M.A., New reports of generalist insect visitation to flowers of species of Miconia (Miconieae: Melastomataceae) and their evolutionary implications (2014) Brittonia, 66, pp. 396-404. , https://doi.org/10.1007/s12228-014-9337-1; Kriebel, R., Michelangeli, F., Kelly, L.M., Discovery of unusual anatomical and continuous characters in the evolutionary history of Conostegia (Miconieae: Melastomataceae) (2015) Molecular Phylogenetics and Evolution, 82, pp. 289-313. , https://doi.org/10.1016/j.ympev.2014.09.021; Maia, F.R., Varassin, I.G., Goldenberg, R., Apomixis does not affect visitation to flowers of Melastomataceae, but pollen sterility does (2016) Plant Biology (Stuttgart), 18, pp. 132-138. , https://doi.org/10.1111/plb.12364; Malucelli, T., da Maia, F.R., Varassin, I., Breeding system and pollination of Pleroma trichopodum DC. (Melastomataceae): A potential species for the restoration of Atlantic Forest in southern Brazil (2018) Acta Botanica Brasilica, 32, pp. 1-8. , https://doi.org/10.1590/0102-33062018abb0103; Marquínez, X., Sarmiento, R., Lara, K., Fenología floral y visitantes florales en Drimys granadensis L.f. (Winteraceae) (2009) Acta biológica Colombiana, 14, pp. 47-60; Martén-Rodríguez, S., Fenster, C.B., Agnarsson, I., Skog, L.E., Zimmer, E.A., Evolutionary breakdown of pollination specialization in a Caribbean plant radiation (2010) New Phytologist, 188, pp. 403-417. , https://doi.org/10.1111/j.1469-8137.2010.03330.x; Mavárez, J., A taxonomic revision of Espeletia (Asteraceae). II. Updated list of taxa, nomenclature, and conservation status in the Colombian radiation (2021) Harvard Papers in Botany, 24 (2), pp. 131-244. , https://doi.org/10.3100/hpib.v24iss2.2019.n8; Medina, W., Macana-García, D.C., Sánchez, F., Birds and mammals of high mountain ecosystems in the Rabanal Páramo (Boyacá, Colombia) (2015) Revista Ciencia en Desarrollo, 6, pp. 185-198. , https://doi.org/10.19053/01217488.3789; Melo, G.F., Machado, L.C., Luceño, M., Reproducción de tres especies de Clidemia (Melastomataceae) en Brasil (1999) Revista de Biología Tropical, 47, pp. 359-363. , https://doi.org/10.15517/rbt.v47i3.33116; Michelangeli, F.A., Goldenberg, R., Almeda, F., Walter, J., Bécquer, E.R., Ocampo, G., Ionta, G.M., Penneys, D.S., Nomenclatural novelties in Miconia (Melastomataceae: Miconieae) (2019) Brittonia, 71, pp. 82-121. , https://doi.org/10.1007/s12228-018-9546-0; Morales, M., Otero, J., van der Hammen, T., Torres, A., Cadena, C., Pedraza, C., Rodríguez, N., Cadenas, L., (2007) Atlas de páramos de Colombia, , Instituto de Investigación de Recursos Biológicos Alexander von Humboldt; Muchhala, N., Exploring the boundary between pollination syndromes: Bats and hummingbirds as pollinators of Burmeistera cyclostigmata and B. tenuiflora (Campanulaceae) (2003) Oecologia, 134, pp. 373-380. , https://doi.org/10.1007/s00442-002-1132-0; Naudin, C.V., Melastomacearum monographicae descriptiones (1850) Annales des Sciences Naturelles: Botanique, 17, pp. 82-246; Naudin, C.V., Melastomacearum monographicae descriptiones (1850) Annales des Sciences Naturelles: Botanique, 15, pp. 276-345; Oliveira, P.E., Gibbs, P.E., Reproductive biology of woody plants in a Cerrado community of Central Brazil (2000) Flora, 195, pp. 311-329. , https://doi.org/10.1016/S0367-2530(17)30990-8; Ollerton, J., Killick, A., Lamborn, E., Watts, S., Whiston, M., Multiple meanings and modes: On the many ways to a generalist flower (2007) Taxon, 56, pp. 717-728. , https://doi.org/10.2307/25065855; Pereira, A.C., Silva, J.B., Goldenberg, R., Melo, G.A.R., Varassin, I.G., Flower color change accelerated by bee pollination in Tibouchina (Melastomataceae) (2011) Flora, 206, pp. 491-497. , https://doi.org/10.1016/j.flora.2011.01.004; Radford, A.E., Dickison, W.C., Massey, J.R., Bell, R.C., Seiler, M.S., (1974) Vascular plant systematics, , Harper and Row; Ramírez, N., Brito, Y., Reproductive biology of a tropical palm swamp community in the Venezuelan llanos (1990) American Journal of Botany, 77, pp. 1260-1271. , https://doi.org/10.1002/j.1537-2197.1990.tb11378.x; Ramírez, N., Seres, A., Plant reproductive biology of herbaceous monocots in a Venezuelan tropical cloud forest (1994) Plant Systematics and Evolution, 190, pp. 129-142. , https://doi.org/10.1007/BF00986189; Renner, S.S., A survey of reproductive biology in Neotropical Melastomataceae and Memecylaceae (1989) Annals of the Missouri Botanical Garden, 76, pp. 496-518. , https://doi.org/10.2307/2399497; Santos, A.P.M., Romero, R., Oliveira, P.E.A.M., Biologia reprodutiva de Miconia angelana (Melastomataceae), endêmica da Serra da Canastra, Minas Gerais (2010) Revista Brasileira de Botânica, 33, pp. 333-341. , https://doi.org/10.1590/S0100-84042010000200014; Stebbins, G.L., (1971) Chromosomal evolution in higher plants, , Arnold; Stein, B.A., Tobe, H., Floral nectaries in Melastomataceae and their systematic and evolutionary implications (1989) Annales of the Missouri Botanical Garden, 76, pp. 519-531. , https://doi.org/10.2307/2399498; Thien, L.B., Patterns of pollination in the primitive angiosperms (1980) Biotropica, 12 (1), pp. 1-13. , https://doi.org/10.2307/2387768; Triana, J., Les Melastomaceés (1871) Transactions of the Linnean Society of London, 28, pp. 1-188; Toräng, P., Vikström, L., Wunder, J., Wötzel, S., Coupland, G., Ågren, J., Evolution of the selfing syndrome: Anther orientation and herkogamy together determine reproductive assurance in a self-compatible plant (2017) Evolution, 71, pp. 2206-2218. , https://doi.org/10.1111/evo.13308; Varassin, G.I., Penneys, D.S., Michelangeli, F.A., Comparative anatomy and morphology of nectar-producing Melastomataceae (2008) Annals of Botany, 102, pp. 899-909. , https://doi.org/10.1093/aob/mcn180; Varassin, I.G., Agostini, K., Wolowski, M., Freitas, L., Pollination systems in the Atlantic Forest: Characterisation, threats, and opportunities (2021) The Atlantic Forest: History, biodiversity, threats and opportunities of the megadiverse forest, pp. 325-344. , M. Marques, &amp;, C. E. V. Grelle, (Eds.),, Springer Cham; Vogel, S., Evolutionary shifts from reward to deception in pollen flowers (1978) The pollination of flowers by insects, pp. 89-96. , A. J. Richards, (Ed.),, Academic Press; Waser, N.M., Chittka, L., Price, M.V., Williams, N.M., Ollerton, J., Generalization in pollination systems, and why it matters (1996) Ecology, 77, pp. 1043-1060. , https://doi.org/10.2307/2265575; Zapata, T.R., Arroyo, M.T.K., Plant reproductive ecology of a secondary deciduous tropical forest in Venezuela (1978) Biotropica, 10, pp. 221-230. , https://doi.org/10.2307/2387907</t>
  </si>
  <si>
    <t>Manrique Valderrama, N.; Estudiante Maestría en Ciencias Biológicas, Colombia; email: naislamanrique@gmail.com</t>
  </si>
  <si>
    <t>0913557X</t>
  </si>
  <si>
    <t>PSBIE</t>
  </si>
  <si>
    <t>Plant Species Biol.</t>
  </si>
  <si>
    <t>2-s2.0-85122767649</t>
  </si>
  <si>
    <t>Akinyemi S.A., Adebayo O.F., Madukwe H.Y., Kayode A.T., Aturamu A.O., OlaOlorun O.A., Nyakuma B.B., Jauro A., Gitari W.M., Mudzielwana R., Hower J.C.</t>
  </si>
  <si>
    <t>36551123100;8278941700;57192307117;57222254391;56380588500;55195647800;55556249900;55393303700;14044896000;57192209404;7102699526;</t>
  </si>
  <si>
    <t>Elemental geochemistry and organic facies of selected cretaceous coals from the Benue Trough basin in Nigeria: Implication for paleodepositional environments</t>
  </si>
  <si>
    <t>Marine and Petroleum Geology</t>
  </si>
  <si>
    <t>10.1016/j.marpetgeo.2021.105490</t>
  </si>
  <si>
    <t>https://www.scopus.com/inward/record.uri?eid=2-s2.0-85121300800&amp;doi=10.1016%2fj.marpetgeo.2021.105490&amp;partnerID=40&amp;md5=8a946523e341759568dd92bc45b66e6e</t>
  </si>
  <si>
    <t>Department of Geology, Faculty of Science, Ekiti State University, P.M.B., Ado Ekiti, Ekiti State  5363, Nigeria; Energy, Environmental &amp; Nanosciences Group, Faculty of Science, Ekiti State University, P.M.B, Ado Ekiti, Ekiti State  5363, Nigeria; National Centre for Petroleum Research and Development, Abubakar Tafawa Balewa University, P. M. B, Bauchi, Bauchi State  0248, Nigeria; Department of Ecology &amp; Resources Management, University of Venda, Private Bag X5050, Thohoyandou, Limpopo  0950, South Africa; University of Kentucky, Centre for Applied Energy Research, 2540 Research Park Drive, Lexington, KY  40511, United States; University of Kentucky, Department of Earth &amp; Environmental Sciences, Lexington, KY  40506, United States</t>
  </si>
  <si>
    <t>Akinyemi, S.A., Department of Geology, Faculty of Science, Ekiti State University, P.M.B., Ado Ekiti, Ekiti State  5363, Nigeria, Energy, Environmental &amp; Nanosciences Group, Faculty of Science, Ekiti State University, P.M.B, Ado Ekiti, Ekiti State  5363, Nigeria; Adebayo, O.F., Department of Geology, Faculty of Science, Ekiti State University, P.M.B., Ado Ekiti, Ekiti State  5363, Nigeria; Madukwe, H.Y., Department of Geology, Faculty of Science, Ekiti State University, P.M.B., Ado Ekiti, Ekiti State  5363, Nigeria; Kayode, A.T., Department of Geology, Faculty of Science, Ekiti State University, P.M.B., Ado Ekiti, Ekiti State  5363, Nigeria; Aturamu, A.O., Department of Geology, Faculty of Science, Ekiti State University, P.M.B., Ado Ekiti, Ekiti State  5363, Nigeria; OlaOlorun, O.A., Department of Geology, Faculty of Science, Ekiti State University, P.M.B., Ado Ekiti, Ekiti State  5363, Nigeria; Nyakuma, B.B., Energy, Environmental &amp; Nanosciences Group, Faculty of Science, Ekiti State University, P.M.B, Ado Ekiti, Ekiti State  5363, Nigeria; Jauro, A., National Centre for Petroleum Research and Development, Abubakar Tafawa Balewa University, P. M. B, Bauchi, Bauchi State  0248, Nigeria; Gitari, W.M., Department of Ecology &amp; Resources Management, University of Venda, Private Bag X5050, Thohoyandou, Limpopo  0950, South Africa; Mudzielwana, R., Department of Ecology &amp; Resources Management, University of Venda, Private Bag X5050, Thohoyandou, Limpopo  0950, South Africa; Hower, J.C., University of Kentucky, Centre for Applied Energy Research, 2540 Research Park Drive, Lexington, KY  40511, United States, University of Kentucky, Department of Earth &amp; Environmental Sciences, Lexington, KY  40506, United States</t>
  </si>
  <si>
    <t>Benue Trough basin is geologically subdivided into three segments. It consists of marine and continental sediments that are affected by folding movements. In the upper section, the continental coal-bearing Campano-Maastrichtian-age is found within Gombe Sandstone and the Cenozoic Kerri-Kerri Formation of the Tertiary. In the middle segment, the late Turonian/early Santonian coal-bearing Awgu Formation lies conformably on the Ezeaku Formation. In the lower part, shales at Nkporo mark marine incursion and deposition of the Maastrichtian Mamu Formation coal measures. Cretaceous coal samples taken from the three segments of Benue Trough basin were examined using ultimate and proximate, organic petrographic, x-ray fluorescence (XRF) and laser ablation-induced coupled plasma spectroscopy (LA-ICPMS) analytical techniques. Results of trace element ratios, Ce/Ce* values (“where Ce* is the theoretical Ce value derived from a chondrite-normalized rare earth element (REE) pattern”), authigenic uranium values, and low hydrogen content indicate deposition under oxic to suboxic conditions. However, the V/Ni and V/Sc ratios indicate under oxic, suboxic to reducing conditions. The Y/Ho values for selected coals are lower than the range for seawater, indicating terrigenous influence. The Sr/Ba values indicate low influence of saline water during deposition and a strong continental rather than marine influence. High value of vitrinite and low proportion of liptinite/intertinite suggest that peat in the study areas were situated on the irregular basin floor where sediment thicknesses vary from place to place thus the depositional environments shifted causing mineral matter filling in coal. Based on the tissue preservation index (TPI) and gelification index (GI), LFB, CHK, OKB, LMZ, IMG; and ENG (high GI and high TPI) were deposited in telmatic facies; wet-forest swamps with rapid organic matter accumulation. This trend indicates mild humification and strong gelification of plant tissues which ascribed to high rate of subsidence with wood- and bark-derived telovitrinite. The MGA peats were deposited in terrestrial facies in a dry-forest swamp with wood-derived telo-inertinite. The coal samples code-named IMG and ENG were deposited in planar margin mires. However, coal samples code-named LFB, CHK and LMZ were deposited in planar central mires. Lastly, OKB and MGA were deposited in transitional-wet and transitional-dry mire. The low V and Ni concentrations, low H/C, high O/C, high C/N, and very low N/C ratios &lt;0.05 implies Type III land-plant organic matter that is not oil-prone. The depositional environments interpretations of investigated coal seams indicate that the coals were deposited within a telmatic, limnic, limno-telmatic and open march zone. Generally, a combination of results from inorganic geochemistry and organic petrology is required for precise and all-inclusive determination of coal depositional environments. © 2021 Elsevier Ltd</t>
  </si>
  <si>
    <t>Benue Trough; Coal; Depositional facies; Macerals; Petroleum source evaluation</t>
  </si>
  <si>
    <t>Coal deposits; Deposition; Exploratory geochemistry; Gelation; Laser ablation; Mass spectrometers; Peat; Rare earths; Saline water; Tissue; Trace elements; Benue trough; Coal sample; Depositional environment; Depositional facies; Elemental geochemistry; Macerals; Organics; Petroleum source evaluation; Source evaluations; Tissue preservation; Coal; coal; Cretaceous; depositional environment; facies; maceral; sediment chemistry; source identification; Benue Valley</t>
  </si>
  <si>
    <t>Universiteit Stellenbosch, US; Tertiary Education Trust Fund, TETFund</t>
  </si>
  <si>
    <t>The authors acknowledge Ms Riana Rossouw of ICP-MS &amp; XRF Laboratory, Central Analytical Facilities, and the University of Stellenbosch, South Africa for the XRF &amp; LA-ICPMS analysis. The Research Grant from the Tertiary Education Trust Fund (TET-Fund) of Nigeria is gratefully acknowledged.</t>
  </si>
  <si>
    <t>Abubakar, M.B., Petroleum potentials of the Nigerian Benue Trough and anambra basin: a regional synthesis (2014) Natrural resources, 5, p. 34; Aihua, W., Discriminant effect of sedimentary environment by the Sr/Ba ratio of different exising forms [J] (1996) Acta Sedimentol. Sin., 4; Akinlua, A., Ajayi, T., Adeleke, B., Organic and inorganic geochemistry of northwestern Niger Delta oils (2007) Geochem. J., 4, pp. 271-281; Akinlua, A., Sigedle, A., Buthelezi, T., Fadipe, O., Trace element geochemistry of crude oils and condensates from South African Basins (2015) Mar. Petrol. Geol., 59, pp. 286-293; Akinlua, A., Olise, F., Akomolafe, A., McCrindle, R., Rare earth element geochemistry of petroleum source rocks from northwestern Niger Delta (2016) Mar. Petrol. Geol., 77, pp. 409-417; Akinniyi, A., Ola, S., Investigation of certain engineering properties of some Nigerian limestone deposits for cement production (2016) Electron. J. Geotech. Eng., 21, pp. 10471-10482; Akinyemi, S.A., Adebayo, O.F., Nyakuma, B.B., Adegoke, A.K., Aturamu, O.A., OlaOlorun, O.A., Adetunji, A., Jauro, A., Petrology, physicochemical and thermal analyses of selected cretaceous coals from the Benue Trough Basin in Nigeria (2020) Int J Coal Sci Technol, 7 (1), pp. 26-42; Akinyemi, S.A., Nyakuma, B.B., Jauro, A., Adebayo, O.F., OlaOlorun, O.A., Adegoke, A.K., Aturamu, A.O., Mudzielwana, R., Mineralogy, physicochemical and oxidative thermal analyses of Cretaceous coals from the Benue Trough, Nigeria (2021) Energy Geoscience, 2, pp. 129-135; Alves, R., Ade, M., Sequence stratigraphy and coal petrography applied to the Candiota Coal Field, Rio Grande do Sul, Brazil: a depositional model (1996) Int. J. Coal Geol., 30 (3), pp. 231-248; Standard Test Methods for Proximate Analysis of Coal and Coke by Macro Thermogravimetric Analysis (2012), www.astm.org, ASTM International West Conshohocken, PA; Standard, A. D4239-12. Test Method for Sulfur in the Analysis Sample of Coal and Coke Using High-Temperature Tube Furnace Combustion (2012), ASTM International West Conshohocken, PA 2012; ASTM D7708-14, Standard Test Method for Microscopical Determination of the Reflectance of Vitrinite Dispersed in Sedimentary Rocks (2014), www.astm.org, ASTM International West Conshohocken, PA 2014; ASTM D3176-15 standard practice for ultimate analysis of coal and coke, barwise, A. Role of nickel and vanadium in petroleum classification (2015) Energy Fuels, 4 (6), pp. 647-652. , 1990; Barwise, A.J.G., Role of nickel and vanadium in petroleum classification (1990) Energy Fuel., 4, pp. 647-652; Bau, M., Controls on the fractionation of isovalent trace elements in magmatic and aqueous systems: evidence from Y/Ho, Zr/Hf, and lanthanide tetrad effect (1996) Contrib. Mineral. Petrol., 123 (3), pp. 323-333; Bau, M., Koschinsky, A., Dulski, P., Hein, J.R., Comparison of the partitioning behaviours of yttrium, rare earth elements, and titanium between hydrogenetic marine ferromanganese crusts and seawater (1996) Geochem. Cosmochim. Acta, 60 (10), pp. 1709-1725; Bechtel, A., Gruber, W., Sachsenhofer, R., Gratzer, R., Püttmann, W., Organic geochemical and stable carbon isotopic investigation of coals formed in low-lying and raised mires within the Eastern Alps (Austria) (2001) Org. Geochem., 32 (11), pp. 1289-1310; Bechtel, A., Jia, J., Strobl, S.A., Sachsenhofer, R.F., Liu, Z., Gratzer, R., Püttmann, W., Palaeoenvironmental conditions during deposition of the Upper Cretaceous oil shale sequences in the Songliao Basin (NE China):Implications from geochemical analysis (2012) Org. Geochem., 46, pp. 76-95; Benkhelil, J., The origin and evolution of the cretaceous Benue Trough (Nigeria) (1989) J. Afr. Earth Sci., 8 (2-4), pp. 251-282; Bertrand, P., Behar, F., Durand, B., Composition of potential oil from humic coals in relation to their petrographic nature (1986) Org. Geochem., 10 (1-3), pp. 601-608; Boreham, C., Blevin, J., Radlinski, A., Trigg, K., Coal as a source of oil and gas: a case study from the Bass Basin, Australia (2003) APPEA J. Aust. Pet. Prod. Explor. Assoc., 43 (1), pp. 117-148; Calder, J.H., Gibling, M.R., Mukhopadhyay, P.K., Peat formation in a Westphalian B piedmont setting, Cumberland Basin, Nova Scotia; implications for the maceral-based interpretation of rheotrophic and raised paleomires (1991) Bull. Soc. Geol. Fr., 162 (2), pp. 283-298; Chaudhuri, S., Clauer, N., Semhi, K., Plant decay as a major control of river dissolved potassium: a first estimate (2007) Chem. Geol., 243 (1-2), pp. 178-190; Chen, X., Zhang, B., Huang, H., Mao, Z., Controls on organic matter accumulation of the triassic yanchang formation lacustrine shales in the ordos basin, north China (2021) ACS Omega, 6 (40), pp. 26048-26064. , 2021; Cornford, C., Organic deposition at a continental rise: organic geochemical interpretation and synthesis at DSDP Site 397, eastern North Atlantic. von Rad, U., Ryan, WBF, et al (1979) Init. Repts. DSDP, 47, pp. 503-510; Dai, S., Bechtel, A., Eble, C.F., Flores, R.M., French, D., Graham, I.T., Hood, M.M., O'Keefe, J.M.K., Recognition of peat depositional environments in coal: a review (2020) Int. J. Coal Geol., 219, p. 103383; de Baar, H.J., German, C.R., Elderfield, H., Van Gaans, P., Rare earth element distributions in anoxic waters of the Cariaco Trench (1988) Geochem. Cosmochim. Acta, 52 (5), pp. 1203-1219; Demaison, G.J., Moore, G.T., Anoxic environments and oil source bed genesis (1980) AAPG (Am. Assoc. Pet. Geol.) Bull., 64 (8), pp. 1179-1209; Deng, H.W., Qian, K., Analysis on Sedimentary Geochemistry and Environment (1993), Gansu Science and Technology Publishing House Lanzhou; Diessel, C., An appraisal of coal facies based on maceral characteristics (1982) Aust. Coal Geol., 4 (2), pp. 474-484; Diessel, C., On the correlation between coal facies and depositional environments (1986) Proceeding 20th Symposium of Department Geology, , University of New Castle New South Wales 1986; Diessel, C.F., Coal-bearing Depositional Systems (2012), Springer Science &amp; Business Media; Durand, B., Monin, J., Elemental analysis of kerogens (C, H, O, N, S, Fe) (1980) Kerogen. 1980, pp. 113-142. , Editions Technip Paris; Durrant, S.F., Laser ablation inductively coupled plasma mass spectrometry: achievements, problems, prospects (1999) J. Anal. Atomic Spectrom., 14 (9), pp. 1385-1403; Ekweozor, C.M., Unomah, G.I., First discovery of oil shale in the Benue Trough (1990) Nigeria Fuel, 69, pp. 502-508; Fatoye, F.B., Gideon, Y.B., Appraisal of the economic geology of Nigerian coal resources (2013) J. Environ. Earth Sci., 3 (11), pp. 25-31; Fatoye, F.B., Gideon, Y.B., Geology and occurrences of limestone and marble in Nigeria (2013) J. Nat. Sci. Res., 3 (11), pp. 60-65; Flores, D., Organic facies and depositional palaeoenvironment of lignites from Rio Maior Basin (Portugal) (2002) Int. J. Coal Geol., 48 (3-4), pp. 181-195; Galarraga, F., Reategui, K., Martïnez, A., Martínez, M., Llamas, J., Márquez, G., V/Ni ratio as a parameter in palaeoenvironmental characterisation of nonmature medium-crude oils from several Latin American basins (2008) J. Petrol. Sci. Eng., 61 (1), pp. 9-14; Gallego-Torres, D., Martinez-Ruiz, F., De Lange, G., Jimenez-Espejo, F., Ortega-Huertas, M., Trace-elemental derived paleoceanographic and paleoclimatic conditions for Pleistocene Eastern Mediterranean sapropels (2010) Palaeogeogr. Palaeoclimatol. Palaeoecol., 293 (1-2), pp. 76-89; Gan, W., Organic petrography and origin of condor coals from Hillsborough Basin (1998) Geology, Masters Degree (MSc), 2893, p. 262; Gentzis, T., Goodarzi, F., Reflectance suppression in some Cretaceous coals from Alberta, 601 Canada (1994) ACS (Am. Chem. Soc.) Symp. Ser., 570, pp. 93-110; Gómez Neita, J.S., López Carrasquilla, M.D., Paleoenvironments of coals using organic petrography and their relationship with physicochemical properties, Guaduas formation, Checua-Lenguazaque syncline. (Trabajo de grado) (2017), http://repositorio.uptc.edu.co/handle/001/1875, Universidad Pedagógica y Tecnológica de Colombia Sogamoso; Gurba, L.W., Ward, C.R., Vitrinite reflectance anomalies in the high-volatile bituminous coals of the gunnedah basin, new south wales, Australia (1998) Int. J. Coal Geol., 36 (1-2), pp. 111-140; Hackley, P.C., Cardott, B.J., Application of organic petrography in North American shale petroleum systems: a review (2016) Int. J. Coal Geol., 163, pp. 8-51; Hallberg, R.A., Geochemical method for investigation of palaeoredox conditions in sediments (1976) Ambio Spec. Rep., 4, pp. 139-147; Hatch, J., Leventhal, J., Relationship between inferred redox potential of the depositional environment and geochemistry of the upper pennsylvanian (missourian) Stark shale member of the Dennis limestone, wabaunsee county, Kansas, USA (1992) Chem. Geol., 99 (1-3), pp. 65-82; Hendrix, M.S., Brassell, S.C., Carroll, A.R., Graham, S.A., Sedimentology, organic geochemistry, and petroleum potential of Jurassic coal measures: tarim, Junggar, and Turpan basins, northwest China (1995) AAPG Bull., 79 (7), pp. 929-958; Hetzel, A., Böttcher, M.E., Wortmann, U.G., Brumsack, H.J., Paleo-redox conditions during OAE 2 reflected in Demerara Rise sediment geochemistry (ODP Leg 207) (2009) Palaeogeogr. Palaeoclimatol. Palaeoecol., 273 (3-4), pp. 302-328; Horsfield, B., Yordy, K., Crelling, J., Determining the petroleum-generating potential of coal using organic geochemistry and organic petrology (1988) Organic Geochemistry in Petroleum Exploration, pp. 121-129. , Elsevier 1988; Hunt, J.M., Petroleum Geochemistry and Geology (1979), p. 483. , W. H. H. Free-man and Co. San Francisco; Hunt, J.M., Generation of gas and oil from coal and other terrestrial organic matter (1991) Org. Geochem., 17 (6), pp. 673-680; Hutton, A., Daulay, B., Nas, C., Pujobroto, A., Sutarwan, H., Liptinite in Indonesian tertiary coals (1994) Energy Fuels, 8 (6), pp. 1469-1477; The new vitrinite classification (ICCP System 1994) (1998) Fuel, 77 (5), pp. 349-358; The new inertinite classification (ICCP System 1994) (2001) Fuel, 80 (4), pp. 459-471; Idowu, J., Ekweozor, C., Petroleum potential of cretaceous shales in the upper Benue Trough, Nigeria (1993) J. Petrol. Geol., 16 (3), pp. 249-264; Ingall, E., Sediment carbon, nitrogen and phosphorus cycling in an anoxic fjord, Effingham Inlet, British Columbia (2005) Am. J. Sci., 305, pp. 240-258; Ishiwatari, R., Uzaki, M., Diagenetic changes of lignin compounds in a more than 0.6 million-year-old lacustrine sediment (Lake Biwa, Japan) (1987) Geochem. Cosmochim. Acta, 51 (2), pp. 321-328; (2009), ISO 7404-2 Methods for the Petrographic Analysis of Coals — Part 2: Methods of Preparing Coal Samples; (2009), ISO 7404-5 Methods for the Petrographic Analysis of Coals — Part 5: Method of Determining Microscopically the Reflectance of Vitrinite; Jasper, J.P., Gagosian, R.B., The sources and deposition of organic matter in the late quaternary pigmy basin, gulf of Mexico (1990) Geochem. Cosmochim. Acta, 54 (4), pp. 1117-1132; Jones, B., Manning, D.A., Comparison of geochemical indices used for the interpretation of palaeoredox conditions in ancient mudstones (1994) Chem. Geol., 111 (1-4), pp. 111-129; Kalkreuth, W., Rank and petrographic composition of selected Jurassic-Lower Cretaceous coals of British Columbia, Canada (1982) Bull. Can. Petrol. Geol., 30 (2), pp. 112-139; Kotarba, M.J., Clayton, J.L., Rice, D.D., Wagner, M., Assessment of hydrocarbon source rock potential of Polish bituminous coals and carbonaceous shales (2002) Chem. Geol., 184 (1-2), pp. 11-35; Lamberson, M., Bustin, R., Kalkreuth, W., Lithotype (maceral) composition and variation as correlated with paleo-wetland environments, Gates Formation, northeastern British Columbia, Canada (1991) Int. J. Coal Geol., (1-2), pp. 87-124; Lewan, M.D., Factors controlling the proportionality of vanadium to nickel in crude oils (1984) Geochem. Cosmochim. Acta, 48 (11), pp. 2231-2238; Lewan, M., Maynard, J., Factors controlling enrichment of vanadium and nickel in the bitumen of organic sedimentary rocks (1982) Geochem. Cosmochim. Acta, 46 (12), pp. 2547-2560; Lin, M., Tian, L., Petrographic characteristics and depositional environment of the No. 9 coal (pennsylvanian) from the anjialing mine, ningwu coalfield, China (2011) Energy Explor. Exploit., 29 (2), pp. 197-204; Lin, J., Liu, Y., Yang, Y., Hu, Z., Calibration and correction of LA-ICP-MS and LA-MC-ICP-MS analyses for element contents and isotopic ratios (2016) Solid Earth Sciences, 1 (1), pp. 5-27; Liu, Y., Cao, L., Li, Z., Wang, H., Chu, T., Zhang, J., Element Geochemistry (1984), Science and Technology Press Bejing ([in Chinese]); Mastalerz, M., Padgett, P.L., Eble, C.F., Block coals from Indiana: inferences on changing depositional environment (2000) Int. J. Coal Geol., 43 (1-4), pp. 211-226; McDaniel, D., Hemming, S., McLennan, S., Hanson, G., Resetting of neodymium isotopes and redistribution of REEs during sedimentary processes: the early proterozoic chelmsford formation, sudbury basin, ontario, Canada (1994) Geochem. Cosmochim. Acta, 58 (2), pp. 931-941; McIntire, M.C., Rare earth elements (REE) in crude oil in the Lansing-Kansas City formations in central Kansas: potential indications about their sources, locally derived or long-distance derived (2014) Thesis Dissertation, p. 90. , Kansas State University; Meyers, P.A., Preservation of elemental and isotopic source identification of sedimentary organic matter (1994) Chem. Geol., 114 (3-4), pp. 289-302; Meyers, P.A., Ishiwatari, R., Lacustrine organic geochemistry—an overview of indicators of organic matter sources and diagenesis in lake sediments (1993) Org. Geochem., 20 (7), pp. 867-900; Miller, B.G., Clean coal engineering technology (2016) Technology &amp; Engineering, 2, p. 856; Milodowski, A., Zalasiewicz, J., Redistribution of rare earth elements during diagenesis of turbidite/hemipelagite mudrock sequences of Llandovery age from central Wales (1991) Geological Society, London, Special Publications, 57 (1), pp. 101-124; Misiak, J., Środowiska Depozycji Materii Organicznej W Torfowiskach Karbońskich. Materiały XXV Sympozjum „Geologia Formacji Węglonośnych Polski (2002), pp. 105-108. , AGH Kraków 2002; Misiak, J., Projekt diagramu do analizy facjalnej pokładów węgla kamiennego (2003) Mat. XXIV Symp. Nt. Geologia Formacji Węglonośnych Polski; Misiak, J., Petrography and depositional environment of the No. 308 coal seam (Upper Silesian Coal Basin, Poland) - a new approach to maceral quantification and facies analysis (2006) Int. J. Coal Geol., 68 (1-2), pp. 117-126; Mukhopadhyay, P.K., Hatcher, P.G., Composition of coal (1993) Hydrocarbons from Coal, pp. 79-118. , Law D.D. BaR American Association of Petroleum Geologists Studies in Geology USA 1993; Mukhopadhyay, P., Hatcher, P., Calder, J., Hydrocarbon generation from deltaic and intermontane fluviodeltaic coal and coaly shale from the Tertiary of Texas and Carboniferous of Nova Scotia (1991) Org. Geochem., 17 (6), pp. 765-783; Murat, R., Stratigraphy and paleogeography of the cretaceous and lower tertiary in southern Nigeria (1972) African Geology, 1 (1), pp. 251-266; Newman, J., Newman, N., Reflectance anomalies in Pike River coals: evidence of variability in vitrinite type, with implications for maturation studies and “Suggate rank” (1982) N. Z. J. Geol. Geophys., 25 (2), pp. 233-243; Nowak, G.J., Górecka-Nowak, A., Peat-forming environments of Westphalian A coal seams from the Lower Silesian Coal Basin of SW Poland based on petrographic and palynologic data (1999) Int. J. Coal Geol., 40 (4), pp. 327-351; Nwachukwu, S., The tectonic evolution of the the southern portion of the Benue Trough, Nigeria (1972) Geol. Mag., 109 (5), pp. 411-419; Nwachukwu, J.I., Oluwole, A.F., Asubiojo, O.I., Filby, R.H., Grimm, C.A., Fitzgerald, S., A geochemical evaluation of Niger Delta crude oils (1995) Geology of Deltas, 287–300, , M.N. Oti G. Postma A. A. Balkema/Rotterdam/Brookfield; Nwajide, C., Cretaceous Sedimentation and Paleogeography of the Central Benue Trough. The Benue (1990), pp. 19-38. , Tough structure and Evolution International Monograph Series Braunschweig; Nyakuma, B., Jauro, A., Oladokun, O., Bello, A., Alkali, H., Modibo, M., Abba, M., Physicochemical, mineralogical, and thermogravimetric properties of newly discovered Nigerian coals (2018) Petroleum &amp; Coal, 60, pp. 641-649; Obaje, N.G., Geology and mineral resources of Nigeria (2009) Lect. Notes Earth Sci., 120, p. 221; Obaje, N., Abaa, S., Najime, T., Suh, C., Economic geology of Nigerian coal resources-a brief review (1999) Afr. Geosci. Rev., 6, pp. 71-82; Ohimain, E.I., Can Nigeria generate 30% of her electricity from coal? (2014) Int. J. Energy Power Eng., 3, pp. 28-37; Ojoh, K., The southern part of the Benue Trough (Nigeria) Cretaceous stratigraphy, basin analysis, paleo-oceanography and geodynamic evolution in the Equatorial domain of the South Atlantic (1992) NAPE Bulletin, 7 (2), pp. 67-74; Olade, M., Evolution of Nigeria's Benue Trough (aulacogen): a tectonic model (1975) Geol. Mag., 112 (6), pp. 575-583; O'Keefe, J.M.K., Bechtel, A., Christanis, K., Dai, S., DiMichele, W.A., Eble, C.F., Esterle, J.S., Hower, J.C., On the fundamental difference between coal rank and coal type (2013) Int. J. Coal Geol., 118, pp. 58-87; Pelet, R., Preservation and alteration of present-day sedimentary organic matter (1981) Adv. Org. Geochem., 198 (1), p. 24; Peters, K.E., Moldowan, J.M., The Biomarker Guide: Interpreting Molecular Fossils in Petroleum and Ancient Sediments (1993); Petersen, H., Rosenberg, P., Reflectance retardation (suppression) and source rock properties related to hydrogen‐enriched vitrinite in Middle Jurassic coals, Danish North Sea (1998) J. Petrol. Geol., 21 (3), pp. 247-263; Petters, S.W., Central west African Cretaceous-Tertiary benthic foraminifera and stratigraphy (1982) Palaeontograph. Abteilung, pp. 1-104; Pi, D.H., Jiang, S.Y., Luo, L., Yang, J.H., Ling, H.F., Depositional environments for stratiform witherite deposits in the Lower Cambrian black shale sequence of the Yangtze Platform, southern Qinling region, SW China: evidence from redox-sensitive trace element geochemistry (2014) Palaeogeogr. Palaeoclimatol. Palaeoecol., 398, pp. 125-131; Pickel, W., Kus, J., Flores, D., Kalaitzidis, S., Christanis, K., Cardott, B., Misz-Kennan, M., Hamor-Vido, M., Classification of liptinite–ICCP system 1994 (2017) Int. J. Coal Geol., 169, pp. 40-61; Piper, D.Z., Rare earth elements in the sedimentary cycle: a summary (1974) Chem. Geol., 14 (4), pp. 285-304; Potter, P.E., Shimp, N., Witters, J., Trace elements in marine and fresh-water argillaceous sediments (1963) Geochem. Cosmochim. Acta, 27 (6), pp. 669-694; Prahl, F.G., Bennett, J.T., Carpenter, R., The early diagenesis of aliphatic hydrocarbons and organic matter in sedimentary particulates from Dabob Bay, Washington (1980) Geochem. Cosmochim. Acta, 44 (12), pp. 1967-1976; Prahl, F.G., Ertel, J.R., Goñi, M.A., Sparrow, M.A., Eversmeyer, B., Terrestrial organic carbon contributions to sediments on the Washington margin (1994) Geochem. Cosmochim. Acta, 58 (14), pp. 3035-3048; Premuzic, E.T., Benkovitz, C.M., Gaffney, J.S., Walsh, J.J., The nature and distribution of organic matter in the surface sediments of world oceans and seas (1982) Org. Geochem., 4 (2), pp. 63-77; Price, L.C., Baker, C.E., Suppression of vtrinite reflectance in amorphous rich kerogen‐a major unrecognized problem (1985) J. Petrol. Geol., 8 (1), pp. 59-84; Raji, J.K., Adebowale, A.O.J., Petroleum Source Rock Potential of the Upper Benue Trough, Nigeria: Implications for Hydrocarbon Exploration (2015), Society of Petroleum Engineers; Ramirez-Caro, D., Rare earth elements (REE) as geochemical clues to reconstruct hydrocarbon generation history (2013) Thesis Dissertation, p. 108. , Kansas State University; Raymond, A.C., Murchison, D.G., Influence of exinitic macerals on the reflectance of vitrinite in Carboniferous sediments of the Midland Valley of Scotland (1991) Fuel, 70 (2), pp. 155-161; Reyment, R.A., Aspects of the Geology of Nigeria: the Stratigraphy of the Cretaceous and Cenozoic Deposits (1965), Ibadan university press; Rimmer, S.M., Geochemical paleoredox indicators in Devonian–Mississippian black shales, central Appalachian Basin (USA) (2004) Chem. Geol., 206 (3-4), pp. 373-391; Rimmer, S.M., Thompson, J.A., Goodnight, S.A., Robl, T.L., Multiple controls on the preservation of organic matter in Devonian− Mississippian marine black shales: geochemical and petrographic evidence (2004) Palaeogeogr. Palaeoclimatol. Palaeoecol., 215, p. 125− 154; Saxby, J.D., Atomic HC ratios and the generation of oil from coals and kerogens (1980) Fuel, 59 (5), pp. 305-307; Shiller, A.M., Boyle, E.A., Variability of dissolved trace metals in the Mississippi River (1987) Geochem. Cosmochim. Acta, 51 (12), pp. 3273-3277; Singh, M.P., Singh, P.K., Petrographic characterization and evolution of the Permian coal deposits of the Rajmahal basin, Bihar, India (1996) Int. J. Coal Geol., 29 (1-3), pp. 93-118; Singh, M.P., Singh, A.K., Petrographic characteristics and depositional conditions of Eocene coals of platform basins, Meghalaya, India (2000) Int. J. Coal Geol., 42 (4), pp. 315-356; Singh, P.K., Singh, M., Singh, A.K., Naik, A., Petrographic and geochemical characterization of coals from Tiru valley, Nagaland, NE India (2012) Energy Explor. Exploit., 30 (2), pp. 171-191; Smyth, M., Coal microlithotypes related to sedimentary environments in the Cooper Basin, Australia (1985) Sedimentology of Coal and Coal‐Bearing Sequences, pp. 331-347; Snowdon, L.R., Oil from type III organic matter: resinite revisited (1991) Org. Geochem., 17 (6), pp. 743-747. , 1991; Speight, J.G., The chemistry and technology of coal (2012) Chem. Ind., 8; Sun, Y.Z., Wang, B.S., Lin, M.Y., Maceral and geochemical characteristics of coal seam 1 and oil shale 1 in fault-controlled Huangxian Basin, China (1998) Org. Geochem., 29 (1-3), pp. 583-591; Sun, Y., Qin, S., Zhao, C., Kalkreuth, W., Experimental study of early formation processes of macerals and sulfides (2010) Energy Fuels, 24 (2), pp. 1124-1128; Sýkorová, I., Pickel, W., Christanis, K., Wolf, M., Taylor, G., Flores, D., Classification of huminite-ICCP system 1994 (2005) Int. J. Coal Geol., 62 (1-2), pp. 85-106; Teichmüller, M., The genesis of coal from the viewpoint of coal petrology (1989) Int. J. Coal Geol., 12 (1-4), pp. 1-87; Teichmuller, M., Teichmuller, R., Stach's Textbook of Coal Petrology (1982), Gebruder Borntraeger Berlin, Stuttgart; Tissot, B., Welte, D., Petroleum Formation and Occurrence (1978), p. 538. , Springer-Verlag New York; Tissot, B., Welte, D., Petroleum Formation and Occurrence (1984), p. 699. , second ed; Udo, O., Some trace metal in selected Niger Delta crude oils: application in oil-oil correlation studies (1992) J. Min. Geol., 28 (2), pp. 289-291; Uzuakpunwa, A., The Abakaliki pyroclastics, Eastern Nigeria: new age and tectonic implications (1974) Geol. Mag., 111 (1), pp. 65-70; van Krevelen, D.W., Coal–typology, chemistry, physics, constitution (1961), p. 3; Warbrooke, P.R., Depositional and chemical environments in Permian coal forming swamps from the Newcastle area (1987) The Twenty Eighth Newcastle Symposium on Advances in the Study of the Sydney Basin, pp. 1-9; Ward, C.R., Analysis and significance of mineral matter in coal seams (2002) Int. J. Coal Geol., 50 (1-4), pp. 135-168; Wignall, P.B., Myers, K.J., Interpreting benthic oxygen levels in mudrocks: a new approach (1988) Geology, 16 (5), pp. 452-455; Wignall, P.B., Twitchett, R.J., Oceanic anoxia and the end Permian mass extinction (1996) Science, 272 (5265), pp. 1155-1158; Wilkins, R.W., George, S.C., Coal as a source rock for oil: a review (2002) Int. J. Coal Geol., 50 (1-4), pp. 317-361; Yasnygina, T.M.Y.M., Rasskazov, S.P.S., Zemskaya, T.K.O., The ICP-MS determination of rare earths and other metals in Baikal crude oil: comparison with crude oils in Siberia and the Russian Far East (2006) Doklady Earth Sciences, 411, pp. 1237-1240. , (8) Interperiodica Publishing, c1998- Moscow; Zhao, Y., Liu, C.Y., Niu, H.Q., Zhao, X.C., Zhang, D.D., Yang, D., Deng, H., Trace and rare earth element geochemistry of crude oils and their coexisting water from the Jiyuan Area of the Ordos Basin, N China (2018) Geol. J., 53 (1), pp. 336-348</t>
  </si>
  <si>
    <t>Akinyemi, S.A.; Department of Geology, P.M.B., Nigeria; email: segun.akinyemi@eksu.edu.ng</t>
  </si>
  <si>
    <t>Mar. Pet. Geol.</t>
  </si>
  <si>
    <t>2-s2.0-85121300800</t>
  </si>
  <si>
    <t>Vasquez Y., Neculita C.M., Caicedo G., Cubillos J., Franco J., Vásquez M., Hernández A., Roldan F.</t>
  </si>
  <si>
    <t>57188572535;6506738780;36348382300;57368231600;57368439800;57367608000;57367189700;36081176300;</t>
  </si>
  <si>
    <t>https://www.scopus.com/inward/record.uri?eid=2-s2.0-85120886900&amp;doi=10.1016%2fj.chemosphere.2021.133051&amp;partnerID=40&amp;md5=c26afab11a035ef5e37b69f674cb6c88</t>
  </si>
  <si>
    <t>Facultad de Ingenieria y Ciencias Basicas, Universidad Central, Cra. 5 No. 21-38, Bogotá, Colombia; Research Institute on Mines and Environment (RIME), University of Quebec in Abitibi-Temiscamingue (UQAT), 445 Boulevard de l'Universite, Rouyn-Noranda, QC  J9X 5E4, Canada; Grupo de Catálisis (GC-UPTC), Escuela de Ciencias Químicas, Facultad de Ciencias, Universidad Pedagógica y Tecnológica de Colombia (UPTC), Avenida Central del Norte No. 39-115, Tunja, Colombia; Unidad de Saneamiento y Biotecnología Ambiental (USBA), Departamento de Biología, Pontificia Universidad Javeriana, Cra. 7 No. 40-62, Bogotá, Colombia</t>
  </si>
  <si>
    <t>Vasquez, Y., Facultad de Ingenieria y Ciencias Basicas, Universidad Central, Cra. 5 No. 21-38, Bogotá, Colombia; Neculita, C.M., Research Institute on Mines and Environment (RIME), University of Quebec in Abitibi-Temiscamingue (UQAT), 445 Boulevard de l'Universite, Rouyn-Noranda, QC  J9X 5E4, Canada; Caicedo, G., Grupo de Catálisis (GC-UPTC), Escuela de Ciencias Químicas, Facultad de Ciencias, Universidad Pedagógica y Tecnológica de Colombia (UPTC), Avenida Central del Norte No. 39-115, Tunja, Colombia; Cubillos, J., Grupo de Catálisis (GC-UPTC), Escuela de Ciencias Químicas, Facultad de Ciencias, Universidad Pedagógica y Tecnológica de Colombia (UPTC), Avenida Central del Norte No. 39-115, Tunja, Colombia; Franco, J., Facultad de Ingenieria y Ciencias Basicas, Universidad Central, Cra. 5 No. 21-38, Bogotá, Colombia; Vásquez, M., Facultad de Ingenieria y Ciencias Basicas, Universidad Central, Cra. 5 No. 21-38, Bogotá, Colombia; Hernández, A., Grupo de Catálisis (GC-UPTC), Escuela de Ciencias Químicas, Facultad de Ciencias, Universidad Pedagógica y Tecnológica de Colombia (UPTC), Avenida Central del Norte No. 39-115, Tunja, Colombia; Roldan, F., Unidad de Saneamiento y Biotecnología Ambiental (USBA), Departamento de Biología, Pontificia Universidad Javeriana, Cra. 7 No. 40-62, Bogotá, Colombia</t>
  </si>
  <si>
    <t>This study evaluated the performance of a passive multi-unit field-pilot operating for 16 months to treat acid mine drainage (AMD) from a coal mine in Colombia Andean Paramo. The multi-unit field-pilot involved a combination of a pre-treatment unit (550 L) filled with dispersed alkaline substrate (DAS), and six passive biochemical reactors (PBRs; 220 L) under two configurations: open (PBRs-A) and closed (PBRs-B) to the atmosphere. The AMD quality was 1200 ± 91 mg L−1 Fe, 38.0 ± 1.3 mg L−1 Mn, 8.5 ± 1.6 mg L−1 Zn, and 3200 ± 183.8 mg L−1 SO42−, at pH 2.8. The input and output effluents were monitored to establish AMD remediation. Physicochemical stability of the post-treatment solids, including metals (Fe2+, Zn2+, and Mn2+) and sulfates for environmental contamination from reactive mixture post-treatment, was also assessed. The passive multi-unit field-pilot achieved a total removal of 74% SO42−, 63% Fe2+, and 48% Mn2+ with the line of PBRs-A, and 91% SO42−, 80% Fe2+, and 66% Mn2+ with the line of PBRs-B, as well as 99% removal for Zn2+ without significant differences (p &amp;lt; 0.05) between the two lines. The study of the physicochemical stability of the post-treatment solids showed they can produce acidic leachates that could release large quantities of Fe and Mn, if they are disposed in oxidizing conditions; contact with water or any other leaching solutions must be avoided. Therefore, these post-treatment solids cannot be disposed of in a municipal landfill. The differences in configuration between PBRs, open or closed to the atmosphere, induced changes in the performance of the passive multi-unit field-pilot during AMD remediation. © 2021 Elsevier Ltd</t>
  </si>
  <si>
    <t>Acid mine drainage (AMD); Colombia Andean Paramo; Dispersed alkaline substrate (DAS); Passive biochemical reactors (PBRs); Post-treatment solid waste</t>
  </si>
  <si>
    <t>Alkalinity; Bioreactors; Coal mines; Drainage; Effluents; Leachate treatment; Sulfur compounds; Waste treatment; Acid mine drainage; Acid mine-drainage; Alkalines; Biochemical reactors; Colombia; Colombia andean paramo; Dispersed alkaline substrate; Passive biochemical reactor; Post treatment; Post-treatment solid waste; Solid wastes; metal; mining; pH; solid waste; water pollutant; Hydrogen-Ion Concentration; Metals; Mining; Solid Waste; Water Pollutants, Chemical</t>
  </si>
  <si>
    <t>Metals; Solid Waste; Water Pollutants, Chemical</t>
  </si>
  <si>
    <t>120377657722; Ministry of Science and Technology, Croatia</t>
  </si>
  <si>
    <t>This work was supported by the Ministry of Science, Technology, and Innovation ( MINCIENCIAS ), Colombia [grant number: 120377657722 ]. The authors acknowledge company C.I. MILPA and engineer Javier Lopez for assistance during fieldwork.</t>
  </si>
  <si>
    <t>Adams, B., Anderson, R., Bless, D., Butler, B., Conway, B., Dailey, A., Zownir, A., Reference Guide to Treatment Technologies for Mining-Influenced Water (2014), p. 94p. , United States Environmental Protection Agency (USEPA) EPA 542-R-14-001; Clesceri, L.S., Greenberg, A.E., Eaton, A.D., (2005) Standard Methods for the Examination of Water and Wastewater, , American Public Health Association Washington, DC; Standard test methods for sulfate-reducing bacteria in water and water-formed deposits (2012) Annual Book of ASTM Standards, Section D4412-84, pp. 108-122. , ASTM International West Conshohocken, PA; Standard test method for laboratory determination of water (moisture) content of soil and rock (1999) Annual Book of ASTM Standards, Section D2216-92, pp. 178-181. , ASTM International West Conshohocken, PA; Standard test method for pH of soils (1995) Annual Book of ASTM Standards. Section D4972- 95a, pp. 27-28. , ASTM International West Conshohocken, PA; Ayora, C., Caraballo, M.A., Macias, F., Rötting, T.S., Carrera, J., Nieto, J.M., Acid mine drainage in the Iberian Pyrite Belt: 2. Lessons learned from recent passive remediation experiences (2013) Environ. Sci. Pollut. Res., 20, pp. 7837-7853; Ben Ali, H.E., Neculita, C.M., Molson, J.W., Maqsoud, A., Zagury, G.J., Salinity and low temperature effects on the performance of column biochemical reactors for the treatment of acidic and neutral mine drainage (2020) Chemosphere, 243; Ben Ali, H.E., Neculita, C.M., Molson, J.W., Maqsoud, A., Zagury, G.J., Performance of passive systems for mine drainage treatment at low temperature and high salinity: a review (2019) Miner. Eng., 134, pp. 325-344; Caraballo, M.A., MacÍas, F., Rötting, T.S., Nieto, J.M., Ayora, C., Long term remediation of highly polluted acid mine drainage: a sustainable approach to restore the environmental quality of the Odiel river basin (2011) Environ. Pollut., 159, pp. 3613-3619; Caraballo, M.A., Serna, A., Macías, F., Pérez-lópez, R., Ruiz-cánovas, C., Richter, P., Becerra-herrera, M., Uncertainty in the measurement of toxic metals mobility in mining/mineral wastes by standardized BCR ® SEP (2018) J. Hazard Mater., 360, pp. 587-593; Carneiro Brandão Pereira, T., Batista dos Santos, K., Lautert-Dutra, W., de Souza Teodoro, L., de Almeida, V.O., Weiler, J., Homrich Schneider, I.A., Reis Bogo, M., Acid mine drainage (AMD) treatment by neutralization: evaluation of physical-chemical performance and ecotoxicological effects on zebrafish (Danio rerio) development (2020) Chemosphere, 253, pp. 1-9; Chen, H., Xiao, T., Ning, Z., Li, Q., Xiao, E., Liu, Y., Xiao, Q., Lu, F., In-situ remediation of acid mine drainage from abandoned coal mine by filed pilot-scale passive treatment system: performance and response of microbial communities to low pH and elevated Fe (2020) Bioresour. Technol., 317, p. 123985; Fan, J., Liu, X., Gu, Q., Zhang, M., Hu, X., Effect of hydraulic retention time and pH on oxidation of ferrous iron in simulated ferruginous acid mine drainage treatment with inoculation of iron-oxidizing bacteria (2019) Water Sci. Eng; Fernandez-Rojo, L., Casiot, C., Tardy, V., Laroche, E., Le Pape, P., Morin, G., Joulian, C., Héry, M., Hydraulic retention time affects bacterial community structure in an As-rich acid mine drainage (AMD) biotreatment process (2018) Appl. Microbiol. Biotechnol., 102, pp. 9803-9813; Freire, M., Lopes, H., Tarelho, L.A.C., Critical aspects of biomass ashes utilization in soils: composition, leachability, PAH and PCDD/F (2015) Waste Manag.; Genty, T., Bussière, B., Benzaazoua, M., Neculita, C.M., Zagury, G.J., Changes in efficiency and hydraulic parameters during the passive treatment of ferriferous acid mine drainage in biochemical reactors (2018) Mine Water Environ., 37, pp. 686-695; Genty, T., Bussière, B., Benzaazoua, M., Neculita, C.M., Zagury, G.J., Iron removal in highly contaminated acid mine drainage using passive biochemical reactors (2017) Water Sci. Technol., 76, pp. 1833-1843; Genty, T., Bussière, B., Benzaazoua, M., Zagury, G.J., Capacity of wood ash filters to remove iron from acid mine drainage: assessment of retention mechanism (2012) Mine Water Environ., 31, pp. 273-286; Gibert, O., Cortina, J.L., de Pablo, J., Ayora, C., Performance of a field-scale permeable reactive barrier based on organic substrate and zero-valent iron for in situ remediation of acid mine drainage (2013) Environ. Sci. Pollut. Res., 20, pp. 7854-7862; Habe, H., Sato, Y., Aoyagi, T., Inaba, T., Hori, T., Hamai, T., Design, application, and microbiome of sulfate-reducing bioreactors for treatment of mining-influenced water (2020) Appl. Microbiol. Biotechol., 104, pp. 6893-6903. , https://link.springer.com/article/10.1007/s00253-020-10737-2; Biochemical Reactors for Mining Influenced Water (2013), BCR-1; Biochemical Reactors for Mining-Influenced Waste Team Washington, DC, USA; Jong, T., Parry, D.L., Heavy metal speciation in solid-phase materials from a bacterial sulfate reducing bioreactor using sequential extraction procedure combined with acid volatile sulfide analysis (2004) J. Environ. Monit., 6, pp. 278-285; Jouini, M., Benzaazoua, M., Neculita, C.M., Genty, T., Performances of stabilization/solidification process of acid mine drainage passive treatment residues: assessment of the environmental and mechanical behaviors (2020) J. Environ. Manag., 269, p. 368; Jouini, M., Neculita, C.M., Genty, T., Benzaazoua, M., Environmental behavior of metal-rich residues from the passive treatment of acid mine drainage (2020) Sci. Total Environ., 712, p. 136541; Jouini, M., Rakotonimaro, T.V., Neculita, C.M., Genty, T., Benzaazoua, M., Prediction of the environmental behavior of residues from the passive treatment of acid mine drainage (2019) Appl. Geochem., 110, p. 104421; Jouini, M., Rakotonimaro, T.V., Neculita, C.M., Genty, T., Benzaazoua, M., Stability of metal-rich residues from laboratory multi-step treatment system for ferriferous acid mine drainage (2019) Environ. Sci. Pollut. Res., 26, pp. 35588-35601; Le Bourre, B., Neculita, C.M., Coudert, L., Rosa, E., Manganese removal processes and geochemical behavior in residues from passive treatment of mine drainage (2020) Chemosphere, 259, p. 127424; Lefticariu, L., Behum, P.T., Bender, K.S., Lefticariu, M., Sulfur isotope fractionation as an indicator of biogeochemical processes in an AMD passive bioremediation system (2017) Minerals, 7; Lefticariu, L., Walters, E.R., Pugh, C.W., Bender, K.S., Sulfate reducing bioreactor dependence on organic substrates for remediation of coal-generated acid mine drainage: field experiments (2015) Appl. Geochem., 63, pp. 70-82; Lounate, K., Coudert, L., Genty, T., Mercier, G., Blais, J.F., Performance of a semi-passive sulfate-reducing bioreactor for acid mine drainage treatment and prediction of environmental behavior of post-treatment residues (2020) Mine Water Environ., 39, pp. 769-784; Macías, F., Caraballo, M.A., Miguel, J., Nieto, J.M., Environmental assessment and management of metal-rich wastes generated in acid mine drainage passive remediation systems (2012) J. Hazard Mater., 229-230, pp. 107-114; Macías, F., Caraballo, M.A., Rötting, T.S., Pérez-López, R., Nieto, J.M., Ayora, C., From highly polluted Zn-rich acid mine drainage to non-metallic waters: implementation of a multi-step alkaline passive treatment system to remediate metal pollution (2012) Sci. Total Environ., 433, pp. 323-330; Maresca, A., Hyks, J., Astrup, T.F., Long-term leaching of nutrients and contaminants from wood combustion ashes (2017) Waste Manag.; McIntyre, N., Angarita, M., Fernandez, N., Camacho, L.A., Pearse, J., Huguet, C., Baena, O.J.R., Ossa-Moreno, J., A framework for assessing the impacts of mining development on regional water resources in Colombia (2018) Water (Switzerland), 10, pp. 1-18; Resolucion 0631 por la cual se establecen los parámetros y los valores límites máximos permisibles en los vertimientos (2015), https://www.minambiente.gov.co/gestion-integral-del-recurso-hidrico/vertimientos-y-reuso-de-aguas-residuales/, (Accessed 9 November 2021); Decreto 4741 de 2005. Por el cual se reglamenta parcialmente la prevención y manejó de los residuos o desechos peligrosos generados en el marco de la gestión integral (2015), https://www.minambiente.gov.co/consulta/politica-ambiental-para-la-gestion-integral-de-residuos-peligrosos-2021-2030/, (Accessed 9 November 2021); Mirjafari, P., Baldwin, S., Decline in performance of biochemical reactors for sulphate removal from mine-influenced water is accompanied by changes in organic matter characteristics and microbial population composition (2016) Water, 8, p. 124; Neculita, C.-M.M., Zagury, G.J., Bussière, B., Effectiveness of sulfate-reducing passive bioreactors for treating highly contaminated acid mine drainage: II. Metal removal mechanisms and potential mobility (2008) Appl. Geochem., 23, pp. 3545-3560; Neculita, C.M., Rosa, E., A review of the implications and challenges of manganese removal from mine drainage (2019) Chemosphere, 214, pp. 491-510; Neculita, C.M., Zagury, G.J., Bussière, B., Passive treatment of acid mine drainage at the reclamation stage (2021) Hard Rock Mine Reclamation: from Prediction to Management of Acid Mine Drainage, pp. 271-296. , B. Bussière M. Guittonny CRC Press; Orden, S., Macías, F., Cánovas, C.R., Nieto, J.M., Pérez-López, R., Ayora, C., Eco-sustainable passive treatment for mine waters: full-scale and long-term demonstration (2021) J. Environ. Manag., 280; Rakotonimaro, T.V., Neculita, C.M., Bussière, B., Genty, T., Zagury, G.J., Performance assessment of laboratory and field-scale multi-step passive treatment of iron-rich acid mine drainage for design improvement (2018) Environ. Sci. Pollut. Res., 25, pp. 17575-17589; Rakotonimaro, T.V., Neculita, C.M., Bussière, B., Zagury, G.J., Effectiveness of various dispersed alkaline substrates for the pre-treatment of ferriferous acid mine drainage (2016) Appl. Geochem., 73, pp. 13-23; Sharma, S., Lee, M., Reinmann, C.S., Pumneo, J., Cutright, T.J., Senko, J.M., Impact of acid mine drainage chemistry and microbiology on the development of efficient Fe removal activities (2020) Chemosphere, 249, p. 126117; Schwarz, A., Gaete, M.A., Muñoz, D., Sanhueza, P., Torregrosa, M., Rötting, T., Southam, G., Aybar, M., Evaluation of dispersed alkaline substrate and di ff usive exchange system technologies for the passive treatment of copper mining acid drainage (2020) Water, 12, p. 854; Skousen, J., Zipper, C.E., Rose, A., Ziemkiewicz, P.F., Nairn, R., McDonald, L.M., Kleinmann, R.L., Review of passive systems for acid mine drainage treatment (2017) Mine Water Environ., 36, pp. 133-153; Song, H., Yim, G.-J., Ji, S.-W., Neculita, C.M., Hwang, T., Pilot-scale passive bioreactors for the treatment of acid mine drainage: efficiency of mushroom compost vs. mixed substrates for metal removal (2012) J. Environ. Manag., 111, pp. 150-158; Schumacher, B.A., Methods for the determination of total organic carbon (TOC) in soils and sediments. NCEA-C-1282, EMASC-001 (2002) Ecological Risk Assessment Support Center, , Office of Research and Development, U.S. Envi- ronmental; Tessier, A., Campbell, P.G.C., Bisson, M., Sequential extraction procedure for the speciation of particulate trace metals (1979) Anal. Chem., 51, pp. 844-851; Quality Criteria for Water. PB-263. Interim Guidance on Determination and Use of Water-Effect Ratios for Metals (2000), EPA-823-B-94-00-004; TCLP, method 1311, rev 0 (1992) SW-846: Test Methods for Evaluating Solid Waste, Physical/Chemical Methods, , Office of Solid Waste Washington, DC 1992; Flame Atomic Absorption Spectrophotometry (2001), Method 7000b. US Environmental Protection Agency Washington, DC; Vargas, A.B., Osorno, M., Parques y páramos naturales de Colombia como zonas de importancia para el desarrollo minero energético del país (2016) Revista del CESLA, (19), pp. 33-56; Vasquez, Y., Escobar, M.C., Neculita, C.M., Arbeli, Z., Roldan, F., Selection of reactive mixture for biochemical passive treatment of acid mine drainage (2016) Environ. Earth Sci., 75, p. 576; Vasquez, Y., Escobar, M.C., Saenz, J.S., Quiceno-Vallejo, M.F., Neculita, C.M., Arbeli, Z., Roldan, F., Effect of hydraulic retention time on microbial community in biochemical passive reactors during treatment of acid mine drainage (2018) Bioresour. Technol., 247, pp. 624-632; Vasquez, Y., Escobar, M.C.M.C., Neculita, C.M.C.M., Arbeli, Z., Roldan, F., Biochemical passive reactors for treatment of acid mine drainage: effect of hydraulic retention time on changes in efficiency, composition of reactive mixture, and microbial activity (2016) Chemosphere, 153, pp. 244-253; Wang, X., Jiang, H., Zheng, G., Liang, J., Zhou, L., Recovering iron and sulfate in the form of mineral from acid mine drainage by a bacteria-driven cyclic biomineralization system (2021) Chemosphere, 262, p. 127567</t>
  </si>
  <si>
    <t>Vasquez, Y.; Facultad de Ingenieria y Ciencias Basicas, Cra. 5 No. 21-38, Colombia; email: ovasquezo@ucentral.edu.co</t>
  </si>
  <si>
    <t>2-s2.0-85120886900</t>
  </si>
  <si>
    <t>Pita S., Lorite P., Cuadrado A., Panzera Y., De Oliveira J., Alevi K.C.C., Rosa J.A., Freitas S.P.C., Gómez-Palacio A., Solari A., Monroy C., Dorn P.L., Cabrera-Bravo M., Panzera F.</t>
  </si>
  <si>
    <t>55337430800;6603804811;7005588556;6507604844;55358246400;55352357300;7003610834;36771323500;24070234600;35485873400;6701503373;36895412700;56364008800;6603910639;</t>
  </si>
  <si>
    <t>High chromosomal mobility of rDNA clusters in holocentric chromosomes of Triatominae, vectors of Chagas disease (Hemiptera-Reduviidae)</t>
  </si>
  <si>
    <t>Medical and Veterinary Entomology</t>
  </si>
  <si>
    <t>10.1111/mve.12552</t>
  </si>
  <si>
    <t>https://www.scopus.com/inward/record.uri?eid=2-s2.0-85118471322&amp;doi=10.1111%2fmve.12552&amp;partnerID=40&amp;md5=831fe62acb0a143b4bedf9ce193252bd</t>
  </si>
  <si>
    <t>Sección Genética Evolutiva, Facultad de Ciencias, Universidad de la República, Montevideo, Uruguay; Department of Experimental Biology, Genetics, University of Jaén, Jaén, Spain; Department of Biomedicine and Biotechnology, University of Alcalá, Madrid, Spain; Laboratório de Entomologia em Saúde Pública, Departamento de Epidemiologia, Faculdade de Saúde Pública, Universidade de São Paulo, São Paulo, Brazil; Faculdade de Ciências Farmacêuticas, Universidade Estadual Paulista “Júlio de Mesquita Filho” (Unesp), São Paulo, Brazil; Fundação Oswaldo Cruz, Teresina, Brazil; Laboratorio de Investigación en Genética Evolutiva – LIGE, Universidad Pedagógica y Tecnológica de Colombia, Tunja, Colombia; Programa de Biología Celular y Molecular, ICBM, Facultad de Medicina, Universidad de Chile, Santiago, Chile; Laboratorio de Entomología Aplicada y Parasitología, Escuela de Biología, Facultad de Farmacia, Universidad de San Carlos de Guatemala, Guatemala City, Guatemala; Department of Biological Sciences, Loyola University New Orleans, New Orleans, LA, United States; Departamento de Microbiología y Parasitología, Facultad de Medicina, Universidad Nacional Autónoma de México, Mexico City, Mexico</t>
  </si>
  <si>
    <t>Pita, S., Sección Genética Evolutiva, Facultad de Ciencias, Universidad de la República, Montevideo, Uruguay; Lorite, P., Department of Experimental Biology, Genetics, University of Jaén, Jaén, Spain; Cuadrado, A., Department of Biomedicine and Biotechnology, University of Alcalá, Madrid, Spain; Panzera, Y., Sección Genética Evolutiva, Facultad de Ciencias, Universidad de la República, Montevideo, Uruguay; De Oliveira, J., Laboratório de Entomologia em Saúde Pública, Departamento de Epidemiologia, Faculdade de Saúde Pública, Universidade de São Paulo, São Paulo, Brazil; Alevi, K.C.C., Faculdade de Ciências Farmacêuticas, Universidade Estadual Paulista “Júlio de Mesquita Filho” (Unesp), São Paulo, Brazil; Rosa, J.A., Faculdade de Ciências Farmacêuticas, Universidade Estadual Paulista “Júlio de Mesquita Filho” (Unesp), São Paulo, Brazil; Freitas, S.P.C., Fundação Oswaldo Cruz, Teresina, Brazil; Gómez-Palacio, A., Laboratorio de Investigación en Genética Evolutiva – LIGE, Universidad Pedagógica y Tecnológica de Colombia, Tunja, Colombia; Solari, A., Programa de Biología Celular y Molecular, ICBM, Facultad de Medicina, Universidad de Chile, Santiago, Chile; Monroy, C., Laboratorio de Entomología Aplicada y Parasitología, Escuela de Biología, Facultad de Farmacia, Universidad de San Carlos de Guatemala, Guatemala City, Guatemala; Dorn, P.L., Department of Biological Sciences, Loyola University New Orleans, New Orleans, LA, United States; Cabrera-Bravo, M., Departamento de Microbiología y Parasitología, Facultad de Medicina, Universidad Nacional Autónoma de México, Mexico City, Mexico; Panzera, F., Sección Genética Evolutiva, Facultad de Ciencias, Universidad de la República, Montevideo, Uruguay</t>
  </si>
  <si>
    <t>The subfamily Triatominae (Hemiptera-Reduviidae) includes more than 150 blood-sucking species, potential vectors of the protozoan Trypanosoma cruzi, causative agent of Chagas disease. A distinctive cytogenetic characteristic of this group is the presence of extremely stable chromosome numbers. Unexpectedly, the analyses of the chromosomal location of ribosomal gene clusters and other repetitive sequences place Triatominae as a significantly diverse hemipteran subfamily. Here, we advance the understanding of Triatominae chromosomal evolution through the analysis of the 45S rDNA cluster chromosomal location in 92 Triatominae species. We found the 45S rDNA clusters in one to four loci per haploid genome with different chromosomal patterns: On one or two autosomes, on one, two or three sex chromosomes, on the X chromosome plus one to three autosomes. The movement of 45S rDNA clusters is discussed in an evolutionary context. Our results illustrate that rDNA mobility has been relatively common in the past and in recent evolutionary history of the group. The high frequency of rDNA patterns involving autosomes and sex chromosomes among closely related species could affect genetic recombination and the viability of hybrid populations, which suggests that the mobility of rDNA clusters could be a driver of species diversification. © 2021 Royal Entomological Society.</t>
  </si>
  <si>
    <t>45s rdna; DNA 18S; ribosome DNA; unclassified drug; ribosome DNA; Chagas disease; chromosome; cluster analysis; disease vector; DNA; genome; protozoan; recombination; adult; Article; autosome; Chagas disease; chromosome; chromosome analysis; chromosome banding pattern; chromosome number; fluorescence in situ hybridization; gene locus; genetic recombination; karyotype; male; meiosis; metaphase; molecular phylogeny; monophyly; natural hybridization; nonhuman; North American; sex chromosome; South American; species complex; species differentiation; Triatominae; X chromosome; animal; chromosome; genetics; Reduviidae; veterinary medicine; Animals; Chagas Disease; Chromosomes; DNA, Ribosomal; Reduviidae; Triatominae</t>
  </si>
  <si>
    <t>DNA, Ribosomal</t>
  </si>
  <si>
    <t>II/FVF/2019/054; Agencia Nacional de Investigación e Innovación, ANII; Fundação de Amparo à Pesquisa do Estado de São Paulo, FAPESP: 17/05015‐7, 19/02145‐2; Conselho Nacional de Desenvolvimento Científico e Tecnológico, CNPq: 307 398/2018‐8, PQ‐2; Comisión Sectorial de Investigación Científica, CSIC: 160; European Regional Development Fund, ERDF; Ministerio de Educación y Cultura, MEC</t>
  </si>
  <si>
    <t>This work was funded by ‘Comisión Sectorial de Investigación Científica’ (CSIC‐Udelar, project grant no 160), ‘Ministerio de Educación y Cultura, Dirección Nacional de Innovación, Ciencia y Tecnología, Fondo Vaz Ferreira’ (II/FVF/2019/054), ‘Programa de Desarrollo de las Ciencias Básicas’ (PEDECIBA), ‘Agencia Nacional de Investigación e Innovación’ (ANII) from Uruguay; the Spanish Junta de Andalucía through the ‘Programa Operativo FEDER Andalucía 2014‐2020’ and the Program of Academic Mobility of AUIP (Ibero‐American University Postgraduate Association: AUIP) from Spain; Fundação de Amparo à Pesquisa do Estado de São Paulo (FAPESP, 17/05015‐7 and 19/02145‐2) and by CNPq (PQ‐2, 307 398/2018‐8) from Brazil. We are grateful to Sarah A. Hamer and Rachel Curtis‐Robles (Department of Veterinary Integrative Biosciences, Texas A&amp;M University), Lori Stevens (Department of Biology, University of Vermont), Justin Schmidt (Southwestern Biological Institute, Tucson, Arizona) and Stephen A. Klotz (Department of Medicine, University of Arizona) for providing specimens from USA. The authors declare no potential conflict of interest.</t>
  </si>
  <si>
    <t>This work was funded by ?Comisi?n Sectorial de Investigaci?n Cient?fica? (CSIC-Udelar, project grant no 160), ?Ministerio de Educaci?n y Cultura, Direcci?n Nacional de Innovaci?n, Ciencia y Tecnolog?a, Fondo Vaz Ferreira? (II/FVF/2019/054), ?Programa de Desarrollo de las Ciencias B?sicas? (PEDECIBA), ?Agencia Nacional de Investigaci?n e Innovaci?n? (ANII) from Uruguay; the Spanish Junta de Andaluc?a through the ?Programa Operativo FEDER Andaluc?a 2014-2020? and the Program of Academic Mobility of AUIP (Ibero-American University Postgraduate Association: AUIP) from Spain; Funda??o de Amparo ? Pesquisa do Estado de S?o Paulo (FAPESP, 17/05015-7 and 19/02145-2) and by CNPq (PQ-2, 307 398/2018-8) from Brazil. We are grateful to Sarah A. Hamer and Rachel Curtis-Robles (Department of Veterinary Integrative Biosciences, Texas A&amp;M University), Lori Stevens (Department of Biology, University of Vermont), Justin Schmidt (Southwestern Biological Institute, Tucson, Arizona) and Stephen A. Klotz (Department of Medicine, University of Arizona) for providing specimens from USA. The authors declare no potential conflict of interest.</t>
  </si>
  <si>
    <t>Abad-Franch, F., Monteiro, F.A., Pavan, M.G., Under pressure: phenotypic divergence and convergence associated with microhabitat adaptations in Triatominae (2021) Parasites &amp; Vectors, 14, p. 195; Aguilera-Uribe, M., Meza-Lázaro, R.N., Kieran, T.J., Ibarra-Cerdeña, C.N., Zaldívar-Riverón, A., Phylogeny of the north-central American clade of blood-sucking reduviid bugs of the tribe Triatomini (Hemiptera: Triatominae) based on the mitochondrial genome (2020) Infection, Genetics and Evolution, 84; Anjos, A., Paladini, A., Evangelista, O., Cabral-de-Mello, D.C., Insights into chromosomal evolution of Cicadomorpha using fluorochrome staining and mapping 18S rRNA and H3 histone genes (2018) Journal of Zoological Systematics and Evolutionary Research, 57, pp. 314-322. , https://doi.org/10.1111/jzs.12254; Bardella, V.B., Pita, S., Vanzela, A.L.L., Galvão, C., Panzera, F., Heterochromatin base pair composition and diversification in holocentric chromosomes of kissing bugs (Hemiptera, Reduviidae) (2016) Memorias do Instituto Oswaldo Cruz, 111 (10), pp. 614-624. , https://doi.org/10.1590/0074-02760160044; Bardella, V.B., Fernandes, J.A.M., Cabral-de-Mello, D.C., Chromosomal evolutionary dynamics of four multigene families in Coreidae and Pentatomidae (Heteroptera) true bugs (2016) Molecular Genetics and Genomics, 291 (5), pp. 1919-1925. , https://doi.org/10.1007/s00438-016-1229-5; Bardella, V.B., Gil-Santana, H.R., Panzera, F., Vanzela, A.L.L., Karyotype diversity among predatory Reduviidae (Heteroptera) (2014) Comparative Cytogenetics, 8, pp. 351-367; Brianti, M.T., Ananina, G., Recco-Pimentel, S.M., Klaczko, L.B., Comparative analysis of the chromosomal positions of rDNA genes in species of the tripunctata radiation of drosophila (2009) Cytogenetic and Genome Research, 125, pp. 149-157; Bueno, D., Palacios-Giménez, O.M., Cabral-De-Mello, D.C., Chromosomal mapping of repetitive DNAs in the grasshopper Abracris flavolineata reveal possible ancestry of the B chromosome and H3 histone spreading (2013) PLoS One, 8; Cabral-de-Mello, D.C., Oliveira, S.G., de Moura, R.C., Martins, C., Chromosomal organization of the 18S and 5S rRNAs and histone H3 genes in Scarabaeinae coleopterans: insights into the evolutionary dynamics of multigene families and heterochromatin (2011) BMC Genetics, 12, p. 88; Campos, R., Botto-Mahan, C., Coronado, X., Catalá, S.S., Solari, A., Phylogenetic relationships of the spinolai complex and other Triatomini based on mitochondrial DNA sequences (Hemiptera: Reduviidae) (2013) Vector Borne and Zoonotic Diseases, 13, pp. 73-76; de Paula, A.S., Barreto, C., Telmo, M.C.M., Diotaiuti, L., Galvão, C., Historical biogeography and the evolution of hematophagy in Rhodniini (Heteroptera: Reduviidae: Triatominae) (2021) Frontiers in Ecology and Evolution, 9. , https://doi.org/10.3389/fevo.2021.660151; Ferretti, A.B.S.M., Ruiz-Ruano, F.J., Milani, D., How dynamic could be the 45S rDNA cistron? An intriguing variability in a grasshopper species revealed by integration of chromosomal and genomic data (2019) Chromosoma, 128, pp. 165-175; Galián, J., Proença, S.J., Vogler, A.P., Evolutionary dynamics of autosomal-heterosomal rearrangements in a multiple-X chromosome system of tiger beetles (Cicindelidae) (2007) BMC Evolutionary Biology, 7, p. 158; Georgieva, A.Y., Gordon, E.R.L., Weirauch, C., Sylvatic host associations of Triatominae and implications for Chagas disease reservoirs: a review and new host records based on archival specimens (2017) PeerJ, 5; Golub, N.V., Anokhin, B.A., Kuznetsova, V.G., Comparative FISH mapping of ribosomal DNA clusters and TTAGG telomeric sequences to holokinetic chromosomes of eight species of the insect order Psocoptera (2019) Comparative Cytogenetics, 13, pp. 403-410; Golub, N.V., Golub, V.B., Kuznetsova, V.G., New data on karyotypes of lace bugs (Tingidae, Cimicomorpha, Hemiptera) with analysis of the 18S rDNA clusters distribution (2018) Comparative Cytogenetics, 12, pp. 515-528; Grozeva, S., Anokhin, B.A., Simov, N., Kuznetsova, V.G., New evidence for the presence of the telomere motif (TTAGG)n in the family Reduviidae and its absence in the families Nabidae and Miridae (Hemiptera, Cimicomorpha) (2019) Comparative Cytogenetics, 13, pp. 283-295; Hwang, W.S., Weirauch, C., Evolutionary history of assassin bugs (Insecta: Hemiptera: Reduviidae): insights from divergence dating and ancestral state reconstruction (2012) PLoS One, 7; Justi, S.A., Galvão, C., Schrago, C.G., Geological changes of the Americas and their influence on the diversification of the Neotropical kissing bugs (Hemiptera: Reduviidae: Triatominae) (2016) PLoS Neglected Tropical Diseases, 10; Kieran, T.J., Gordon, E.R.L., Zaldívar-Riverón, A., Ibarra-Cerdeña, C.N., Glenn, T.C., Weirauch, C., Ultraconserved elements reconstruct the evolution of Chagas disease-vectoring kissing bugs (Reduviidae: Triatominae) (2021) Systematic Entomology, 46, pp. 725-740. , https://doi.org/10.1111/syen.12485; Kuznetsova, V., Maryańska-Nadachowska, A., Anokhin, B., Shapoval, N., Shapoval, A., Chromosomal analysis of eight species of dragonflies (Anisoptera) and damselflies (Zygoptera) using conventional cytogenetics and fluorescence in situ hybridization: insights into the karyotype evolution of the ancient insect order Odonata (2020) Journal of Zoological Systematics and Evolutionary Research, 59, pp. 387-399; Manicardi, G.C., Mandrioli, M., Blackman, R.L., The cytogenetic architecture of the aphid genome (2015) Biological Reviews of the Cambridge Philosophical Society, 90, pp. 112-125; Maryańska-Nadachowska, A., Kuznetsova, V.G., Golub, N.V., Anokhin, B.A., Detection of telomeric sequences and ribosomal RNA genes in holokinetic chromosomes of five jumping plant-lice species: first data on the superfamily Psylloidea (Hemiptera: Sternorrhyncha) (2018) European Journal of Entomology, 115, pp. 632-640; Menezes, R.S.T., Cabral-de-Mello, D.C., Milani, D., Bardella, V.B., Almeida, E.A.B., The relevance of chromosome fissions for major ribosomal DNA dispersion in hymenopteran insects (2021) Journal of Evolutionary Biology, 34 (9), pp. 1466-1476. , https://onlinelibrary.wiley.com/doi/10.1111/jeb.13909; Monteiro, F.A., Weirauch, C., Felix, M., Lazoski, C., Abad-Franch, F., Evolution, systematics, and biogeography of the Triatominae, vectors of Chagas disease (2018) Advances in Parasitology, 99, pp. 265-344; Montiel, E.E., Panzera, F., Palomeque, T., Lorite, P., Pita, S., Satellitome analysis of Rhodnius prolixus, one of the main Chagas disease vector species (2021) International Journal of Molecular Sciences, 22, p. 6052; Oliveira, J., Alevi, K.C.C., Gil-Santana, H.R., Galvão, C., Biological, ecological, morphological and cytogenetic analyses, with taxonomic notes of Zelurus ochripennis (Stål, 1854) (Hemiptera: Heteroptera: Reduviidae: Reduviinae) (2021) Zootaxa, 4958, pp. 345-358; Panzera, F., Ferreiro, M.J., Pita, S., Evolutionary and dispersal history of Triatoma infestans, main vector of Chagas disease, by chromosomal markers (2014) Infection, Genetics and Evolution, 27, pp. 105-113; Panzera, F., Pérez, R., Panzera, Y., Ferrandis, I., Ferreiro, M.J., Calleros, L., Cytogenetics and genome evolution in the subfamily Triatominae (Hemiptera, Reduviidae) (2010) Cytogenetic and Genome Research, 128, pp. 77-87; Panzera, F., Pita, S., Lorite, P., Chromosome structure and evolution of Triatominae: a review (2021) Triatominae: the Biology of Chagas Disease Vectors, 5, pp. 65-99. , https://doi.org/10.1007/978-3-030-64548-9, &amp;, Entomology in Focus (ed. by, A.A. Guarneri, &amp;, M.G. Lorenzo, Cham, Springer Nature Switzerland; Panzera, F., Pita, S., Nattero, J., Cryptic speciation in the Triatoma sordida subcomplex (Hemiptera, Reduviidae) revealed by chromosomal markers (2015) Parasites &amp; Vectors, 8, p. 495; Panzera, Y., Pita, S., Ferreiro, M.J., High dynamics of rDNA cluster location in kissing bug holocentric chromosomes (Triatominae, Heteroptera) (2012) Cytogenetic and Genome Research, 138, pp. 56-67; Patterson, J.S., Gaunt, M.W., Phylogenetic multi-locus codon models and molecular clocks reveal the monophyly of haematophagous reduviid bugs and their evolution at the formation of South America (2010) Molecular Phylogenetics and Evolution, 56, pp. 608-621; Pita, S., Lorite, P., Nattero, J., New arrangements on several species subcomplexes of Triatoma genus based on the chromosomal position of ribosomal genes (Hemiptera-Triatominae) (2016) Infection, Genetics and Evolution, 43, pp. 225-231. , http://dx.doi.org/10.1016/j.meegid.2016.05.028; Pita, S., Lorite, P., Vela, J., Holocentric chromosome evolution in kissing bugs (Hemiptera: Reduviidae: Triatominae): diversification of repeated sequences (2017) Parasites &amp; Vectors, 10, p. 410; Pita, S., Mora, P., Vela, J., Comparative analysis of repetitive DNA between the main vectors of Chagas disease: Triatoma infestans and Rhodnius prolixus (2018) International Journal of Molecular Sciences, 19, p. 1277; Pita, S., Panzera, F., Ferrandis, I., Galvão, C., Gómez-Palacio, A., Panzera, Y., Chromosomal divergence and evolutionary inferences in Rhodniini based on the chromosomal location of ribosomal genes (2013) Memorias do Instituto Oswaldo Cruz, 108, pp. 376-382; Pita, S., Panzera, F., Mora, P., Comparative repeatome analysis on Triatoma infestans Andean and non-Andean lineages, main vector of Chagas disease (2017) PLoS One, 12 (7). , https://doi.org/10.1371/journal.pone.0181635; Pita, S., Panzera, F., Sánchez, A., Panzera, Y., Palomeque, T., Lorite, P., Distribution and evolution of repeated sequences in genomes of Triatominae (Hemiptera-Reduviidae) inferred from Genomic In Situ Hybridization (2014) PLoS One, 9 (12). , https://doi.org/10.1371/journal.pone.0114298; Poggio, M.G., Provecho, Y.M., Papeschi, A.G., Bressa, M.J., Possible origin of polymorphism for chromosome number in the assassin bug Zelurus femoralis longispinis (Reduviidae: Reduviinae) (2013) Biological Journal of the Linnean Society, 110 (4), pp. 757-764. , https://academic.oup.com/biolinnean, &amp;, https://doi.org/10.1111/bij.12168; Provazníková, I., Hejníčková, M., Visser, S., Large-scale comparative analysis of cytogenetic markers across Lepidoptera (2021) Scientific Reports, 11; Raskina, O., Barber, J., Nevo, E., Belyayev, A., Repetitive DNA and chromosomal rearrangements: speciation-related events in plant genomes (2008) Cytogenetic Genome Research, 120, pp. 351-357; Sánchez-Gea, J.F., Serrano, J., Galián, J., Variability in rDNA loci in Iberian species of the genus Zabrus (Coleoptera: Carabidae) detected by fluorescence in situ hybridisation (2000) Genome, 43 (1), pp. 22-28. , https://doi.org/10.1139/gen-43-1-22; Sember, A., Bohlen, J., Šlechtová, V., Altmanová, M., Symonová, R., Ráb, P., Karyotype differentiation in 19 species of river loach fishes (Nemacheilidae, Teleostei): extensive variability associated with rDNA and heterochromatin distribution and its phylogenetic and ecological interpretation (2015) BMC Evolutionary Biology, 15, p. 251; Šíchová, J., Nguyen, P., Dalíková, M., Marec, F., Chromosomal evolution in tortricid moths: conserved karyotypes with diverged features (2013) PLoS One, 8; Sochorová, J., Garcia, S., Gálvez, F., Symonová, R., Kovařík, A., Evolutionary trends in animal ribosomal DNA loci: introduction to a new online database (2018) Chromosoma, 127, pp. 141-150; Souza-Firmino, T.S.D., Alevi, K.C.C., Itoyama, M.M., Chromosomal divergence and evolutionary inferences in Pentatomomorpha infraorder (Hemiptera, Heteroptera) based on the chromosomal location of ribosomal genes (2020) PLoS One, 15; Sproul, J.S., Barton, L.M., Maddison, D.R., Repetitive DNA profiles reveal evidence of rapid genome evolution and reflect species boundaries in ground beetles (2020) Systematic Biology, 69, pp. 1137-1148; Ueshima, N., Cytotaxonomy of the Triatominae (Reduviidae: Hemiptera) (1966) Chromosoma, 18, pp. 97-122; Vicoso, B., Charlesworth, B., Evolution on the X chromosome: unusual patterns and processes (2006) Nature Reviews Genetics, 7, pp. 645-653; (2021) Chagas Disease (also known as American trypanosomiasis), , https://www.who.int/news-room/fact-sheets/detail/chagas-disease-(american-trypanosomiasis; Zhao, Y., Galvão, C., Cai, W., Rhodnius micki, a new species of Triatominae (Hemiptera, Reduviidae) from Bolivia (2021) ZooKeys, 1012, pp. 71-93</t>
  </si>
  <si>
    <t>Pita, S.; Sección Genética Evolutiva, Uruguay; email: spita@fcien.edu.uy</t>
  </si>
  <si>
    <t>Panzera</t>
  </si>
  <si>
    <t>0269283X</t>
  </si>
  <si>
    <t>MVENE</t>
  </si>
  <si>
    <t>2-s2.0-85118471322</t>
  </si>
  <si>
    <t>Favre L.C., López-Fernández M.P., dos Santos Ferreira C., Mazzobre M.F., Mshicileli N., van Wyk J., Buera M.D.P.</t>
  </si>
  <si>
    <t>57202577153;37037740900;57203999073;6603288667;6505972608;57217191476;6701357470;</t>
  </si>
  <si>
    <t>The antioxidant and antiglycation activities of selected spices and other edible plant materials and their decay in sugar-protein systems under thermal stress</t>
  </si>
  <si>
    <t>Food Chemistry</t>
  </si>
  <si>
    <t>10.1016/j.foodchem.2021.131199</t>
  </si>
  <si>
    <t>https://www.scopus.com/inward/record.uri?eid=2-s2.0-85115892358&amp;doi=10.1016%2fj.foodchem.2021.131199&amp;partnerID=40&amp;md5=d55dc20f0409f51507fa798a94dba5a2</t>
  </si>
  <si>
    <t>Universidad de Buenos Aires, Facultad de Ciencias Exactas y Naturales, Departamentos de Industrias y Departamento de Química Orgánica, Intendente Güiraldes 2160, Ciudad Universitaria, Buenos Aires, C1428EGA, Argentina; CONICET-Universidad de Buenos Aires, Instituto de Tecnología de, Alimentos y Procesos Químicos (ITAPROQ), Intendente Güiraldes 2160, Ciudad Universitaria, Buenos Aires, C1428EGA, Argentina; CONICET – Consejo Nacional de Investigaciones Científicas y Técnicas, Godoy Cruz, 2290, Buenos Aires, C1425FQB, Argentina; CONICET - Consejo Nacional de Investigaciones Científicas Técnicas, IBBEA – Instituto de Biodiversidad y Biología Experimental y Aplicada, Intendente Güiraldes 2160, Ciudad Universitaria, Buenos Aires, C1428EGA, Argentina; Cape Peninsula University of Technology, Department of Food Science and Technology, Bellville 7535, Cape Town, South Africa; Agrifood Technology Station, Cape Peninsula University of Technology, Department of Food Science and Technology, Bellville 7535, Cape Town, South Africa</t>
  </si>
  <si>
    <t>Favre, L.C., Universidad de Buenos Aires, Facultad de Ciencias Exactas y Naturales, Departamentos de Industrias y Departamento de Química Orgánica, Intendente Güiraldes 2160, Ciudad Universitaria, Buenos Aires, C1428EGA, Argentina, CONICET-Universidad de Buenos Aires, Instituto de Tecnología de, Alimentos y Procesos Químicos (ITAPROQ), Intendente Güiraldes 2160, Ciudad Universitaria, Buenos Aires, C1428EGA, Argentina, CONICET – Consejo Nacional de Investigaciones Científicas y Técnicas, Godoy Cruz, 2290, Buenos Aires, C1425FQB, Argentina; López-Fernández, M.P., CONICET – Consejo Nacional de Investigaciones Científicas y Técnicas, Godoy Cruz, 2290, Buenos Aires, C1425FQB, Argentina, CONICET - Consejo Nacional de Investigaciones Científicas Técnicas, IBBEA – Instituto de Biodiversidad y Biología Experimental y Aplicada, Intendente Güiraldes 2160, Ciudad Universitaria, Buenos Aires, C1428EGA, Argentina; dos Santos Ferreira, C., Universidad de Buenos Aires, Facultad de Ciencias Exactas y Naturales, Departamentos de Industrias y Departamento de Química Orgánica, Intendente Güiraldes 2160, Ciudad Universitaria, Buenos Aires, C1428EGA, Argentina; Mazzobre, M.F., Universidad de Buenos Aires, Facultad de Ciencias Exactas y Naturales, Departamentos de Industrias y Departamento de Química Orgánica, Intendente Güiraldes 2160, Ciudad Universitaria, Buenos Aires, C1428EGA, Argentina, CONICET-Universidad de Buenos Aires, Instituto de Tecnología de, Alimentos y Procesos Químicos (ITAPROQ), Intendente Güiraldes 2160, Ciudad Universitaria, Buenos Aires, C1428EGA, Argentina, CONICET – Consejo Nacional de Investigaciones Científicas y Técnicas, Godoy Cruz, 2290, Buenos Aires, C1425FQB, Argentina; Mshicileli, N., Cape Peninsula University of Technology, Department of Food Science and Technology, Bellville 7535, Cape Town, South Africa, Agrifood Technology Station, Cape Peninsula University of Technology, Department of Food Science and Technology, Bellville 7535, Cape Town, South Africa; van Wyk, J., Cape Peninsula University of Technology, Department of Food Science and Technology, Bellville 7535, Cape Town, South Africa; Buera, M.D.P., Universidad de Buenos Aires, Facultad de Ciencias Exactas y Naturales, Departamentos de Industrias y Departamento de Química Orgánica, Intendente Güiraldes 2160, Ciudad Universitaria, Buenos Aires, C1428EGA, Argentina, CONICET-Universidad de Buenos Aires, Instituto de Tecnología de, Alimentos y Procesos Químicos (ITAPROQ), Intendente Güiraldes 2160, Ciudad Universitaria, Buenos Aires, C1428EGA, Argentina, CONICET – Consejo Nacional de Investigaciones Científicas y Técnicas, Godoy Cruz, 2290, Buenos Aires, C1425FQB, Argentina</t>
  </si>
  <si>
    <t>Antiglycation activities of herbs and spices, have been described in relation to their in vivo anti-diabetic or anti-aging activity at physiological temperature. Under the hypothesis that those natural antioxidants may inhibit the formation of Maillard intermediates, the behavior of several hydroalcoholic plant extracts was analyzed in sugar–protein systems. Allspice, thyme, green pepper and black pepper extracts were the most efficient inhibitors, decreasing furosine formation by 60, 45, 40 and 30%, respectively. 5-hydroxymethyl-2-furfural formation decreased in the presence of the extracts and protein glycation was inhibited by the thyme extract in advanced stages. Antiglycation activities were related to polyphenols content, to radical scavenging and to iron-reducing power. In the protein–sugar systems studied at the time in which 4000 ppm of furosine were formed, the antioxidant activity dropped between 30 and 40%. Polyphenols inhibit Maillard intermediates formation, revealing the incidence of oxidative pathways, but they are depleted as a function of time. © 2021 Elsevier Ltd</t>
  </si>
  <si>
    <t>5-Hydroxymethyl-2-furfural (HMF); Antiglycation; Antioxidant activity; Herbs; Polyphenols; Species; α-Dicarbonyls; β-Cyclodextrin</t>
  </si>
  <si>
    <t>Antioxidants; Plant extracts; 2-furfural; 5-hydroxymethyl-2-furfural; Antiglycation; Antioxidant activities; Dicarbonyls; Herb; Polyphenols; Species; Α-dicarbonyl; Β-cyclodextrin; Proteins; 5 hydroxymethylfurfural; black pepper extract; plant extract; plant protein; polyphenol; sugar; Thymus vulgaris extract; antioxidant; carbohydrate; plant extract; allspice; antioxidant activity; Article; controlled study; edible plant; glycation; protein glycosylation; spice; sweet pepper; temperature stress; thyme; edible plant; Antioxidants; Plant Extracts; Plants, Edible; Spices; Sugars</t>
  </si>
  <si>
    <t>5 hydroxymethylfurfural, 67-47-0; polyphenol, 37331-26-3; Antioxidants; Plant Extracts; Sugars</t>
  </si>
  <si>
    <t>PICT-ASACEN 2012-3070; Agencia Nacional de Promoción Científica y Tecnológica, ANPCyT: PICT 2018-01822; National Research Foundation of Korea, NRF; Universidad de Buenos Aires, UBA; Secretaría de Ciencia y Técnica, Universidad de Buenos Aires, UBACyT: 20020170100459BA</t>
  </si>
  <si>
    <t>This work was supported by Agencia Nacional de Promoción Científica y Tecnológica (PICT 2018-01822), Centro Argentino-Sudafricano de Nanotecnología (PICT-ASACEN 2012-3070) and Universidad de Buenos Aires (UBACYT 20020170100459BA ). Cape Peninsula University of Technology International-PICT 2012 Argentina-South Africa ASACEN N° 3070, Argentine-South African Nanotechnology Center - National Research Foundation, Department of Science &amp; Technology, Pretoria, South Africa.</t>
  </si>
  <si>
    <t>This work was supported by Agencia Nacional de Promoci?n Cient?fica y Tecnol?gica (PICT 2018-01822), Centro Argentino-Sudafricano de Nanotecnolog?a (PICT-ASACEN 2012-3070) and Universidad de Buenos Aires (UBACYT 20020170100459BA). Cape Peninsula University of Technology International-PICT 2012 Argentina-South Africa ASACEN N? 3070, Argentine-South African Nanotechnology Center - National Research Foundation, Department of Science &amp; Technology, Pretoria, South Africa.</t>
  </si>
  <si>
    <t>Abeysekera, W.K.S.M., Abayarathna, U.P.T.C., Premakumara, G.A.S., Jayasooriya, M.C.N., Abeysekera, W.P.K.M., Anti-Glycation and Glycation Reversing Potential of Fenugreek (Trigonella Foenum-Graecum) Seed Extract (2018) Biomedical Journal of Scientific &amp; Technical Research, 3 (2), pp. 3-7; ALjahdali, N., Carbonero, F., Impact of Maillard reaction products on nutrition and health: Current knowledge and need to understand their fate in the human digestive system (2019) Critical Reviews in Food Science and Nutrition, 59 (3), pp. 474-487; Asgharpour Dil, F., Ranjkesh, Z., Goodarzi, M.T., A systematic review of antiglycation medicinal plants (2019) Diabetes and Metabolic Syndrome: Clinical Research and Reviews, 13 (2), pp. 1225-1229; Aziz, N.S., Sofian-Seng, N.S., Wan Mustapha, W.A., Functional properties of oleoresin extracted from white pepper (Piper nigrum L.) retting waste water (2018) Sains Malaysiana, 47 (9), pp. 2009-2015; Ben Khedher, M.R., Hafsa, J., Haddad, M., Hammami, M., Inhibition of Protein Glycation by Combined Antioxidant and Antiglycation Constituents from a Phenolic Fraction of Sage (Salvia officinalis L.) (2020) Plant Foods for Human Nutrition, 75 (4), pp. 505-511; Benzie, I.F.F., Strain, J.J., The ferric reducing ability of plasma (FRAP) as a measure of “antioxidant power”: The FRAP assay (1996) Analytical Biochemistry, 239 (1), pp. 70-76; Chaillou, L.L., Nazareno, M.A., New method to determine antioxidant activity of polyphenols (2006) Journal of Agricultural and Food Chemistry, 54 (22), pp. 8397-8402; Chen, L., Huang, H., Liu, W., Peng, N., Huang, X., Kinetics of the 5-hydroxymethylfurfural formation Reaction in Chinese rice wine (2010) Journal of Agricultural and Food Chemistry, 58 (6), pp. 3507-3511; Chipurura, B., Muchuweti, M., Manditsera, F., Effects of thermal treatment on the phenolic content and antioxidant activity of some vegetables (2010) Asian Journal of Clinical Nutrition, 2 (3), pp. 93-100; de Lima Júnior, J.P., Franco, R.R., Saraiva, A.L., Moraes, I.B., Espindola, F.S., Anacardium humile St. Hil as a novel source of antioxidant, antiglycation and α-amylase inhibitors molecules with potential for management of oxidative stress and diabetes (2021) Journal of Ethnopharmacology, 268 (November 2020); Dearlove, R.P., Greenspan, P., Hartle, D.K., Swanson, R.B., Hargrove, J.L., Inhibition of protein glycation by extracts of culinary herbs and spices (2008) Journal of Medicinal Food, 11 (2), pp. 275-281; Favre, L.C., Rolandelli, G., Mshicileli, N., Vhangani, L.N., dos Santos Ferreira, C., van Wyk, J., Buera, M.D.P., Antioxidant and anti-glycation potential of green pepper (Piper nigrum): Optimization of β-cyclodextrin-based extraction by response surface methodology (2020) Food Chemistry, 316, p. 126280; Favre, L.C., Santos, C.D., López-Fernández, M.P., Mazzobre, M.F., Buera, M.D.P., Optimization of β-cyclodextrin-based extraction of antioxidant and anti- browning activities from thyme leaves by response surface methodology (2018) Food Chemistry, 265, pp. 86-95; Franco, R.R., da Silva Carvalho, D., de Moura, F.B.R., Justino, A.B., Silva, H.C.G., Peixoto, L.G., Espindola, F.S., Antioxidant and anti-glycation capacities of some medicinal plants and their potential inhibitory against digestive enzymes related to type 2 diabetes mellitus (2018) Journal of Ethnopharmacology, 215, pp. 140-146; Franco, R.R., Ribeiro Zabisky, L.F., Pires de Lima Júnior, J., Mota Alves, V.H., Justino, A.B., Saraiva, A.L., Espindola, F.S., Antidiabetic effects of Syzygium cumini leaves: A non-hemolytic plant with potential against process of oxidation, glycation, inflammation and digestive enzymes catalysis (2020) Journal of Ethnopharmacology, 261, p. 113132; Gu, F., Huang, F., Wu, G., Zhu, H., Contribution of polyphenol oxidation, chlorophyll and vitamin C degradation to the blackening of piper nigrum L (2018) Molecules, 23 (2), p. 370; Hamzalıoğlu, A., Gökmen, V., Investigation and kinetic evaluation of the reactions of hydroxymethylfurfural with amino and thiol groups of amino acids (2018) Food Chemistry, 240 (May 2017), pp. 354-360; Justino, A.B., Franco, R.R., Silva, H.C.G., Saraiva, A.L., Sousa, R.M.F., Espindola, F.S., B procyanidins of Annona crassiflora fruit peel inhibited glycation, lipid peroxidation and protein-bound carbonyls, with protective effects on glycated catalase (2019) Scientific Reports, 9 (1), pp. 1-16; Keppler, J.K., Schwarz, K., van der Goot, A.J., Covalent modification of food proteins by plant-based ingredients (polyphenols and organosulphur compounds): A commonplace reaction with novel utilization potential (2020) Trends in Food Science and Technology, 101 (October 2019), pp. 38-49; Meenatchi, P., Purushothaman, A., Maneemegalai, S., Antioxidant, antiglycation and insulinotrophic properties of Coccinia grandis (L.) in vitro: Possible role in prevention of diabetic complications (2017) Journal of Traditional and Complementary Medicine, 7 (1), pp. 54-64; Mehmood, T., Arshad, H., Nawaz, S., Ullah, A., Hafeez, A., Anwar, F., Iqbal, M., Pharmaceutical potential and phenolics profiling of leaves and bark of calotropis procera in relation to extraction solvents (2020) Pharmaceutical Chemistry Journal, 54 (6), pp. 631-641; Mesías, M., Sáez-Escudero, L., Morales, F.J., Delgado-Andrade, C., Occurrence of Furosine and Hydroxymethylfurfural in Breakfast Cereals. Evolution of the Spanish Market from 2006 to 2018 (2019) Foods, 8 (5); Mildner-Szkudlarz, S., Siger, A., Szwengiel, A., Przygoński, K., Wojtowicz, E., Zawirska-Wojtasiak, R., Phenolic compounds reduce formation of Nε-(carboxymethyl)lysine and pyrazines formed by Maillard reactions in a model bread system (2017) Food Chemistry, 231, pp. 175-184; Molaveisi, M., Beigbabaei, A., Akbari, E., Noghabi, M.S., Mohamadi, M., Kinetics of temperature effect on antioxidant activity, phenolic compounds and color of Iranian jujube honey (2019) Heliyon, 5 (1), p. e01129; Munteanu, I.G., Apetrei, C., Analytical methods used in determining antioxidant activity: A review (2021) International Journal of Molecular Sciences, 22 (7). , MDPI AG; Nayik, G.A., Nanda, V., A chemometric approach to evaluate the phenolic compounds, antioxidant activity and mineral content of different unifloral honey types from Kashmir, India (2016) LWT - Food Science and Technology, 74, pp. 504-513; Nguyen, H.T., van der Fels-Klerx, H.J.I., van Boekel, M.A.J.S., Acrylamide and 5-hydroxymethylfurfural formation during biscuit baking. Part II: Effect of the ratio of reducing sugars and asparagine (2017) Food Chemistry, 230, pp. 14-23; Simanavicius, M., Tamosiunas, P.L., Petraityte-Burneikiene, R., Johne, R., Ulrich, R.G., Zvirbliene, A., Kucinskaite-Kodze, I., Generation in yeast and antigenic characterization of hepatitis E virus capsid protein virus-like particles (2018) Applied Microbiology and Biotechnology, 102 (1), pp. 185-198; Singleton, V.L., Orthofer, R., Lamuela-Raventós, R.M., Analysis of total phenols and other oxidation substrates and antioxidants by means of folin-ciocalteu reagent (1999) Methods in Enzymology, 299 (1974), pp. 152-178; Starowicz, M., Zieliński, H., Inhibition of advanced glycation end-product formation by high antioxidant-leveled spices commonly used in European cuisine (2019) Antioxidants, 8 (4), p. 100; Suresh, D., Manjunatha, H., Srinivasan, K., Effect of heat processing of spices on the concentrations of their bioactive principles: Turmeric (Curcuma longa), red pepper (Capsicum annuum) and black pepper (Piper nigrum) (2007) Journal of Food Composition and Analysis, 20 (3-4), pp. 346-351; Tagliazucchi, D., Martini, S., Conte, A., Protocatechuic and 3,4-dihydroxyphenylacetic acids inhibit protein glycation by binding lysine through a metal-catalyzed oxidative mechanism (2019) Journal of Agricultural and Food Chemistry, 67 (28), pp. 7821-7831; Treml, J., Šmejkal, K., Flavonoids as potent scavengers of hydroxyl radicals (2016) Comprehensive Reviews in Food Science and Food Safety, 15 (4), pp. 720-738; Tungmunnithum, D., Thongboonyou, A., Pholboon, A., Yangsabai, A., Flavonoids and other phenolic compounds from medicinal plants for pharmaceutical and medical aspects: An overview (2018) Medicines, 5 (3), p. 93; Tupe, R.S., Kemse, N.G., Khaire, A.A., Shaikh, S.A., Attenuation of glycation-induced multiple protein modifications by Indian antidiabetic plant extracts (2017) Pharmaceutical Biology, 55 (1), pp. 68-75; Wang, Y., Hu, H., McClements, D.J., Nie, S., Shen, M., Li, C., Xie, M., Effect of fatty acids and triglycerides on the formation of lysine-derived advanced glycation end-products in model systems exposed to frying temperature (2019) RSC Advances, 9 (27), pp. 15162-15170; Yeh, W.J., Hsia, S.M., Lee, W.H., Wu, C.H., Polyphenols with antiglycation activity and mechanisms of action: A review of recent findings (2017) Journal of Food and Drug Analysis, 25 (1), pp. 84-92; Yu, A.N., Zhou, Y.Y., Yang, Y.N., Kinetics of browning and correlations between browning degree and pyrazine compounds in L-ascorbic acid/acidic amino acid model systems (2017) Food Chemistry, 221, pp. 1678-1684; Zarei, M., Fazlara, A., Tulabifard, N., Effect of thermal treatment on physicochemical and antioxidant properties of honey (2019) Heliyon, 5 (6), p. e01894</t>
  </si>
  <si>
    <t>Buera, M.D.P.; Universidad de Buenos Aires, Ciudad Universitaria, Argentina; email: pilar@di.fcen.uba.ar</t>
  </si>
  <si>
    <t>FOCHD</t>
  </si>
  <si>
    <t>Food Chem.</t>
  </si>
  <si>
    <t>2-s2.0-85115892358</t>
  </si>
  <si>
    <t>Meléndez-Flórez M.P., Valbuena D.S., Cepeda S., Rangel N., Forero-Castro M., Martínez-Agüero M., Rondón-Lagos M.</t>
  </si>
  <si>
    <t>57485150500;57484937100;57214991708;26433782000;56725949100;14525050200;56011046300;</t>
  </si>
  <si>
    <t>Frontiers in Genetics</t>
  </si>
  <si>
    <t>https://www.scopus.com/inward/record.uri?eid=2-s2.0-85126242481&amp;doi=10.3389%2ffgene.2022.820209&amp;partnerID=40&amp;md5=4a1871cfc5a4e2bcf19f26e6468fe349</t>
  </si>
  <si>
    <t>School of Biological Sciences, Universidad Pedagógica y Tecnológica de Colombia, Tunja, Colombia; Departamento de Nutrición y Bioquímica, Facultad de Ciencias, Pontificia Universidad Javeriana, Bogotá, Colombia; Centro de Investigaciones en Microbiología y Biotecnología-UR (CIMBIUR), Facultad de Ciencias Naturales, Universidad del Rosario, Bogotá, Colombia</t>
  </si>
  <si>
    <t>Meléndez-Flórez, M.P., School of Biological Sciences, Universidad Pedagógica y Tecnológica de Colombia, Tunja, Colombia; Valbuena, D.S., School of Biological Sciences, Universidad Pedagógica y Tecnológica de Colombia, Tunja, Colombia; Cepeda, S., School of Biological Sciences, Universidad Pedagógica y Tecnológica de Colombia, Tunja, Colombia; Rangel, N., Departamento de Nutrición y Bioquímica, Facultad de Ciencias, Pontificia Universidad Javeriana, Bogotá, Colombia; Forero-Castro, M., School of Biological Sciences, Universidad Pedagógica y Tecnológica de Colombia, Tunja, Colombia; Martínez-Agüero, M., Centro de Investigaciones en Microbiología y Biotecnología-UR (CIMBIUR), Facultad de Ciencias Naturales, Universidad del Rosario, Bogotá, Colombia; Rondón-Lagos, M., School of Biological Sciences, Universidad Pedagógica y Tecnológica de Colombia, Tunja, Colombia</t>
  </si>
  <si>
    <t>Pesticides are a group of environmental pollutants widely used in agriculture to protect crops, and their indiscriminate use has led to a growing public awareness about the health hazards associated with exposure to these substances. In fact, exposure to pesticides has been associated with an increased risk of developing diseases, including cancer. In a study previously published by us, we observed the induction of specific chromosomal alterations and, in general, the deleterious effect of pesticides on the chromosomes of five individuals exposed to pesticides. Considering the importance of our previous findings and their implications in the identification of cytogenetic biomarkers for the monitoring of exposed populations, we decided to conduct a new study with a greater number of individuals exposed to pesticides. Considering the above, the aim of this study was to evaluate the type and frequency of chromosomal alterations, chromosomal variants, the level of chromosomal instability and the clonal heterogeneity in a group of thirty-four farmers occupationally exposed to pesticides in the town of Simijacá, Colombia, and in a control group of thirty-four unexposed individuals, by using Banding Cytogenetics and Molecular Cytogenetics (Fluorescence in situ hybridization). Our results showed that farmers exposed to pesticides had significantly increased frequencies of chromosomal alterations, chromosomal variants, chromosomal instability and clonal heterogeneity when compared with controls. Our results confirm the results previously reported by us, and indicate that occupational exposure to pesticides induces not only chromosomal instability but also clonal heterogeneity in the somatic cells of people exposed to pesticides. This study constitutes, to our knowledge, the first study that reports clonal heterogeneity associated with occupational exposure to pesticides. Chromosomal instability and clonal heterogeneity, in addition to reflecting the instability of the system, could predispose cells to acquire additional instability and, therefore, to an increased risk of developing diseases. Copyright © 2022 Meléndez-Flórez, Valbuena, Cepeda, Rangel, Forero-Castro, Martínez-Agüero and Rondón-Lagos.</t>
  </si>
  <si>
    <t>chromosomal alterations; chromosomal instability; clonal heterogeneity; occupational exposure; pesticides</t>
  </si>
  <si>
    <t>carbofuran; carbosulfan; CD34 antigen; chlorpyrifos; cyhalothrin; cypermethrin; deltamethrin; fenthion; imidacloprid; mancozeb; maneb; methomyl; paraquat; parathion methyl; pesticide; profenofos; propineb; adult; agricultural worker; Article; awareness; chromosome analysis; chromosome variant; controlled study; cytogenetics; female; functional connectivity; gene amplification; genetic marker; Giemsa stain; human; human cell; human experiment; karate; karyotype; karyotyping; major clinical study; male; mean corpuscular volume; middle aged; pollutant; questionnaire; single nucleotide polymorphism; telomere</t>
  </si>
  <si>
    <t>carbofuran, 1563-66-2; carbosulfan, 55285-14-8; chlorpyrifos, 2921-88-2; cyhalothrin, 68085-85-8; cypermethrin, 52315-07-8, 65731-84-2, 66841-24-5, 67375-30-8; deltamethrin, 52918-63-5; fenthion, 55-38-9; imidacloprid, 138261-41-3; mancozeb, 8018-01-7; maneb, 12427-38-2; methomyl, 16752-77-5; paraquat, 1910-42-5, 3240-78-6, 4685-14-7; parathion methyl, 298-00-0, 73990-14-4; profenofos, 41198-08-7; propineb, 12071-83-9</t>
  </si>
  <si>
    <t>Cytovision, Leica Biosystems, United States</t>
  </si>
  <si>
    <t>Gibco; Sigma, United StatesLeica Biosystems, United States; Olympus</t>
  </si>
  <si>
    <t>Universidad Pedagógica y Tecnológica de Colombia, UPTC; Universidad del Rosario, UR</t>
  </si>
  <si>
    <t>This research was funded by Universidad Pedagógica y Tecnológica de Colombia and by Universidad del Rosario.</t>
  </si>
  <si>
    <t>Al-Bahar, S., Zámečníkova, A., Pandita, R., Frequency and Type of Chromosomal Abnormalities in Childhood Acute Lymphoblastic Leukemia Patients in Kuwait: a Six-Year Retrospective Study (2010) Med. Princ Pract, 19 (3), pp. 176-181; Amare Kadam, P.S., Ghule, P., Jose, J., Bamne, M., Kurkure, P., Banavali, S., Constitutional Genomic Instability, Chromosome Aberrations in Tumor Cells and Retinoblastoma (2004) Cancer Genet. Cytogenet, 150 (1), pp. 33-43; Ampatzidou, M., Papadhimitriou, S.I., Paterakis, G., Pavlidis, D., Tsitsikas, Κ., Kostopoulos, I.V., ETV6/RUNX1-positive Childhood Acute Lymphoblastic Leukemia (ALL): The Spectrum of Clonal Heterogeneity and its Impact on Prognosis (2018) Cancer Genet, 224-225, pp. 1-11; Anwar Iqbal, M., Al-Omar, H.M., Owaidah, T., Al-Humaidan, H., Bhuiyan, Z.A., Sahovic, E., del(6)(p23) in two cases of De Novo AML - a new recurrent primary chromosome abnormality (2006) Eur. J. Haematol, 77 (3), pp. 245-250; Arafa, A., Afify, M., Samy, N., Evaluation of Adverse Health Effects of Pesticides Exposure [Biochemical &amp; Hormonal] Among Egyptian Farmers (2013) J. Appl. Sci. Res, 9 (7), p. 5. , http://www.aensiweb.com/old/jasr/jasr/2013/4404-4409.pdf; Ashok, V., Ranganathan, R., Chander, S., Damodar, S., Bhat, S., Nataraj, K.S., Comparison of Diagnostic Yield of a FISH Panel against Conventional Cytogenetic Studies for Hematological Malignancies: A South Indian Referral Laboratory Analysis of 201 Cases (2017) Asian Pac. J. Cancer Prev, 18 (12), pp. 3457-3464; Atkin, N.B., Chromosome 1 Heteromorphism in Patients with Malignant Disease: a Constitutional Marker for a High-Risk Group (1977) Bmj, 1 (6057), p. 358; Balaji, M., Sasikala, K., Cytogenetic Effect of Malathion in In Vitro Culture of Human Peripheral Blood (1993) Mutat. Res. Lett, 301 (1), pp. 13-17; Banerjee, B.D., Seth, V., Bhattacharya, A., Pasha, S.T., Chakraborty, A.K., Biochemical Effects of Some Pesticides on Lipid Peroxidation and Free-Radical Scavengers (1999) Toxicol. Lett, 107 (1-3), pp. 33-47; Bardi, G., Johansson, B., Pandis, N., Bak-Jensen, E., Örndal, C., Heim, S., Cytogenetic Aberrations in Colorectal Adenocarcinomas and Their Correlation with Clinicopathologic Features (1993) Cancer, 71 (2), pp. 306-314; Benedetti, D., Lopes Alderete, B., de Souza, C.T., Ferraz Dias, J., Niekraszewicz, L., Cappetta, M., DNA Damage and Epigenetic Alteration in Soybean Farmers Exposed to Complex Mixture of Pesticides (2018) Mutagenesis, 33 (1), pp. 87-95; Bentz, M., Döhner, H., Cabot, G., Lichter, P., Fluorescence In Situ Hybridization in Leukemias: 'the FISH Are Spawning!' (1994) Leukemia, 8 (9), pp. 1447-1452; Bhardwaj, J.K., Mittal, M., Saraf, P., Kumari, P., Pesticides Induced Oxidative Stress and Female Infertility: a Review (2020) Toxin Rev, 39 (1), pp. 1-13; Bolt, H.M., Foth, H., Hengstler, J.G., Degen, G.H., Carcinogenicity Categorization of Chemicals-New Aspects to Be Considered in a European Perspective (2004) Toxicol. Lett, 151 (1), pp. 29-41; Bréga, S.M., Vassilieff, I., Almeida, A., Mercadante, A., Bissacot, D., Cury, P.R., Clinical, Cytogenetic and Toxicological Studies in Rural Workers Exposed to Pesticides in Botucatu, São Paulo, Brazil (1998) Cad Saude Publica, 14, pp. 109-115; Bridge, J.A., Nelson, M., McComb, E., McGuire, M.H., Rosenthal, H., Vergara, G., Cytogenetic Findings in 73 Osteosarcoma Specimens and a Review of the Literature (1997) Cancer Genet. Cytogenet, 95 (1), pp. 74-87; Buño, I., Wyatt, W.A., Zinsmeister, A.R., Dietz-Band, J., Silver, R.T., Dewald, G.W., A Special Fluorescent In Situ Hybridization Technique to Study Peripheral Blood and Assess the Effectiveness of Interferon Therapy in Chronic Myeloid Leukemia (1998) Blood, 92 (7), pp. 2315-2321; Buretic-Tomljanovic, A., Badovinac, A.R., Vlastelic, I., Randic, L.J., Quantitative Analysis of Constitutive Heterochromatin in Couples with Fetal Wastage (1997) Am. J. Reprod. Immunol, 38 (3), pp. 201-204; Campioni, D., Bardi, M.A., Cavazzini, F., Tammiso, E., Pezzolo, E., Pregnolato, E., Cytogenetic and Molecular Cytogenetic Profile of Bone Marrow-Derived Mesenchymal Stromal Cells in Chronic and Acute Lymphoproliferative Disorders (2012) Ann. Hematol, 91 (10), pp. 1563-1577; Caradonna, F., Nucleoplasmic Bridges and Acrocentric Chromosome Associations as Early Markers of Exposure to Low Levels of Ionising Radiation in Occupationally Exposed Hospital Workers (2015) Mutagenesis, 30 (2), pp. 269-275; Carbonell, E., Puig, M., Xamena, N., Creus, A., Marcos, R., Sister Chromatid Exchange in Lymphocytes of Agricultural Workers Exposed to Pesticides (1990) Mutagenesis, 5 (4), pp. 403-406; Castillo-Cadena, J., Tenorio-Vieyra, L.E., Quintana-Carabia, A.I., García-Fabila, M.M., Juan, E.R.S., Madrigal-Bujaidar, E., Determination of DNA Damage in Floriculturists Exposed to Mixtures of Pesticides (2006) J. Biomed. Biotechnol, 2006 (2), pp. 1-12; (2021) CCMG Practice Guidelines For Cytogenetic Analysis. Recommendations For the Indications, Analysis and Reporting of Constitutional Specimens (Peripheral Blood, Solid Tissues) [Online], , https://www.ccmg-ccgm.org/images/CCMG_practice_guidelines_for_cytogenetic_analysis_B_constitutional_approved_Mar2021.pdf, Available: (Accessed January 2, 2022 2022; Cepeda, S., Forero-Castro, M., Cárdenas-Nieto, D., Martínez-Agüero, M., Rondón-Lagos, M., Chromosomal Instability in Farmers Exposed to Pesticides: High Prevalence of Clonal and Non-clonal Chromosomal Alterations (2020) Rmhp, 13, pp. 97-110; Cerretini, R., Noriega, M.F., Narbaitz, M., Slavutsky, I., New Chromosome Abnormalities and Lack of BCL-6 Gene Rearrangements in Argentinean Diffuse Large B-Cell Lymphomas (2006) Eur. J. Haematol, 76 (4), pp. 284-293; Chauhan, L.K., Pant, N., Gupta, S.K., Srivastava, S.P., Induction of Chromosome Aberrations, Micronucleus Formation and Sperm Abnormalities in Mouse Following Carbofuran Exposure (2000) Mutat. Res, 465 (1-2), pp. 123-129; Cocco, P., Satta, G., Dubois, S., Pili, C., Pilleri, M., Zucca, M., Lymphoma Risk and Occupational Exposure to Pesticides: Results of the Epilymph Study (2013) Occup. Environ. Med, 70 (2), pp. 91-98; Coquelle, A., Pipiras, E., Toledo, F., Buttin, G., Debatisse, M., Expression of Fragile Sites Triggers Intrachromosomal Mammalian Gene Amplification and Sets Boundaries to Early Amplicons (1997) Cell, 89 (2), pp. 215-225; Dayal, J.H.S., Albergante, L., Newman, T.J., South, A.P., Quantitation of Multiclonality in Control and Drug-Treated Tumour Populations Using High-Throughput Analysis of Karyotypic Heterogeneity (2015) Converg. Sci. Phys. Oncol, 1 (2), p. 025001; De Ferrari, M., Artuso, M., Bonassi, S., Bonatti, S., Cavalieri, Z., Pescatore, D., Cytogenetic Biomonitoring of an Italian Population Exposed to Pesticides: Chromosome Aberration and Sister-Chromatid Exchange Analysis in Peripheral Blood Lymphocytes (1991) Mutat. Research/Genetic Toxicol, 260 (1), pp. 105-113; Debacker, K., Kooy, R.F., Fragile Sites and Human Disease (2007) Hum. Mol. Genet, 16 (Spec2), pp. R150-R158; Debiec-Rychter, M., Alwasiak, J., Liberski, P.P., Nedoszytko, B., Babińska, M., Mrózek, K., Accumulation of Chromosomal Changes in Human Glioma Progression. A Cytogenetic Study of 50 Cases (1995) Cancer Genet. Cytogenet, 85 (1), pp. 61-67; Dulout, F.N., Pastori, M.C., Olivero, O.A., González Cid, M., Loria, D., Matos, E., Sister-chromatid Exchanges and Chromosomal Aberrations in a Population Exposed to Pesticides (1985) Mutat. Res. Lett, 143 (4), pp. 237-244; Durkin, S.G., Glover, T.W., Chromosome Fragile Sites (2007) Annu. Rev. Genet, 41, pp. 169-192; El-Zimaity, M.M.T., Kantarjian, H., Talpaz, M., O'Brien, S., Giles, F., Garcia-Manero, G., Results of Imatinib Mesylate Therapy in Chronic Myelogenous Leukaemia with Variant Philadelphia Chromosome (2004) Br. J. Haematol, 125 (2), pp. 187-195; (2021) Managing Pesticides in Agriculture and Public Health. A Compendium of FAO and WHO Guidelines and Other Resources, , https://www.who.int/publications/i/item/9789240022478, Second edition, Rome, Italy, FAO and WHO, [Online]. Available: (Accessed, 2021; Farabegoli, F., Santini, D., Ceccarelli, C., Taffurelli, M., Marrano, D., Baldini, N., Clone Heterogeneity in Diploid and Aneuploid Breast Carcinomas as Detected by FISH (2001) Cytometry, 46 (1), pp. 50-56; Farkas, G., Jurányi, Z., Székely, G., Kocsis, Z.S., Gundy, S., Relationship between Spontaneous Frequency of Aneuploidy and Cancer Risk in 2145 Healthy Hungarian Subjects (2016) Mutage, 31 (5), pp. 583-588; Feder, M., Siegfried, J.M., Balshem, A., Litwin, S., Keller, S.M., Liu, Z., Clinical Relevance of Chromosome Abnormalities in Non-small Cell Lung Cancer (1998) Cancer Genet. Cytogenet, 102 (1), pp. 25-31; Fenech, M., Kirsch-Volders, M., Natarajan, A.T., Surralles, J., Crott, J.W., Parry, J., Molecular Mechanisms of Micronucleus, Nucleoplasmic Bridge and Nuclear Bud Formation in Mammalian and Human Cells (2011) Mutagenesis, 26 (1), pp. 125-132; Fiegl, M., Kaufmann, H., Zojer, N., Schuster, R., Wiener, H., Müllauer, L., Malignant Cell Detection by Fluorescence In Situ Hybridization (FISH) in Effusions from Patients with Carcinoma (2000) Hum. Pathol, 31 (4), pp. 448-455; Gabrea, A., Martelli, M.L., Qi, Y., Roschke, A., Barlogie, B., Shaughnessy, J.D., Jr., Secondary Genomic Rearrangements Involving Immunoglobulin or MYC Loci Show Similar Prevalences in Hyperdiploid and Nonhyperdiploid Myeloma Tumors (2008) Genes Chromosom. Cancer, 47 (7), pp. 573-590; Gagos, S., Irminger-Finger, I., Chromosome Instability in Neoplasia: Chaotic Roots to Continuous Growth (2005) Int. J. Biochem. Cel Biol, 37 (5), pp. 1014-1033; Geigl, J.B., Obenauf, A.C., Schwarzbraun, T., Speicher, M.R., Defining ‘chromosomal Instability' (2008) Trends Genet, 24 (2), pp. 64-69; George, J., Shukla, Y., Pesticides and Cancer: Insights into Toxicoproteomic-Based Findings (2011) J. Proteomics, 74 (12), pp. 2713-2722; Gisselsson, D., Björk, J., Höglund, M., Mertens, F., Dal Cin, P., Åkerman, M., Abnormal Nuclear Shape in Solid Tumors Reflects Mitotic Instability (2001) Am. J. Pathol, 158 (1), pp. 199-206; Gisselsson, D., Pettersson, L., Hoglund, M., Heidenblad, M., Gorunova, L., Wiegant, J., Chromosomal Breakage-Fusion-Bridge Events Cause Genetic Intratumor Heterogeneity (2000) Proc. Natl. Acad. Sci, 97 (10), pp. 5357-5362; Gladstone, B., Amare, P.S., Pai, S.K., Gopal, R., Joshi, S., Nair, C.N., Cytogenetic Studies in Patients from India with T-Acute Lymphoblastic Leukemia (1998) Cancer Genet. Cytogenet, 106 (1), pp. 44-48; Glover, T.W., Stein, C.K., Induction of Sister Chromatid Exchanges at Common Fragile Sites (1987) Am. J. Hum. Genet, 41 (5), pp. 882-890; Glover, T.W., Instability at Chromosomal Fragile Sites (1998) Recent Results Cancer Res, 154, pp. 185-199; Gómez-Arroyo, S., Dı́az-Sánchez, Y., Meneses-Pérez, M.A., Villalobos-Pietrini, R., De León-Rodrı́guez, J., Cytogenetic Biomonitoring in a Mexican Floriculture Worker Group Exposed to Pesticides (2000) Mutat. Research/Genetic Toxicol. Environ. Mutagenesis, 466 (1), pp. 117-124; Grover, P., Danadevi, K., Mahboob, M., Rozati, R., Banu, B.S., Rahman, M.F., Evaluation of Genetic Damage in Workers Employed in Pesticide Production Utilizing the Comet Assay (2003) Mutagenesis, 18 (2), pp. 201-205; Heerema, N.A., Palmer, C.G., Weetman, R., Bertolone, S., Cytogenetic Analysis in Relapsed Childhood Acute Lymphoblastic Leukemia (1992) Leukemia, 6 (3), pp. 185-192; Hellman, A., Zlotorynski, E., Scherer, S.W., Cheung, J., Vincent, J.B., Smith, D.I., A Role for Common Fragile Site Induction in Amplification of Human Oncogenes (2002) Cancer Cell, 1 (1), pp. 89-97; Hilgert Jacobsen-Pereira, C., Dos Santos, C.R., Troina Maraslis, F., Pimentel, L., Feijó, A.J.L., Iomara Silva, C., Markers of Genotoxicity and Oxidative Stress in Farmers Exposed to Pesticides (2018) Ecotoxicology Environ. Saf, 148, pp. 177-183; Hong, M., Hao, S., Patel, K.P., Kantarjian, H.M., Garcia-Manero, G., Yin, C.C., Whole-arm translocation of der(5;17)(p10;q10) with concurrent TP53 mutations in acute myeloid leukemia (AML) and myelodysplastic syndrome (MDS): A unique molecular-cytogenetic subgroup (2016) Cancer Genet, 209 (5), pp. 205-214; Hoogerwerf, W.A., Hawkins, A.L., Griffin, C.A., Perlman, E.J., Chromosome Analysis of Nine Osteosarcomas (1994) Genes Chromosom. Cancer, 9 (2), pp. 88-92; Hoppin, J.A., Umbach, D.M., London, S.J., Alavanja, M.C.R., Sandler, D.P., Chemical Predictors of Wheeze Among Farmer Pesticide Applicators in the Agricultural Health Study (2002) Am. J. Respir. Crit. Care Med, 165 (5), pp. 683-689; Idrovo, A.J., Surveillance of Pesticide Poisoning in Colombia (2000) Revista de Salud Pública, 2 (1), p. 10; Issa, G.C., Kantarjian, H.M., Gonzalez, G.N., Borthakur, G., Tang, G., Wierda, W., Clonal Chromosomal Abnormalities Appearing in Philadelphia Chromosome-Negative Metaphases during CML Treatment (2017) Blood, 130 (19), pp. 2084-2091; Jablonická, A., Poláková, H., Karelová, J., Vargová, M., Analysis of Chromosome Aberrations and Sister-Chromatid Exchanges in Peripheral Blood Lymphocytes of Workers with Occupational Exposure to the Mancozeb-Containing Fungicide Novozir Mn80 (1989) Mutat. Research/Genetic Toxicol, 224 (2), pp. 143-146; Ji, W., Hernandez, R., Zhang, X.-Y., Qu, G.-Z., Frady, A., Varela, M., DNA Demethylation and Pericentromeric Rearrangements of Chromosome 1 (1997) Mutat. Research/Fundamental Mol. Mech. Mutagenesis, 379 (1), pp. 33-41; Jost, L., Entropy and Diversity (2006) Oikos, 113 (2), pp. 363-375; Jost, L., González-Oreja, J., Measuring Biological Diversity: Beyond the Shannon index (2012) Acta Zoológica Lilloana, 56, p. 11; Jovtchev, G., Gateva, S., Stergios, M., Kulekova, S., Cytotoxic and Genotoxic Effects of Paraquat in Hordeum Vulgare and Human Lymphocytes In Vitro (2010) Environ. Toxicol, 25 (3), pp. 294-303; Karst, C., Gross, M., Haase, D., Wedding, U., Höffken, K., Liehr, T., Novel Cryptic Chromosomal Rearrangements Detected in Acute Lymphoblastic Leukemia Detected by Application of New Multicolor Fluorescent In Situ Hybridization Approaches (2006) Int. J. Oncol, 28 (4), pp. 891-897; Kaur, R., Kaur, K., Occupational Pesticide Exposure, Impaired DNA Repair, and Diseases (2018) Indian J. Occup. Environ. Med, 22 (2), pp. 74-81; Kawauchi, S., Furuya, T., Ikemoto, K., Nakao, M., Yamamoto, S., Oka, M., DNA Copy Number Aberrations Associated with Aneuploidy and Chromosomal Instability in Breast Cancers (2010) Oncol. Rep, 24 (4), pp. 875-883; Kirkhorn, S.R., Garry, V.F., Agricultural Lung Diseases (2000) Environ. Health Perspect, 108, pp. 705-712; Kirkhorn, S.R., Schenker, M.B., Current Health Effects of Agricultural Work: Respiratory Disease, Cancer, Reproductive Effects, Musculoskeletal Injuries, and Pesticideâ€"Related Illnesses (2002) J. Agric. Saf. Health, 8 (2), pp. 199-214; Kowalski, J., Morsberger, L.A., Blackford, A., Hawkins, A., Yeo, C.J., Hruban, R.H., Chromosomal Abnormalities of Adenocarcinoma of the Pancreas: Identifying Early and Late Changes (2007) Cancer Genet. Cytogenet, 178 (1), pp. 26-35; LeBlanc, G.A., Bain, L.J., Wilson, V.S., Pesticides: Multiple Mechanisms of Demasculinization (1997) Mol. Cell Endocrinol, 126 (1), pp. 1-5; Lee, S.-E., Choi, S.Y., Bang, J.-H., Kim, S.-H., Jang, E.-J., Byeun, J.-Y., The Long-Term Clinical Implications of Clonal Chromosomal Abnormalities in Newly Diagnosed Chronic Phase Chronic Myeloid Leukemia Patients Treated with Imatinib Mesylate (2012) Cancer Genet, 205 (11), pp. 563-571; Lengauer, C., Kinzler, K.W., Vogelstein, B., Genetic Instability in Colorectal Cancers (1997) Nature, 386 (6625), pp. 623-627; Liu, G., Stevens, J., Horne, S., Abdallah, B., Ye, K., Bremer, S., Genome Chaos: Survival Strategy during Crisis (2014) Cell Cycle, 13 (4), pp. 528-537; Lloveras, E., Granada, I., Zamora, L., Espinet, B., Florensa, L., Besses, C., Cytogenetic and Fluorescence In Situ Hybridization Studies in 60 Patients with Multiple Myeloma and Plasma Cell Leukemia (2004) Cancer Genet. Cytogenet, 148 (1), pp. 71-76; Lushchak, V.I., Matviishyn, T.M., Husak, V.V., Storey, J.M., Storey, K.B., Pesticide Toxicity: a Mechanistic Approach (2018) EXCLI J, 17, pp. 1101-1136; Macarenco, R.S., Erickson-Johnson, M., Wang, X., Jenkins, R.B., Nascimento, A.G., Oliveira, A.M., Cytogenetic and Molecular Genetic Findings in Dedifferentiated Liposarcoma with Neural-like Whorling Pattern and Metaplastic Bone Formation (2006) Cancer Genet. Cytogenet, 171 (2), pp. 126-129; Maley, C.C., Galipeau, P.C., Finley, J.C., Wongsurawat, V.J., Li, X., Sanchez, C.A., Genetic Clonal Diversity Predicts Progression to Esophageal Adenocarcinoma (2006) Nat. Genet, 38 (4), pp. 468-473; Mandahl, N., Fletcher, C.D.M., Dal Cin, P., De Wever, I., Mertens, F., Mitelman, F., Comparative Cytogenetic Study of Spindle Cell and Pleomorphic Leiomyosarcomas of Soft Tissues (2000) Cancer Genet. Cytogenet, 116 (1), pp. 66-73; Mattiuzzo, M., Fiore, M., Ricordy, R., Degrassi, F., Aneuploidy-inducing Capacity of Two Widely Used Pesticides (2006) Carcinogenesis, 27 (12), pp. 2511-2518; McGowan-Jordan, J., Hastings, R.J., Moore, S., (2020) ISCN 2020. An International System for Human Cytogenomic Nomenclature, , Basel, Switzerland, Karger; Mugneret, F., Dastugue, N., Favre, B., Sidaner, I., Salles, B., Huguet-Rigal, F., Der(16)t(l;16)(qll;qll) in Myelodysplastic Syndromes: a New Non-random Abnormality Characterized by Cytogenic and Fluorescence In Situ Hybridization Studies (1995) Br. J. Haematol, 90 (1), pp. 119-124; Mumtaz, M.M., Risk Assessment of Chemical Mixtures from a Public Health Perspective (1995) Toxicol. Lett, 82-83, pp. 527-532; Munro, A.F., Twelves, C., Thomas, J.S., Cameron, D.A., Bartlett, J.M., Chromosome Instability and Benefit from Adjuvant Anthracyclines in Breast Cancer (2012) Br. J. Cancer, 107 (1), pp. 71-74; Nahi, H., Lehmann, S., Bengtzen, S., Jansson, M., Möllgård, L., Paul, C., Chromosomal Aberrations in 17p Predict In Vitro Drug Resistance and Short Overall Survival in Acute Myeloid Leukemia (2008) Leuk. Lymphoma, 49 (3), pp. 508-516; Nayebbagher, T., Pashaiefar, H., Yaghmaie, M., Alimoghaddam, K., Jalili, M., Esfandbod, M., Chromosomal Aberrations in Ascetic Fluid of Metastatic Gastric Cancer Patients: A Clustering Analysis (2020) neo, 67 (1), pp. 185-192; Nicolopoulou-Stamati, P., Maipas, S., Kotampasi, C., Stamatis, P., Hens, L., Chemical Pesticides and Human Health: The Urgent Need for a New Concept in Agriculture (2016) Front. Public Health, 4, p. 148; O'Leary, K.T., Parameswaran, N., Johnston, L.C., McIntosh, J.M., Di Monte, D.A., Quik, M., Paraquat Exposure Reduces Nicotinic Receptor-Evoked Dopamine Release in Monkey Striatum (2008) J. Pharmacol. Exp. Ther, 327 (1), pp. 124-129; Olsson, L., Lundin-Ström, K.B., Castor, A., Behrendtz, M., Biloglav, A., Norén-Nyström, U., Improved Cytogenetic Characterization and Risk Stratification of Pediatric Acute Lymphoblastic Leukemia Using Single Nucleotide Polymorphism Array Analysis: A Single center Experience of 296 Cases (2018) Genes Chromosomes Cancer, 57 (11), pp. 604-607; Ozkan, E., Marcelo, M.P., (2021) Genetics, Cytogenetic Testing and Conventional Karyotype, , Treasure Island, FL, StatPearls Publishing, [Internet]; Pandis, N., Jin, Y., Gorunova, L., Petersson, C., Bardi, G., Idvall, I., Chromosome Analysis of 97 Primary Breast Carcinomas: Identification of Eight Karyotypic Subgroups (1995) Genes Chromosom. Cancer, 12 (3), pp. 173-185; Pantou, D., Rizou, H., Tsarouha, H., Pouli, A., Papanastasiou, K., Stamatellou, M., Cytogenetic Manifestations of Multiple Myeloma Heterogeneity (2005) Genes Chromosom. Cancer, 42 (1), pp. 44-57; Paro, R., Tiboni, G.M., Buccione, R., Rossi, G., Cellini, V., Canipari, R., The Fungicide Mancozeb Induces Toxic Effects on Mammalian Granulosa Cells (2012) Toxicol. Appl. Pharmacol, 260 (2), pp. 155-161; Parry, E.M., Parry, J.M., Corso, C., Doherty, A., Haddad, F., Hermine, T.F., Detection and Characterization of Mechanisms of Action of Aneugenic Chemicals (2002) Mutagenesis, 17, pp. 509-521; Pastor, S., Creus, A., Parron, T., Cebulska-Wasilewska, A., Siffel, C., Piperakis, S., Biomonitoring of Four European Populations Occupationally Exposed to Pesticides: Use of Micronuclei as Biomarkers (2003) Mutagenesis, 18 (3), pp. 249-258; Paz-y-Miño, C., Bustamante, G., Sánchez, M.E., Leone, P.E., Cytogenetic Monitoring in a Population Occupationally Exposed to Pesticides in Ecuador (2002) Environ. Health Perspect, 110, p. 3; Pedersen, M.I., Bennett, J.W., Wang, N., Nonrandom Chromosome Structural Aberrations and Oncogene Loci in Human Malignant Melanoma (1986) Cancer Genet. Cytogenet, 20 (1-2), pp. 11-27; Pejovic, T., Heim, S., Mandahl, N., Elmfors, B., Furgyik, S., Flodérus, U.-M., Bilateral Ovarian Carcinoma: Cytogenetic Evidence of Unicentric Origin (1991) Int. J. Cancer, 47 (3), pp. 358-361; Polito, L., Greco, A., Seripa, D., Genetic Profile, Environmental Exposure, and Their Interaction in Parkinson's Disease (2016) Parkinson's Dis, 2016, pp. 1-9; Prabhavathy Das, G., Pasha Shaik, A., Jamil, K., Cytotoxicity and Genotoxicity Induced by the Pesticide Profenofos on Cultured Human Peripheral Blood Lymphocytes (2006) Drug Chem. Toxicol, 29 (3), pp. 313-322; Presti, J.C., Jr., Rao, P.H., Chen, Q., Reuter, V.E., Li, F.P., Fair, W.R., Histopathological, Cytogenetic, and Molecular Characterization of Renal Cortical Tumors (1991) Cancer Res, 51 (5), pp. 1544-1552; Prigogina, E.L., Puchkova, G.P., Mayakova, S.A., Nonrandom Chromosomal Abnormalities in Acute Lymphoblastic Leukemia of Childhood (1988) Cancer Genet. Cytogenet, 32 (2), pp. 183-203; Rangel, N., Forero-Castro, M., Rondón-Lagos, M., New Insights in the Cytogenetic Practice: Karyotypic Chaos, Non-clonal Chromosomal Alterations and Chromosomal Instability in Human Cancer and Therapy Response (2017) Genes, 8 (6), p. 155; Rayeroux, K.C., Campbell, L.J., Gene Amplification in Myeloid Leukemias Elucidated by Fluorescence In Situ Hybridization (2009) Cancer Genet. Cytogenet, 193 (1), pp. 44-53; Re, A., Cora, D., Puliti, A.M., Caselle, M., Sbrana, I., Correlated Fragile Site Expression Allows the Identification of Candidate Fragile Genes Involved in Immunity and Associated with Carcinogenesis (2006) BMC Bioinformatics, 7, p. 413; Reffstrup, T.K., Larsen, J.C., Meyer, O., Risk Assessment of Mixtures of Pesticides. Current Approaches and Future Strategies (2010) Regul. Toxicol. Pharmacol, 56 (2), pp. 174-192; Renzi, L., Pacchierotti, F., Russo, A., The Centromere as a Target for the Induction of Chromosome Damage in Resting and Proliferating Mammalian Cells: Assessment of Mitomycin C-Induced Genetic Damage at Kinetochores and Centromeres by a Micronucleus Test in Mouse Splenocytes (1996) Mutagenesis, 11 (2), pp. 133-138; Rigolin, G.M., Cuneo, A., Roberti, M.G., Bardi, A., Castoldi, G., Myelodysplastic Syndromes with Monocytic Component: Hematologic and Cytogenetic Characterization (1997) Haematologica, 82 (1), pp. 25-30; Rodriguez, E., Houldsworth, J., Reuter, V.E., Meltzer, P., Zhang, J., Trent, J.M., Molecular Cytogenetic Analysis of I(12p)-Negative Human Male Germ Cell Tumors (1993) Genes Chromosom. Cancer, 8 (4), pp. 230-236; Rogatto, S.R., Casartelli, C., Rainho, C.A., Barbieri-Neto, J., Chromosomes in the Genesis and Progression of Ependymomas (1993) Cancer Genet. Cytogenet, 69 (2), pp. 146-152; Roylance, R., Endesfelder, D., Gorman, P., Burrell, R.A., Sander, J., Tomlinson, I., Relationship of Extreme Chromosomal Instability with Long-Term Survival in a Retrospective Analysis of Primary Breast Cancer (2011) Cancer Epidemiol. Biomarkers Prev, 20 (10), pp. 2183-2194; Rupa, D.S., Reddy, P.P., Sreemannarayana, K., Reddi, O.S., Galloway, S.M., Frequency of Sister Chromatid Exchange in Peripheral Lymphocytes of Male Pesticide Applicators (1991) Environ. Mol. Mutagen, 18 (2), pp. 136-138; Sabarwal, A., Kumar, K., Singh, R.P., Hazardous Effects of Chemical Pesticides on Human Health-Cancer and Other Associated Disorders (2018) Environ. Toxicol. Pharmacol, 63, pp. 103-114; Sailaja, N., Chandrasekhar, M., Rekhadevi, P.V., Mahboob, M., Rahman, M.F., Vuyyuri, S.B., Genotoxic Evaluation of Workers Employed in Pesticide Production (2006) Mutat. Research/Genetic Toxicol. Environ. Mutagenesis, 609 (1), pp. 74-80; Sawyer, J.R., Roloson, G.J., Bell, J.M., Thomas, J.R., Teo, C., Chadduck, W.M., Telomeric Associations in the Progression of Chromosome Aberrations in Pediatric Solid Tumors (1996) Cancer Genet. Cytogenet, 90 (1), pp. 1-13; Sawyer, J.R., Tian, E., Heuck, C.J., Epstein, J., Johann, D.J., Swanson, C.M., Jumping Translocations of 1q12 in Multiple Myeloma: a Novel Mechanism for Deletion of 17p in Cytogenetically Defined High-Risk Disease (2014) Blood, 123 (16), pp. 2504-2512; Serpa, E.A., Schmitt, E.G., Zuravski, L., Machado, M.M., Oliveira, L.F.S.D., Chlorpyrifos Induces Genotoxic Effects in Human Leukocytes In Vitro at Low Concentrations (2019) Acta Sci. Health Sci, 41 (1), p. 44291; Shah, H.K., Sharma, T., Banerjee, B.D., Organochlorine Pesticides Induce Inflammation, ROS Production, and DNA Damage in Human Epithelial Ovary Cells: An In Vitro Study (2020) Chemosphere, 246, p. 125691; Smolarek, T.A., Blough, R.I., Foster, R.S., Ulbright, T.M., Palmer, C.G., Heerema, N.A., Cytogenetic Analyses of 85 Testicular Germ Cell Tumors (1999) Cancer Genet. Cytogenet, 108 (1), pp. 57-69; Srivastava, A.K., Ali, W., Singh, R., Bhui, K., Tyagi, S., Al-Khedhairy, A.A., Mancozeb-induced Genotoxicity and Apoptosis in Cultured Human Lymphocytes (2012) Life Sci, 90 (21-22), pp. 815-824; Takami, S., Kawasome, C., Kinoshita, M., Koyama, H., Noguchi, S., Chromosomal Instability Detected by Fluorescence In Situ Hybridization in Japanese Breast Cancer Patients (2001) Clin. Chim. Acta, 308 (1-2), pp. 127-131; Takeshita, A., Naito, K., Shinjo, K., Sahara, N., Matsui, H., Ohnishi, K., Deletion 6p23 and Add(11)(p15) Leading to NUP98 Translocation in a Case of Therapy-Related Atypical Chronic Myelocytic Leukemia Transforming to Acute Myelocytic Leukemia (2004) Cancer Genet. Cytogenet, 152 (1), pp. 56-60; Talamo, A., Chalandon, Y., Marazzi, A., Jotterand, M., Clonal Heterogeneity and Chromosomal Instability at Disease Presentation in High Hyperdiploid Acute Lymphoblastic Leukemia (2010) Cancer Genet. Cytogenet, 203 (2), pp. 209-214; Tanaka, K., Hirota, T., Chromosomal Instability: A Common Feature and a Therapeutic Target of Cancer (2016) Biochim. Biophys. Acta (Bba) - Rev. Cancer, 1866 (1), pp. 64-75; Teixeira, M.R., Tsarouha, H., Kraggerud, S.M., Pandis, N., Dimitriadis, E., Andersen, J.A., Evaluation of Breast Cancer Polyclonality by Combined Chromosome Banding and Comparative Genomic Hybridization Analysis (2001) Neoplasia, 3 (3), pp. 204-214; Testa, J.R., Siegfried, J.M., Liu, Z., Hunt, J.D., Feder, M.M., Litwin, S., Cytogenetic Analysis of 63 Non-small Cell Lung Carcinomas: Recurrent Chromosome Alterations amid Frequent and Widespread Genomic Upheaval (1994) Genes Chromosom. Cancer, 11 (3), pp. 178-194; Tibiletti, M.G., Bernasconi, B., Furlan, D., Riva, C., Trubia, M., Buraggi, G., Early Involvement of 6q in Surface Epithelial Ovarian Tumors (1996) Cancer Res, 56 (19), pp. 4493-4498; Tibiletti, M.G., Sessa, F., Bernasconi, B., Cerutti, R., Broggi, B., Furlan, D., A Large 6q Deletion Is a Common Cytogenetic Alteration in Fibroadenomas, Pre-malignant Lesions, and Carcinomas of the Breast (2000) Clin. Cancer Res, 6 (4), pp. 1422-1431; Tibiletti, M.G., Bernasconi, B., Taborelli, M., Facco, C., Riva, C., Capella, C., Genetic and Cytogenetic Observations Among Different Types of Ovarian Tumors Are Compatible with a Progression Model Underlying Ovarian Tumorigenesis (2003) Cancer Genet. Cytogenet, 146 (2), pp. 145-153; Tomiazzi, J.S., Judai, M.A., Nai, G.A., Pereira, D.R., Antunes, P.A., Favareto, A.P.A., Evaluation of Genotoxic Effects in Brazilian Agricultural Workers Exposed to Pesticides and Cigarette Smoke Using Machine-Learning Algorithms (2018) Environ. Sci. Pollut. Res, 25 (2), pp. 1259-1269; Travella, A., Ripollés, L., Aventin, A., Rodríguez, A., Bezares, R.F., Caballín, M.R., Structural Alterations in Chronic Lymphocytic Leukaemia. Cytogenetic and FISH Analysis (2013) Hematol. Oncol, 31 (2), pp. 79-87; Tse, W., Zhu, W., Chen, H., Cohen, A., A Novel Gene, AF1q, Fused to MLL in T(1;11) (Q21;q23), Is Specifically Expressed in Leukemic and Immature Hematopoietic Cells (1995) Blood, 85 (3), pp. 650-656; Vargas-Rondón, N., Villegas, V., Rondón-Lagos, M., The Role of Chromosomal Instability in Cancer and Therapeutic Responses (2017) Cancers, 10 (1), p. 4; Vincent-Salomon, A., Benhamo, V., Gravier, E., Rigaill, G., Gruel, N., Robin, S., Genomic Instability: a Stronger Prognostic Marker Than Proliferation for Early Stage Luminal Breast Carcinomas (2013) PLoS One, 8 (10), p. e76496; Wang, R., Lu, Y.-J., Fisher, C., Bridge, J.A., Shipley, J., Characterization of Chromosome Aberrations Associated with Soft-Tissue Leiomyosarcomas by Twenty-Four-Color Karyotyping and Comparative Genomic Hybridization Analysis (2001) Genes Chromosom. Cancer, 31 (1), pp. 54-64; Wilhelm, C.M., Calsing, A.K., da Silva, L.B., Assessment of DNA Damage in Floriculturists in Southern Brazil (2015) Environ. Sci. Pollut. Res, 22 (11), pp. 8182-8189; Wuicik, L., Cavalli, L.R., Cornélio, D.A., Schmid Braz, A.T., Barbosa, M.L., Lima, R.S., Chromosome Alterations Associated with Positive and Negative Lymph Node Involvement in Breast Cancer (2007) Cancer Genet. Cytogenet, 173 (2), pp. 114-121; Wyandt He, P.R., Heteromorphisms in Clinical Populations (2004) Atlas of Human Chromosome Heteromorphismss, , Wyandt V.S.T.H.E., (ed), Switzerland, Springer Netherlands, Editor; Zhang, W., Jiang, F., Ou, J., Global Pesticide Consumption and Pollution: With China as a Focus (2011) Proc. Int. Acad. Ecol. Environ. Sci, 1 (2), p. 19. , http://www.iaees.org/publications/journals/piaees/articles/2011-1(2)/Global-pesticide-consumption-pollution.pdf; Zijno, A., Marcon, F., Leopardi, P., Crebelli, R., Analysis of Chromosome Segregation in Cytokinesis-Blocked Human Lymphocytes: Non-disjunction Is the Prevalent Damage Resulting from Low Dose Exposure to Spindle Poisons (1996) Mutagenesis, 11 (4), pp. 335-340</t>
  </si>
  <si>
    <t>Rondón-Lagos, M.; School of Biological Sciences, Colombia; email: sandra.rondon01@uptc.edu.co</t>
  </si>
  <si>
    <t>Martínez-Agüero</t>
  </si>
  <si>
    <t>2-s2.0-85126242481</t>
  </si>
  <si>
    <t>Cai W., Chen T., Lei M., Wan X.</t>
  </si>
  <si>
    <t>57194760385;55760128900;24473310600;39462260300;</t>
  </si>
  <si>
    <t>Potential, risks, and benefits of the extract recycled from Pteris vittata arsenic-rich biomass as a broiler growth promoter</t>
  </si>
  <si>
    <t>Journal of Hazardous Materials</t>
  </si>
  <si>
    <t>10.1016/j.jhazmat.2021.127557</t>
  </si>
  <si>
    <t>https://www.scopus.com/inward/record.uri?eid=2-s2.0-85118321393&amp;doi=10.1016%2fj.jhazmat.2021.127557&amp;partnerID=40&amp;md5=c19fc1a16483fcabadb9b0b6a725fc4f</t>
  </si>
  <si>
    <t>Institute of Geographic Sciences and Natural Resources Research, Chinese Academy of Sciences, Beijing, 100101, China; University of Chinese Academy of Sciences, Beijing, 100049, China</t>
  </si>
  <si>
    <t>Cai, W., Institute of Geographic Sciences and Natural Resources Research, Chinese Academy of Sciences, Beijing, 100101, China; Chen, T., Institute of Geographic Sciences and Natural Resources Research, Chinese Academy of Sciences, Beijing, 100101, China, University of Chinese Academy of Sciences, Beijing, 100049, China; Lei, M., Institute of Geographic Sciences and Natural Resources Research, Chinese Academy of Sciences, Beijing, 100101, China, University of Chinese Academy of Sciences, Beijing, 100049, China; Wan, X., Institute of Geographic Sciences and Natural Resources Research, Chinese Academy of Sciences, Beijing, 100101, China, University of Chinese Academy of Sciences, Beijing, 100049, China</t>
  </si>
  <si>
    <t>The arsenic-rich biomass of Pteris vittata is a heavy burden to phytoremediation, but the compositions of extracts recycled from arsenic-rich biomass, such as rutin, may promote broiler growth. As such, this extract can be used to reduce the usage of antibiotics in the broiler industry and the cost of phytoremediation at the same time. Therefore, the critical issues for using extract from arsenic-rich biomass as a growth promoter have been studied, including its effective composition, health and environmental risks, and potential benefits and feasibility. Forty-five compounds were identified in the extract, and they were mainly flavonoids, chlorogenic acids, and proanthocyanidins, which can directly or indirectly influence the growth of broiler. The lifetime carcinogenic risks of broiler edible parts may be maximally increased by 4.75 × 10-9 due to feeding the extract. The arsenic concentration of the farmland fertilized with the excrement from the broiler fed with the extract may increase by 0.00003–0.01857 mg/kg per year. Results revealed a feasible scenario that the sustainability of phytoremediation and broiler industry could be benefited through wastes from each other. © 2021 Elsevier B.V.</t>
  </si>
  <si>
    <t>compositions; growth promoter; phytoremediation waste; Pteris vittata; risks</t>
  </si>
  <si>
    <t>Arsenic; Biomass; Flavonoids; Health risks; Recycling; Sustainable development; Broiler industry; Critical issues; Environmental risks; Growth promoters; Phytoremediation; Phytoremediation waste; Potential benefits; Potential risks; Pteris vittata; Risk benefits; Bioremediation; antibiotic agent; arsenic; cadmium; chlorogenic acid; ferulic acid; flavonoid; growth promotor; kaempferol; lead; proanthocyanidin; quercetin; rutoside; arsenic; plant extract; antibiotics; arsenic; biomass; chemical composition; environmental risk; feasibility study; fern; phytoremediation; alfalfa; Article; biomass; broiler; Chelidonium; chemical composition; controlled study; Crataegus; Eucommia ulmoides; Lonicera japonica; nonhuman; onion; phytoremediation; Pteris vittata; rhizome; tea; analysis; animal; biomass; bioremediation; chicken; Pteris; soil pollutant; toxicity; Pteris vittata; Animals; Arsenic; Biodegradation, Environmental; Biomass; Chickens; Plant Extracts; Pteris; Soil Pollutants</t>
  </si>
  <si>
    <t>arsenic, 7440-38-2; cadmium, 22537-48-0, 7440-43-9; chlorogenic acid, 327-97-9; ferulic acid, 1135-24-6, 24276-84-4; kaempferol, 520-18-3; lead, 7439-92-1, 13966-28-4; proanthocyanidin, 18206-61-6; quercetin, 117-39-5; rutoside, 153-18-4, 22519-99-9; Arsenic; Plant Extracts; Soil Pollutants</t>
  </si>
  <si>
    <t>National Natural Science Foundation of China, NSFC: 42077136</t>
  </si>
  <si>
    <t>Thanks to Dr. Chen Qiang for the information of the broiler industry. Thanks to Dr. Xiao Feng for the advices on MS spectrum analysis. Financial support was provided by the National Natural Science Foundation of China (Grant No. 42077136 ).</t>
  </si>
  <si>
    <t>Abolfathi, M.E., Tabeidian, S.A., Shahraki, A.D.F., Tabatabaei, S.N., Habibian, M., Effects of ethanol extract of elecampane (Inula helenium L.) rhizome on growth performance, diet digestibility, gut health, and antioxidant status in broiler chickens (2019) Livest. Sci., 223, pp. 68-75; Adamczak, A., Ozarowski, M., Karpinski, T.M., Antibacterial activity of some flavonoids and organic acids widely distributed in plants (2020) J. Clin. Med., p. 9; Alejo-Armijo, A., Glibota, N., Frias, M.P., Altarejos, J., Galvez, A., Salido, S., Synthesis and evaluation of antimicrobial and antibiofilm properties of A-type procyanidin analogues against resistant bacteria in food (2018) J. Agric. Food Chem., 66, pp. 2151-2158; Bai, J.-R., Wu, Y.-P., Elena, G., Zhong, K., Gao, H., Insight into the effect of quinic acid on biofilm formed by Staphylococcus aureus (2019) RSC Adv., 9, pp. 3938-3945; Bajko, E., Kalinowska, M., Borowski, P., Siergiejczyk, L., Lewandowski, W., 5-O-Caffeoylquinic acid: a spectroscopic study and biological screening for antimicrobial activity (2016) LWT-Food Sci. Technol., 65, pp. 471-479; Balos, M.Z., Jaksic, S., Pelic, D.L., The role, importance and toxicity of arsenic in poultry nutrition (2019) Worlds Poult. Sci. J., 75, pp. 375-386; Basile, A., Sorbo, S., Giordano, S., Ricciardi, L., Ferrara, S., Montesano, D., Antibacterial and allelopathic activity of extract from Castanea sativa leaves (2000) Fitoterapia, 71, pp. S110-S116; Bisignano, G., Sanogo, R., Marino, A., Aquino, R., D'Angelo, V., Germano, M.P., Antimicrobial activity of Mitracarpus scaber extract and isolated constituents (2000) Lett. Appl. Microbiol., 30, pp. 105-108; Butaye, P., Devriese, L.A., Haesebrouck, F., Antimicrobial growth promoters used in animal feed: effects of less well known antibiotics on gram-positive bacteria (2003) Clin. Microbiol. Rev., 16, p. 175. , (-+); Cai, W., Chen, T., Lei, M., Wan, X., Effective strategy to recycle arsenic-accumulated biomass of Pteris vittata with high benefits (2021) Sci. Total Environ., 756. , 143890-143890; Calzada, F., Juarez, T., Garcia-Hernandez, N., Valdes, M., Avila, O., Yepez Mulia, L., Antiprotozoal, antibacterial and antidiarrheal properties from the flowers of chiranthodendron pentadactylon and isolated flavonoids (2017) Pharmacogn. Mag., 13, pp. 240-244; Carvalho, I.T., Santos, L., Antibiotics in the aquatic environments: a review of the European scenario (2016) Environ. Int., 94, pp. 736-757; Cassidy, A., O'Reilly, E.J., Kay, C., Sampson, L., Franz, M., Forman, J.P., Habitual intake of flavonoid subclasses and incident hypertension in adults (2011) Am. J. Clin. Nutr., 93, pp. 338-347; Cetin-Karaca, H., Newman, M.C., Antimicrobial efficacy of plant phenolic compounds against Salmonella and Escherichia coli (2015) Food Biosci., 11, pp. 8-16; Chai, B., Jiang, W., Wang, L., Hu, M., Zhao, Y., Wu, Y., Antibacterial effects of protocatechuic acid and chlorogenic acid combined with antibiotics against fish-source Streptococcus (2018) J. South. Agricult., 49, pp. 580-585; Chai, T.-T., Yeoh, L.-Y., Ismail, N.I.M., Ong, H.-C., Abd Manan, F., Wong, F.-C., Evaluation of glucosidase inhibitory and cytotoxic potential of five selected edible and medicinal ferns (2015) Trop. J. Pharm. Res., 14, pp. 449-454; Chan, C.-L., Gan, R.-Y., Shah, N.P., Corke, H., Polyphenols from selected dietary spices and medicinal herbs differentially affect common food-borne pathogenic bacteria and lactic acid bacteria (2018) Food Control, 92, pp. 437-443; Chan, E.W.L., Gray, A.I., Igoli, J.O., Lee, S.M., Goh, J.K., Galloylated flavonol rhamnosides from the leaves of Calliandra tergemina with antibacterial activity against methicillin-resistant Staphylococcus aureus (MRSA) (2014) Phytochemistry, 107, pp. 148-154; Chen, J., Bio-oil production from hydrothermal liquefaction of Pteris vittata L.: effects of operating temperatures and energy recovery (2018) Bioresour. Technol., 265, pp. 320-327; Chen, T., Wei, C., (2000), pp. 194-195. , Arsenic hyperaccumulation in some plant species in south China. In: Luo YM, Cao ZH, Chen YX, McGrath SP, Zhao FJ, Xu JM, editors. SoilRem 2000: International Conference of Soil Remediation. Institute of Soil Science, Chinese Academy of Sciences, Hangzhou, China; Chen, T., Li, H., Lei, M., Wu, B., Song, B., Zhang, X., Accumulation of N, P and K in Pteris vittata L. during phytoremediation: a five-year field study (2010) Acta Sci. Circumstantiae, 30, pp. 402-408; Chen, Y., Huang, T., Song, X., Xu, L., Liu, B., Fu, Y., Effects of dietary eucommia leaves extract on growth performance and immune function of broilers (2015) Chin. J. Anim. Nutr., 27, pp. 2224-2230; Clifford, M.N., Johnston, K.L., Knight, S., Kuhnert, N., Hierarchical scheme for LC-MSn identification of chlorogenic acids (2003) J. Agric. Food Chem., 51, pp. 2900-2911; Clifford, M.N., Zheng, W., Kuhnert, N., Profiling the chlorogenic acids of aster by HPLC-MSn (2006) Phytochem. Anal., 17, pp. 384-393; Clifford, M.N., Kirkpatrick, J., Kuhnert, N., Roozendaal, H., Salgado, P.R., LC-MSn analysis of the cis isomers of chlorogenic acids (2008) Food Chem., 106, pp. 379-385; Clifford, M.N., Jaganath, I.B., Ludwig, I.A., Crozier, A., Chlorogenic acids and the acyl-quinic acids: discovery, biosynthesis, bioavailability and bioactivity (2017) Nat. Prod. Rep., 34, pp. 1391-1421; (2015), CNFDA. The Safety and Technical Standards for Cosmetics. China Food and Drug Administration; (2017), CNGAQSIQ. Hygienical standard for feeds. GB 13078–2017. General Administration of Quality Supervision, Inspection and Quarantine of the People's Republic of China; (2019), CNMARA. Announcement No. 194. Ministry of Agriculture and Rural Affairs of the People's Republic of China; (2018), CNMEE. Soil enviromental quality-Risk control standard for soil contaimination of agricultural land (GB15618–2018). GB15618–2018. Ministry of Ecology and Environment of the Peoples's Republic of China; (2019), CNMEE. Technical specification for application and issuance of pollutant permit - livestock and poultry breeding. HJ 1029–2019. Ministry of Ecology and Environment of the Peoples's Republic of China, Beijing; (2010), CNSAMR. Technology code for land application rates of livestock and poultry manure. GB/T 25246–2010. State Administration for Market Regulation; Coates, M.E., Harrison, G.F., Lev, M., Fuller, R., Suffolk, S.F., A comparison of growth of chicks in gustafsson germ-free apparatus and in a conventional environment, with and without dietary supplements of penicillin (1963) Br. J. Nutr., 17, p. 141; (2018), Cobb-Vantress.com. Broiler Performance &amp; Nutrition Supplement. 2021; Cowan, M.M., Plant products as antimicrobial agents (1999) Clin. Microbiol. Rev., 12, p. 564. , (-+); Cuyckens, F., Claeys, M., Mass spectrometry in the structural analysis of flavonoids (2004) J. Mass Spectrom., 39, pp. 1-15; da Silva, E.B., Mussoline, W.A., Wilkie, A.C., Ma, L.Q., Arsenic removal and biomass reduction of As-hyperaccumulator Pteris vittata: coupling ethanol extraction with anaerobic digestion (2019) Sci. Total Environ., 666, pp. 205-211; Dabeek, W.M., Marra, M.V., Dietary quercetin and kaempferol: bioavailability and potential cardiovascular-related bioactivity in humans (2019) Nutrients, p. 11; Dai, J., Mumper, R.J., Plant phenolics: extraction, analysis and their antioxidant and anticancer properties (2010) Molecules, 15, pp. 7313-7352; Dawidowicz, A.L., Typek, R., Thermal stability of 5-o-caffeoylquinic acid in aqueous solutions at different heating conditions (2010) J. Agric. Food Chem., 58, pp. 12578-12584; Dawidowicz, A.L., Typek, R., The influence of pH on the thermal stability of 5-O-caffeoylquinic acids in aqueous solutions (2011) Eur. Food Res. Technol., 233, pp. 223-232; Dawidowicz, A.L., Typek, R., Transformation of 5-O-caffeoylquinic acid in blueberries during high-temperature processing (2014) J. Agric. Food Chem., 62, pp. 10889-10895; Deepika, M.S., Thangam, R., Vijayakumar, T.S., Sasirekha, R., Vimala, R.T.V., Sivasubramanian, S., Antibacterial synergy between rutin and florfenicol enhances therapeutic spectrum against drug resistant Aeromonas hydrophila (2019) Microb. Pathog., p. 135; Diarra, M.S., Malouin, F., Antibiotics in Canadian poultry productions and anticipated alternatives (2014) Front. Microbiol., p. 5; Dibner, J.J., Richards, J.D., Antibiotic growth promoters in agriculture: history and mode of action (2005) Poult. Sci., 84, pp. 634-643; Dong, X.F., Gao, W.W., Su, J.L., Tong, J.M., Zhang, Q., Effects of dietary polysavone (Alfalfa extract) and chlortetracycline supplementation on antioxidation and meat quality in broiler chickens (2011) Br. Poult. Sci., 52, pp. 302-309; dos Santos, A.S., Rodrigues de Albuquerque, T.M., de Brito Alves, J.L., de Souza, E.L., Effects of quercetin and resveratrol on in vitro properties related to the functionality of potentially probiotic lactobacillus strains (2019) Front. Microbiol., p. 10; Duan, L., Li, X., Jiang, Y., Lei, M., Dong, Z., Longhurst, P., Arsenic transformation behaviour during thermal decomposition of P-vittata, an arsenic hyperaccumulator (2017) J. Anal. Appl. Pyrolysis, 124, pp. 584-591; (2003), EC. Regulation (EC) No 1831/2003 on additives for use in animal nutrition. In: Union tepatcote, editor; (2019), EC. Commission Regulation (EU) 2019/1869, amending and correcting Annex I to Directive 2002/32/EC of the European Parliament and of the Council as regards maximum levels for certain undesirable substances in animal feed. EU/2019/1869. The European Commission; Erener, G., Ocak, N., Altop, A., Cankaya, S., Aksoy, H.M., Ozturk, E., Growth performance, meat quality and caecal coliform bacteria count of broiler chicks fed diet with green tea extract (2011) Asian-Australas. J. Anim. Sci., 24, pp. 1128-1135; Eumkeb, G., Chukrathok, S., Synergistic activity and mechanism of action of ceftazidime and apigenin combination against ceftazidime-resistant Enterobacter cloacae (2013) Phytomedicine, 20, pp. 262-269; Forbes, M., Park, J.T., Growth of germ-free and conventional chicks – effect of diet, dietary penicillin and bacterial environment (1959) J. Nutr., 67, pp. 69-84; Fritsch, C., Heinrich, V., Vogel, R.F., Toelstede, S., Phenolic acid degradation potential and growth behavior of lactic acid bacteria in sunflower substrates (2016) Food Microbiol., 57, pp. 178-186; Fu, M., Qin, C., Li, W., Yan, Y., Zeng, L., Yang, X., Effect of glucosamine and chitooligomer on the toxicity of arsenite against Escherichia coli (2013) Carbohydr. Polym., 91, pp. 390-393; Gadde, U., Kim, W.H., Oh, S.T., Lillehoj, H.S., Alternatives to antibiotics for maximizing growth performance and feed efficiency in poultry: a review (2017) Anim. Health Res. Rev., 18, pp. 26-45; Garcia-Ruiz, A., Bartolome, B., Cueva, C., Martin-Alvarez, P.J., Moreno-Arribas, M.V., Inactivation of oenological lactic acid bacteria (Lactobacillus hilgardii and Pediococcus pentosaceus) by wine phenolic compounds (2009) J. Appl. Microbiol., 107, pp. 1042-1053; Guo, S., Ma, J., Xing, Y., Xu, Y., Jin, X., Yan, S., Artemisia annua L. aqueous extract as an alternative to antibiotics improving growth performance and antioxidant function in broilers (2020) Ital. J. Anim. Sci., 19, pp. 399-409; Guzman, J.D., Natural cinnamic acids, synthetic derivatives and hybrids with antimicrobial activity (2014) Molecules, 19, pp. 19292-19349; Hassan, F.A.M., Roushdy, E.M., Kishawy, A.T.Y., Zaglool, A.W., Tukur, H.A., Saadeldin, I.M., Growth performance, antioxidant capacity, lipid-related transcript expression and the economics of broiler chickens fed different levels of rutin (2019) Animals, p. 9; Hemaiswarya, S., Doble, M., Synergistic interaction of phenylpropanoids with antibiotics against bacteria (2010) J. Med. Microbiol., 59, pp. 1469-1476; Hernandez, F., Madrid, J., Garcia, V., Orengo, J., Megias, M.D., Influence of two plant extracts on broilers performance, digestibility, and digestive organ size (2004) Poult. Sci., 83, pp. 169-174; Hong, J.-C., Steiner, T., Aufy, A., Lien, T.-F., Effects of supplemental essential oil on growth performance, lipid metabolites and immunity, intestinal characteristics, microbiota and carcass traits in broilers (2012) Livest. Sci., 144, pp. 253-262; Hou, Y., Zhou, C., Hou, S., Gao, R., Identification of chemical constituents from ethyl acetate extract of Pteris vittata (2018) Chin. J. Exp. Tradit. Med. Formula, 24, pp. 52-55; Hvattum, E., Ekeberg, D., Study of the collision-induced radical cleavage of flavonoid glycosides using negative electrospray ionization tandem quadrupole mass spectrometry (2003) J. Mass Spectrom., 38, pp. 43-49; Imperato, F., 3,8-Di-C-arabinosylluteolin, a new flavonoid from Pteris vittata (2002) Am. Fern J., 92, pp. 244-246; Imperato, F., The new flavone ester apigenin 7-O-p-hydroxybenzoate and three di-C-glycosylflavones from Pteris vittata (2006) Am. Fern J., 96, pp. 62-65; Imperato, F., Telesca, A., 6-C-beta-cellobiosylisoscutellarein-8-methy ether, a new flavonoid from Pteris vittata (2000) Am. Fern J., 90, pp. 42-45; Jaiswal, R., Sovdat, T., Vivan, F., Kuhnert, N., Profiling and characterization by LC-MSn of the chlorogenic acids and hydroxycinnamoylshikimate esters in mate (Ilex paraguariensis) (2010) J. Agric. Food Chem., 58, pp. 5471-5484; Jeong, H.J., Ryu, Y.B., Park, S.-J., Kim, J.H., Kwon, H.-J., Kim, J.H., Neuraminidase inhibitory activities of flavonols isolated from Rhodiola rosea roots and their in vitro anti-influenza viral activities (2009) Bioorg. Med. Chem., 17, pp. 6816-6823; Kaur, P., Kaur, V., Kumar, M., Kaur, S., Suppression of SOS response in E-coli PQ37, antioxidant potential and antiproliferative action of methanolic extract of Pteris vittata L. on human MCF-7 breast cancer cells (2014) Food Chem. Toxicol., 74, pp. 326-333; Kaur, P., Kumar, M., Singh, A.P., Kaur, S., Ethyl acetate fraction of Pteris vittata L. alleviates 2-acetylaminofluorene induced hepatic alterations in male Wistar rats (2017) Biomed. Pharmacother., 88, pp. 1080-1089; Kim, S., Woo, E.-R., Lee, D.G., Synergistic antifungal activity of isoquercitrin: apoptosis and membrane permeabilization related to reactive oxygen species in Candida albicans (2019) Iubmb Life, 71, pp. 283-292; Kim, S.-J., Zaidul, I.S.M., Suzuki, T., Mukasa, Y., Hashimoto, N., Takigawa, S., Comparison of phenolic compositions between common and tartary buckwheat (Fagopyrum) sprouts (2008) Food Chem., 110, pp. 814-820; Kot, B., Kwiatek, K., Janiuk, J., Witeska, M., Pekala-Safinska, A., Antibacterial activity of commercial phytochemicals against aeromonas species isolated from fish (2019) Pathogens, p. 8; Kovacs, D., Karancsi, Z., Farkas, O., Jerzsele, A., Antioxidant activity of flavonoids in LPS-treated IPEC-J2 porcine intestinal epithelial cells and their antibacterial effect against bacteria of swine origin (2020) Antioxidants, p. 9; Kumar, N.S., Bandara, B.M.R., Hettihewa, S.K., Panagoda, G.J., Oligomeric proanthocyanidin fractions from fresh tea leaves and their antibacterial activity against Staphylococcus aureus (2014) J. Natl. Sci. Found. Sri Lanka, 42, pp. 215-220; Larsson, D.G.J., Pollution from drug manufacturing: review and perspectives (2014) Philos. Trans. R. Soc. B-Biol. Sci., p. 369; Latinwo, L.M., Donald, C., Ikediobi, C., Silver, S., Effects of intracellular glutathione on sensitivity of Escherichia coli to mercury and arsenite (1998) Biochem. Biophys. Res. Commun., 242, pp. 67-70; Lee, H.C., Jenner, A.M., Low, C.S., Lee, Y.K., Effect of tea phenolics and their aromatic fecal bacterial metabolites on intestinal microbiota (2006) Res. Microbiol., 157, pp. 876-884; Lei, M., Dong, Z., Jiang, Y., Longhurst, P., Wan, X., Zhou, G., Reaction mechanism of arsenic capture by a calcium-based sorbent during the combustion of arsenic-contaminated biomass: a pilot-scale experience (2019) Front. Environ. Sci. Eng., p. 13; Li, L., Ma, C., Zhao, Q., Su, X., Zhang, Z., Li, H., Inhibition effect of kaempferol on the invasion of Salmonella typhimurium to chicken intestinal epithelium cells at subinhibitory concenctions (2017) China J. Prev. Vet. Med., 39, pp. 534-539; Li, Y.-J., Zhang, C.-F., Ding, G., Huang, W.-Z., Wang, Z.-Z., Bi, Y.-A., Investigating the thermal stability of six caffeoylquinic acids employing rapid-resolution liquid chromatography with quadrupole time-of-flight tandem mass spectrometry (2015) Eur. Food Res. Technol., 240, pp. 1225-1234; Liao, X., Chen, T., Xie, H., Xiao, X., Effect of application of P fertilizer on efficiency of As removal form Ascontanimated soil using phytoremediation:Field study (2004) Acta Sci. Circumstantiae, 24, pp. 455-462; Lin, L.-J., Huang, X.-B., Lv Z-c. Isolation and identification of flavonoids components from Pteris vittata L (2016) Springerplus, p. 5; Lin, R.-D., Chin, Y.-P., Hou, W.-C., Lee, M.-H., The effects of antibiotics combined with natural polyphenols against clinical methicillin-resistant Staphylococcus aureus (MRSA) (2008) Planta Med., 74, pp. 840-846; Liu, C., (2020), Study on Resource Utilizatin of Broiler Manure and Its Influencing Factors. Rural and Regional Development. Master of Agriculture. Institute of Agricultural Economics and Development, Chinese Academy of Agricultural Sciences, Beijing; Liu, H.N., Liu, Y., Hu, L.L., Suo, Y.L., Zhang, L., Jin, F., Effects of dietary supplementation of quercetin on performance, egg quality, cecal microflora populations, and antioxidant status in laying hens (2014) Poult. Sci., 93, pp. 347-353; Llorach, R., Martinez-Sanchez, A., Tomas-Barberan, F.A., Gil, M.I., Ferreres, F., Characterisation of polyphenols and antioxidant properties of five lettuce varieties and escarole (2008) Food Chem., 108, pp. 1028-1038; Lou, Z., Wang, H., Zhu, S., Ma, C., Wang, Z., Antibacterial activity and mechanism of action of chlorogenic acid (2011) J. Food Sci., 76, pp. M398-M403; Lou, Z., Wang, H., Rao, S., Sun, J., Ma, C., Li, J., p-Coumaric acid kills bacteria through dual damage mechanisms (2012) Food Control, 25, pp. 550-554; Lucarini, R., Tozatti, M.G., Silva, M.L.A., Gimenez, V.M.M., Pauletti, P.M., Groppo, M., Antibacterial and anti-inflammatory activities of an extract, fractions, and compounds isolated from Gochnatia pulchra aerial parts (2015) Braz. J. Med. Biol. Res., 48, pp. 822-830; Lv, Q., Luo, F., Zhao, X., Liu, Y., Hu, G., Sun, C., Identification of proanthocyanidins from litchi (Litchi chinensis Sonn.) pulp by LC-ESI-Q-TOF-MS and their antioxidant activity (2015) PLOS One, p. 10; Ma, L.Q., Komar, K.M., Tu, C., Zhang, W.H., Cai, Y., Kennelley, E.D., A fern that hyperaccumulates arsenic – a hardy, versatile, fast-growing plant helps to remove arsenic from contaminated soils (2001) Nature, 409. , 579-579; Manach, C., Scalbert, A., Morand, C., Remesy, C., Jimenez, L., Polyphenols: food sources and bioavailability (2004) Am. J. Clin. Nutr., 79, pp. 727-747; Marin, L., Miguelez, E.M., Villar, C.J., Lombo, F., Bioavailability of dietary polyphenols and gut microbiota (2015) Metab.: Antimicrob. Prop. Biomed. Res. Int.; Matejczyk, M., Swislocka, R., Golonko, A., Lewandowski, W., Hawrylik, E., Cytotoxic, genotoxic and antimicrobial activity of caffeic and rosmarinic acids and their lithium, sodium and potassium salts as potential anticancer compounds (2018) Adv. Med. Sci., 63, pp. 14-21; Matsuda, M., Kuribayashi, T., Yamamoto, S., Millar, B.C., Moore, J.E., Transformation and characterization of an arsenic gene operon from urease-positive thermophilic Campylobacter (UPTC) in Escherichia coli (2016) Folia Microbiol., 61, pp. 57-62; Mehdi, Y., Letourneau-Montminy, M.-P., Gaucher, M.-L., Chorfi, Y., Suresh, G., Rouissi, T., Use of antibiotics in broiler production: Global impacts and alternatives (2018) Anim. Nutr., 4, pp. 170-178; Meiying, Z., Yonggang, S.U.N., Wenna, F.A.N., Zhixiang, W., Effects of Hawthorn extract on growth performance and intestinal microflora of broilers (2009) Acat Agric. Boreal. Occident. Sin., 18 (52-55), p. 146; Michalak, A., Phenolic compounds and their antioxidant activity in plants growing under heavy metal stress (2006) Pol. J. Environ. Stud., 15, pp. 523-530; Mullen, W., Rouanet, J.-M., Auger, C., Teissedre, P.-L., Caldwell, S.T., Hartley, R.C., Bioavailability of 2-C-14 Quercetin-4 '-glucoside in rats (2008) J. Agric. Food Chem., 56, pp. 12127-12137; Musarra-Pizzo, M., Ginestra, G., Smeriglio, A., Pennisi, R., Sciortino, M.T., Mandalari, G., The antimicrobial and antiviral activity of polyphenols from almond (Prunus dulcis L.) skin (2019) Nutrients, p. 11; Nachman, K.E., Baron, P.A., Raber, G., Francesconi, K.A., Navas-Acien, A., Love, D.C., Roxarsone, inorganic arsenic, and other arsenic species in chicken: a US-based market basket sample (2013) Environ. Health Perspect., 121, pp. 818-824; Nawaz, M.F., Bourrie, G., Trolard, F., Soil compaction impact and modelling. A review (2013) Agron. Sustain. Dev., 33, pp. 291-309; Nayaka, H.B., Londonkar, R.L., Umesh, M.K., Tukappa, A., Antibacterial attributes of apigenin, isolated from Portulaca oleracea L. (2014) Int. J. Bacteriol., 2014. , 175851-175851; Omar, A.E., Al-Khalaifah, H.S., Mohamed, W.A.M., Gharib, H.S.A., Osman, A., Al-Gabri, N.A., Effects of phenolic-rich onion (Allium cepa L.) extract on the growth performance, behavior, intestinal histology, amino acid digestibility, antioxidant activity, and the immune status of broiler chickens (2020) Front. Vet. Sci., p. 7; Orhan, D.D., Ozcelik, B., Ozgen, S., Ergun, F., Antibacterial, antifungal, and antiviral activities of some flavonoids (2010) Microbiol. Res., 165, pp. 496-504; Ouyang, K., Xu, M., Jiang, Y., Wang, W., Effects of alfalfa flavonoids on broiler performance, meat quality, and gene expression (2016) Can. J. Anim. Sci., 96, pp. 332-341; Pacheco-Ordaz, R., Wall-Medrano, A., Goni, M.G., Ramos-Clamont-Montfort, G., Ayala-Zavala, J.F., Gonzalez-Aguilar, G.A., Effect of phenolic compounds on the growth of selected probiotic and pathogenic bacteria (2018) Lett. Appl. Microbiol., 66, pp. 25-31; Panche, A.N., Diwan, A.D., Chandra, S.R., Flavonoids: an overview (2016) J. Nutr. Sci., 5. , e47-e47; Park, J.H., Kang, S.N., Chu, G.M., Jin, S.K., Growth performance, blood cell profiles, and meat quality properties of broilers fed with Saposhnikovia divaricata, Lonicera japonica, and Chelidonium majus extracts (2014) Livest. Sci., 165, pp. 87-94; Parkar, S.G., Stevenson, D.E., Skinner, M.A., The potential influence of fruit polyphenols on colonic microflora and human gut health (2008) Int. J. Food Microbiol., 124, pp. 295-298; Peres, M., DelleMonache, F., Cruz, A.B., Pizzolatti, M.G., Yunes, R.A., Chemical composition and antimicrobial activity of Croton urucurana Baillon (Euphorbiaceae) (1997) J. Ethnopharmacol., 56, pp. 223-226; Phillips, I., Casewell, M., Cox, T., De Groot, B., Friis, C., Jones, R., Does the use of antibiotics in food animals pose a risk to human health? A critical review of published data (2004) J. Antimicrob. Chemother., 53, pp. 28-52; Rathinasabapathi, B., Wu, S., Sundaram, S., Rivoal, J., Srivastava, M., Ma, L.Q., Arsenic resistance in Pteris vittata L.: identification of a cytosolic triosephosphate isomerase based on cDNA expression cloning in Escherichia coli (2006) Plant Mol. Biol., 62, pp. 845-857; RiceEvans, C.A., Miller, N.J., Paganga, G., Structure-antioxidant activity relationships of flavonoids and phenolic acids (1996) Free Radic. Biol. Med., 20, pp. 933-956; Sadik, G., Islam, R., Rahman, M.M., Khondkar, P., Rashid, M.A., Sarker, S.D., Antimicrobial and cytotoxic constituents of Loranthus globosus (2003) Fitoterapia, 74, pp. 308-311; Silva Gomes, F.M., Xavier, J.C., Sampaio dos Santos, J.F., Lobo Soares de Matos, Y.M., Tintino, S.R., de Freitas, T.S., Evaluation of antibacterial and modifying action of catechin antibiotics in resistant strains (2018) Microb. Pathog., 115, pp. 175-178; Simons, P.C.M., Versteegh, H.A.J., Jongbloed, A.W., Kemme, P.A., Slump, P., Bos, K.D., Improvement of phosphorus availability by microbial phytase in broilers and pigs (1990) Br. J. Nutr., 64, pp. 525-540; Singh, A., Kumar, S., Bajpai, V., Reddy, T.J., Rameshkumar, K.B., Kumar, B., Structural characterization of flavonoid C- and O-glycosides in an extract of Adhatoda vasica leaves by liquid chromatography with quadrupole time-of-flight mass spectrometry (2015) Rapid Commun. Mass Spectrom., 29, pp. 1095-1106; Singh, M., Govindarajan, R., Rawat, A.K.S., Khare, P.B., Antimicrobial flavonoid rutin from Pteris vittata L. against pathogenic gastrointestinal microflora (2008) Am. Fern J., 98, pp. 98-103; Sivasothy, Y., Sulaiman, S.F., Ooi, K.L., Ibrahim, H., Awang, K., Antioxidant and antibacterial activities of flavonoids and curcuminoids from Zingiber spectabile Griff (2013) Food Control, 30, pp. 714-720; Sohaib, M., Butt, M.S., Shabbir, M.A., Shahid, M., Lipid stability, antioxidant potential and fatty acid composition of broilers breast meat as influenced by quercetin in combination with alpha-tocopherol enriched diets (2015) Lipids Health Dis., p. 14; Stapleton, P.D., Shah, S., Anderson, J.C., Hara, Y., Hamilton-Miller, J.M.T., Taylor, P.W., Modulation of beta-lactam resistance in Staphylococcus aureus by catechins and gallates (2004) Int. J. Antimicrob. Agents, 23, pp. 462-467; Stefani, T., Garza-Gonzalez, E., Rivas-Galindo, V.M., Yolanda Rios, M., Alvarez, L., del Rayo Camacho-Corona, M., Hechtia glomerata Zucc: phytochemistry and activity of its extracts and major constituents against resistant bacteria (2019) Molecules, p. 24; Taguri, T., Tanaka, T., Kouno, I., Antimicrobial activity of 10 different plant polyphenols against bacteria causing food-borne disease (2004) Biol. Pharm. Bull., 27, pp. 1965-1969; Tasho, R.P., Cho, J.Y., Veterinary antibiotics in animal waste, its distribution in soil and uptake by plants: a review (2016) Sci. Total Environ., 563, pp. 366-376; Thalia Bernal-Mercado, A., Javier Vazquez-Armenta, F., Tapia-Rodriguez, M.R., Islas-Osuna, M.A., Mata-Haro, V., Gonzalez-Aguilar, G.A., Comparison of single and combined use of catechin, protocatechuic, and vanillic acids as antioxidant and antibacterial agents against uropathogenic Escherichia coli at planktonic and biofilm levels (2018) Molecules, p. 23; (2009), UNFAO. How to Feed the World in 2050- High level Expert Forum, Rome; USEPA, (1995), Arsenic, inorganic, CASRN 7440–38-2, Integrated Risk Information System (IRIS); (2011), USEPA. Exposure Factors Handbook: 2011 Edition; Vipin, C., Saptami, K., Fida, F., Mujeeburahiman, M., Rao, S.S., Athmika, Potential synergistic activity of quercetin with antibiotics against multidrug-resistant clinical strains of Pseudomonas aeruginosa (2020) PLOS One, p. 15; Viskupicva, J., Ondrejovic, M., Sturdik, E., Bioavailability and metabolism of flavonoids (2008) J. Food Nutr. Res., 47, pp. 151-162; Vodela, J.K., Lenz, S.D., Renden, J.A., McElhenney, W.H., Kemppainen, B.W., Drinking water contaminants (arsenic, cadmium, lead, benzene, and trichloroethylene). 2. Effects an reproductive performance, egg quality, and embryo toxicity in broiler breeders (1997) Poult. Sci., 76, pp. 1493-1500; Vodela, J.K., Renden, J.A., Lenz, S.D., McElhenney, W.H., Kemppainen, B.W., Drinking water contaminants (arsenic, cadmium, lead, benzene, and trichloroethylene). 1. Interaction of contaminants with nutritional status on general performance and immune function in broiler chickens (1997) Poult. Sci., 76, pp. 1474-1492; Wahid, F., Khan, T., Shehzad, O., Shehzad, A., Kim, Y.Y., Phytochemical analysis and effects of Pteris vittata extract on visual processes (2016) J. Nat. Med., 70, pp. 8-17; Wan, X., Lei, M., Chen, T., Cost-benefit calculation of phytoremediation technology for heavy-metal-contaminated soil (2016) Sci. Total Environ., 563, pp. 796-802; Wang, H.-B., Wong, M.-H., Lan, C.-Y., Qin, Y.-R., Shu, W.-S., Qiu, R.-L., Effect of arsenic on flavonoid contents in Pteris species (2010) Biochem. Syst. Ecol., 38, pp. 529-537; Wang, J.R., Zhao, F.J., Meharg, A.A., Raab, A., Feldmann, J., McGrath, S.P., Mechanisms of arsenic hyperaccumulation in Pteris vittata. Uptake kinetics, interactions with phosphate, and arsenic speciation (2002) Plant Physiol., 130, pp. 1552-1561; Wang, L., Yang, X., Qin, P., Shan, F., Ren, G., Flavonoid composition, antibacterial and antioxidant properties of tartary buckwheat bran extract (2013) Ind. Crops Prod., 49, pp. 312-317; Wang, M.L., Suo, X., Gu, J.H., Zhang, W.W., Fang, Q., Wang, X., Influence of grape seed proanthocyanidin extract in broiler chickens: effect on chicken coccidiosis and antioxidant status (2008) Poult. Sci., 87, pp. 2273-2280; Wu, D., Kong, Y., Chen, C.H.J., Hu, L., Jiang, H., Shen, X., D-Alanine: D-alanine ligase as a new target for the flavonoids quercetin and apigenin (2008) Int. J. Antimicrob. Agents, 32, pp. 421-426; Wu, T., Zang, X., He, M., Pan, S., Xu, X., Structure-activity relationship of flavonoids on their anti-escherichia coli activity and inhibition of DNA gyrase (2013) J. Agric. Food Chem., 61, pp. 8185-8190; Xiao, H.B., Fang, J., Lu, X.Y., Sun, Z.L., Kaempferol improves carcase characteristics in broiler chickens by regulating ANGPTL3 gene expression (2012) Br. Poult. Sci., 53, pp. 836-842; Yan, T., Hu, G.-S., Wang, A.-H., Hong, Y., Jia, J.-M., Characterisation of proanthocyanidins from Schisandra chinensis seed coats by UPLC-QTOF/MS (2014) Nat. Prod. Res., 28, pp. 1834-1842; Yang, J., Guo, Y., Yan, Y., Yang, J., Wan, X., Guo, J., Phytoaccumulation of As by Pteris vittata supplied with phosphorus fertilizers under different soil moisture regimes – a field case (2019) Ecol. Eng., 138, pp. 274-280; Yang, J.Y., Zhang, H.J., Wang, J., Wu, S.G., Yue, H.Y., Jiang, X.R., Effects of dietary grape proanthocyanidins on the growth performance, jejunum morphology and plasma biochemical indices of broiler chicks (2017) Animal, 11, pp. 762-770; Yao, L.H., Jiang, Y.M., Shi, J., Tomas-Barberan, F.A., Datta, N., Singanusong, R., Flavonoids in food and their health benefits (2004) Plant Foods Hum. Nutr., 59, pp. 113-122; Yin, S., Hu, W., Ye, F., Li, T., Huang, S., Study on the constituents and acetylcholinesterase inhibitory activity of Pteris vittata (2018) Nat. Prod. Res. Dev., 30, pp. 1367-1370; Zang, X., Shang, M., Xu, F., Liang, J., Wang, X., Mikage, M., A-type proanthocyanidins from the stems of Ephedra sinica (Ephedraceae) and their antimicrobial activities (2013) Molecules, 18, pp. 5172-5189; Zhang, B., Zhang, J., Zhong, Z., Wang, W., Zhu, M., Syngas production and trace element emissions from microwave-assisted chemical looping gasification of heavy metal hyperaccumulators (2019) Sci. Total Environ., 659, pp. 612-620; Zhang, J., Zhang, B., Li, R., Lin, Y., Liu, Y., Lin, Y., Analysis of rutin and quercetin in flower buds of wild Sophora japonica L. from different habitats by HPLC (2014) Chin. Tradit. Patent Med., 36, pp. 2573-2576; Zhang, W.H., Cai, Y., Tu, C., Ma, L.Q., Arsenic speciation and distribution in an arsenic hyperaccumulating plant (2002) Sci. Total Environ., 300, pp. 167-177; Zhang, X., Zhao, Q., Ci, X., Chen, S., Xie, Z., Li, H., Evaluation of the efficacy of chlorogenic acid in reducing small intestine injury, oxidative stress, and inflammation in chickens challenged with Clostridium perfringens type A (2020) Poult. Sci., 99, pp. 6606-6618; Zhao, J.S., Deng, W., Liu, H.W., Effects of chlorogenic acid-enriched extract from Eucommia ulmoides leaf on performance, meat quality, oxidative stability, and fatty acid profile of meat in heat-stressed broilers (2019) Poult. Sci.; Živkov-Baloš, M., (2013), pp. 776-783. , Mihaljev Ž Jakšić S., Ćupić Ž, Kapetanov M. Concentration of arsenic in water and tissues of broilers. In: Proceedings of 10th International Symposium Modern Trends in Livestock Production, Belgrade</t>
  </si>
  <si>
    <t>Wan, X.; Institute of Geographic Sciences and Natural Resources Research, China; email: wanxm.06s@igsnrr.ac.cn</t>
  </si>
  <si>
    <t>JHMAD</t>
  </si>
  <si>
    <t>J. Hazard. Mater.</t>
  </si>
  <si>
    <t>2-s2.0-85118321393</t>
  </si>
  <si>
    <t>García-Cáceres R.G., Delgado-Tobón A.E., Escobar-Velásquez J.W.</t>
  </si>
  <si>
    <t>24780351500;57117365400;57441898100;</t>
  </si>
  <si>
    <t>https://www.scopus.com/inward/record.uri?eid=2-s2.0-85125433155&amp;doi=10.1016%2fj.heliyon.2022.e08978&amp;partnerID=40&amp;md5=f606d8ce3110b6628fedf42b0cea9d01</t>
  </si>
  <si>
    <t>School of Industrial Engineering, Universidad Pedagógica y Tecnológica de Colombia (UPTC), Sogamoso, Colombia; School of Industrial Engineering, Universidad Militar Nueva Granada, Bogotá, Colombia; School of Industrial Engineering, Universidad del Valle, Cali, Colombia</t>
  </si>
  <si>
    <t>García-Cáceres, R.G., School of Industrial Engineering, Universidad Pedagógica y Tecnológica de Colombia (UPTC), Sogamoso, Colombia; Delgado-Tobón, A.E., School of Industrial Engineering, Universidad Militar Nueva Granada, Bogotá, Colombia; Escobar-Velásquez, J.W., School of Industrial Engineering, Universidad del Valle, Cali, Colombia</t>
  </si>
  <si>
    <t>The present work introduces a systematic decision making process which, based on Stochastic Multicriteria Acceptability Analysis – Matching, is aimed at supporting the selection of pedagogical strategies according to the theoretical paradigms provided by the Color Theory and the Learning Styles concept. This novel procedure is illustrated by an example which allowed comparison with the traditional decision mechanism. The results show that the innovation is valuable for case, since it allows a more tuned-to-reality solution that prioritizes relevant pedagogical strategies and discards insignificant ones. Another underlying advantage of this novel process as compared to the traditional one is the possibility it offers to develop a broader and more detailed analysis, since it provides both the set of pedagogical strategies for a course or group of students and a personalized analysis for each student, thus facilitating the teacher's work. © 2022 The Authors</t>
  </si>
  <si>
    <t>Color theory; Decision making process; Pedagogical strategies; SMAA-M</t>
  </si>
  <si>
    <t>Herrmann, N., The creative brain (1991) J. Creat. Behav., 25 (4), pp. 275-295; Herrmann, N., The Whole Brain Business Book (1996), first ed. McGraw-Hill; Dee Fink, L., Creative Significant Learning Experiences (2003), Jossey-Bass; Dee Fink, L., Creating Significant Learning Experiences: an Integrated Approach to Designing College Courses (2013), second ed. Jossey-Bass; Palloff, R., Pratt, K., The Virtual Student: A Profile and Guide to Working with Online Learners (2003), first ed. Jossey-Bass; Allison, C., Hayes, J., The cognitive style index: a measure of intuition – analysis for organizational research (1996) J. Manag. Stud., 33 (1), pp. 119-136; An, D., Carr, M., Learning styles theory fails to explain learning and achievement: recommendations for alternative approaches (2017) Pers. Indiv. Differ., 116, pp. 410-416; How People Learn: Brain, Mind, Experience, and School (2000), The national academies press Washington, DC; Fink, D., Creating Significant Learning Experiences: an Integrated Approach to Designing College Courses (2003), John Wiley &amp; Sons; Deng, Q., Trainin, G., Rudasill, K., Kalutskaya, I., Wessels, S., Torquati, J., Coplan, R., Elementary preservice teachers’ attitudes and pedagogical strategies toward hypothetical shy, exuberant, and average children (2017) Learn. Indiv Differ, 56, pp. 85-95; Keeney, R., Raiffa, H., Decisions with multiple objectives: preferences and value tradeoffs (1977) JSTOR, 7 (4), pp. 115-117; Charnetski, J., Soland, R., Multiple-attribute decision making with partial information: the comparative hypervolume criterion (1978) Nav. Res. Logist., 25 (2), pp. 279-288; Bana e Costa, C.A., Multicriteria decision aid methodology to deal with conflicting situations on the weights (1986) Eur. J. Oper. Res., 26 (1), pp. 22-34; Bana e Costa, C.A., A methodology for sensitivity analysis in three-criterion problems: a case study in municipal management (1988) Eur. J. Oper. Res., 33 (2), pp. 159-173; Lahdelma, R., Hokkanen, J., Salminen, P., SMAA - stochastic multiobjective acceptability analysis (1998) Eur. J. Oper. Res., 106 (1), pp. 137-143; Lahdelma, R., Salminen, P., SMAA- 2: Stochastic multicriteria acceptability analysis for group decision making (2001) Oper. Res., 49 (3), pp. 444-454; Pelissari, R., Oliveira, M., Ben Amor, S., Kandakoglu, A., Helleno, A., SMAA methods and their applications: a literature review and future research directions (2020) Ann. Oper. Res., 293, pp. 433-493; García-Cáceres, R., Stochastic multicriteria acceptability analysis – matching (SMAA-M) (2020) Oper Res Perspect, 7, p. 100145; Coase, R., The nature of the firm (1937) Econ. Times, 4 (16), pp. 386-405; Williamson, O., Markets and Hierarchies, Analysis and Antitrust Implications (1975), Free Press; Williamson, O., Comparative economic organization: the analysis of discrete structural alternatives (1991) Adm. Sci. Q., 36 (2), pp. 269-296; Wu, H.Y., Wu, H.S., Chen, I.S., Chen, H.C., Exploring the critical influential factors of creativity for college students: a multiple criteria decision-making approach (2014) Think. Skills Creativ., 11, pp. 1-21; Yigit, T., Isik, A., Ince, M., Multi aching criteria decision making system for learning object repository (2014) Procedia Soc. Behav. Sci., 141, pp. 813-816; Anderson, L.W., Krathwohl, D., A Taxonomy for Learning, Teaching, and Assessing (2001), Addison Wesley Longman; Derringer, C., Rottman, B., How people learn about causal influence when there are many possible causes: a model based on informative transitions (2018) Cognit. Psychol., 102, pp. 41-71; Garriott, P., Hunt, H., Navarro, R., Flores, L., Lee, B., Suh, H., Brionez, J., Lee, H., Development and initial validation of the engineering learning experiences scale (2021) J. Vocat. Behav., 124, p. 103516; Kremer, K., Huang, J., Vaughn, M., Maynard, B., College expectations of eighth grade students: the role of learning approaches and parent influences (2019) Child. Youth Serv., 104, p. 104396; Forsström, S., Role of teachers in students mathematics learning processes based on robotics integration (2019) Learn. Cult. Soc. Interact., 21 (3), pp. 378-389; Barros, R.J., Rojas-Montero, J.A., Sánchez, L.M., Diseño de instrumentos didácticos para aprendizaje activo basado en teoría de colores (2008) Rev. Educ. Ing., 3 (5), pp. 11-18; Córdova, F., Troncoso, N., Díaz, H., Palominos, F., Canete, L., Design of a decision-making tool to identify cross-correlation brain dominances (2016) Procedia Comput. Sci., 91, pp. 65-74; Alkhatib, G., Al-Humaidi, O., Innovative virtual teams on demand: HBDI-based paradigm (2018) Procedia Comput. Sci., 131, pp. 139-147; Herrmann, N., The Creative Brain (1989), Brain Brooks; Herrmann International online, Consulted on November 30, 2021 (2007), http://www.hbdi.com/, at</t>
  </si>
  <si>
    <t>García-Cáceres, R.G.; School of Industrial Engineering, Colombia; email: rafael.garcia01@uptc.edu.co</t>
  </si>
  <si>
    <t>2-s2.0-85125433155</t>
  </si>
  <si>
    <t>Angulo-Saucedo G.A., Leon-Medina J.X., Pineda-Muñoz W.A., Torres-Arredondo M.A., Tibaduiza D.A.</t>
  </si>
  <si>
    <t>57448974200;56857194000;57202051244;55329504700;48561764200;</t>
  </si>
  <si>
    <t>https://www.scopus.com/inward/record.uri?eid=2-s2.0-85124473920&amp;doi=10.3390%2fs22041484&amp;partnerID=40&amp;md5=6b8d584fd831e5788f00505a1b3424ff</t>
  </si>
  <si>
    <t>Department of Electrical and Electronic Engineering, Universidad Nacional de Colombia-Sede Bogotá, Cra 45 No. 26-85, Bogotá, 111321, Colombia; Control, Modeling, Identification and Applications (CoDAlab), Department of Mathematics, Escola d’Enginyeria de Barcelona Est (EEBE), Campus Diagonal-Besòs (CDB), Universitat Politècnica de Catalunya (UPC), Eduard Maristany 16, Barcelona, 08019, Spain; Department of Mechatronics Engineering, Universidad de San Buenaventura Sede Bogotá, Carrera 8H No. 172-20, Bogotá, 111156, Colombia; GENTE Group, Department of Electromechanical Engineering, Universidad Pedagógica y Tecnológica de Colombia, Tunja, 150462, Colombia; MAN Energy Solutions SE, Ausburg, 86153, Germany</t>
  </si>
  <si>
    <t>Angulo-Saucedo, G.A., Department of Electrical and Electronic Engineering, Universidad Nacional de Colombia-Sede Bogotá, Cra 45 No. 26-85, Bogotá, 111321, Colombia; Leon-Medina, J.X., Control, Modeling, Identification and Applications (CoDAlab), Department of Mathematics, Escola d’Enginyeria de Barcelona Est (EEBE), Campus Diagonal-Besòs (CDB), Universitat Politècnica de Catalunya (UPC), Eduard Maristany 16, Barcelona, 08019, Spain, Department of Mechatronics Engineering, Universidad de San Buenaventura Sede Bogotá, Carrera 8H No. 172-20, Bogotá, 111156, Colombia; Pineda-Muñoz, W.A., GENTE Group, Department of Electromechanical Engineering, Universidad Pedagógica y Tecnológica de Colombia, Tunja, 150462, Colombia; Torres-Arredondo, M.A., MAN Energy Solutions SE, Ausburg, 86153, Germany; Tibaduiza, D.A., Department of Electrical and Electronic Engineering, Universidad Nacional de Colombia-Sede Bogotá, Cra 45 No. 26-85, Bogotá, 111321, Colombia</t>
  </si>
  <si>
    <t>Improvements in computing capacity have allowed computers today to execute increasingly complex tasks. One of the main benefits of these improvements is the possibility of developing machine learning algorithms, of which the fields of application are extensive and varied. However, an area in which this type of algorithms acquires an increasing relevance is structural health monitoring (SHM), where inspection strategies and guided wave-based approaches make the evaluation of the structural conditions of an aircraft, vessel or building among others possible, by detecting and classifying existing damages. The use of sensors, data acquisition systems (DAQ) and computation has also allowed these damage detection and classification tasks to be carried out automatically. Despite today’s advances, it is still necessary to continue with the development of more robust, reliable, and low-cost structural health monitoring systems. For this reason, this work contemplates three key points: (i) the configuration of a data acquisition system for signal gathering from an an active piezoelectric (PZT) sensor network; (ii) the development of a damage classification methodology based on signal processing techniques (normalization and PCA), from which the models that describe the structural conditions of the plate are built; and (iii) the use of machine learning algorithms, more specifically, three variants of the self-organizing maps called CPANN (counterpropagation artificial neural network), SKN (supervised Kohonen) and XYF (X–Y fused Kohonen). The data obtained allowed one to carry out an experimental validation of the damage classification methodology, to determine the presence of damages in two aluminum plates of different sizes, where masses were added to change the vibrational responses captured by the sensor network and a composite (CFRP) plate with real damages, such as delamination and cracks. This classification methodology allowed one to obtain excellent results by validating the usefulness of the SKN and XYF networks in damage classification tasks, showing overall accuracies of 73.75% and 72.5%, respectively, according to the cross-validation process. These percentages are higher than those obtained in comparison with other neural networks such as: kNN, discriminant analysis, classification trees, partial least square discriminant analysis, and backpropagation neural networks, when the cross-validation process was applied. © 2022 by the authors. Licensee MDPI, Basel, Switzerland.</t>
  </si>
  <si>
    <t>Damage classification; Data acquisition system; Machine learning; Piezoelectric; Principal component analysis; Self-organizing maps; Structural health monitoring</t>
  </si>
  <si>
    <t>Conformal mapping; Damage detection; Data acquisition; Discriminant analysis; Guided electromagnetic wave propagation; Learning algorithms; Machine learning; Piezoelectricity; Plates (structural components); Principal component analysis; Self organizing maps; Sensor networks; Signal processing; Trees (mathematics); Vibrations (mechanical); Classification methodologies; Classification tasks; Cross validation; Damage classification; Data acquisition system; Kohonen; Machine learning algorithms; Piezoelectric; Principal-component analysis; Structural condition; Structural health monitoring; algorithm; discriminant analysis; least square analysis; machine learning; Algorithms; Discriminant Analysis; Least-Squares Analysis; Machine Learning; Neural Networks, Computer</t>
  </si>
  <si>
    <t>Funding: This research was funded by Universidad Pedagógica y Tecnológica de Colombia (UPTC) for the DIN grant #01 of 2021 “Investigar te da más—Estímulo económico a grupos de investigación por productividad resultado de proyectos de investigación” for the research group “Grupo de investigación en Energía y Nuevas Tecnologías—GENTE” under Contract 1357.</t>
  </si>
  <si>
    <t>This research was funded by Universidad Pedag?gica y Tecnol?gica de Colombia (UPTC) for the DIN grant #01 of 2021 ?Investigar te da m?s?Est?mulo econ?mico a grupos de investigaci?n por productividad resultado de proyectos de investigaci?n? for the research group ?Grupo de investigaci?n en Energ?a y Nuevas Tecnolog?as?GENTE? under Contract 1357.</t>
  </si>
  <si>
    <t>Rytter, A., (1993) Vibrational Based Inspection of Civil Engineering Structures, , Ph.D. Thesis, Aalborg University, Aalborg, Denmark; Farrar, C., Worden, K., Sensing and Data Acquisition (2012) Structural Health Monitoring, pp. 53-85. , John Wiley &amp; Sons, Ltd.: Hoboken, NJ, USA, Chapter 4, [CrossRef]; Tibaduiza, D., (2013) Design and Validation of a Structural Health Monitoring System for Aeronautical Structures, , Ph.D. Thesis, Universitat Politècnica de Catalunya, Barcelona, Spain; Anaya, M., Tibaduiza, D.A., Torres-Arredondo, M.A., Pozo, F., Ruiz, M., Mujica, L.E., Rodellar, J., Fritzen, C.P., Data-driven methodology to detect and classify structural changes under temperature variations (2014) Smart Mater. Struct, 23, p. 045006. , [CrossRef]; Yuan, F., 1—Integrated vehicle health management in aerospace structures (2016) Structural Health Monitoring (SHM) in Aerospace Structures, pp. 3-31. , Yuan, F.G., Ed.; Woodhead Publishing: Sawston, UK, [CrossRef]; Malekloo, A., Ozer, E., AlHamaydeh, M., Girolami, M., Machine learning and structural health monitoring overview with emerging technology and high-dimensional data source highlights (2021) Struct. Health Monit; (2021) Application of SHM Systems, , https://www.acellent.com/applications-2, (accessed on 30 November 2021); Comisu, C.C., Taranu, N., Boaca, G., Scutaru, M.C., Structural health monitoring system of bridges (2017) Procedia Eng, 199, pp. 2054-2059. , [CrossRef]; Sousa, H., Félix, C., Bento, J., Figueiras, J., Design and implementation of a monitoring system applied to a long-span prestressed concrete bridge (2011) Struct. Concr, 12, pp. 82-93. , [CrossRef]; Wang, S., Wu, W., Shen, Y., Liu, Y., Jiang, S., Influence of the pzt sensor array configuration on lamb wave tomography imaging with the rapid algorithm for hole and crack detection (2020) Sensors, 20, p. 860. , [CrossRef] [PubMed]; Qing, X., Li, W., Wang, Y., Sun, H., Piezoelectric Transducer-Based Structural Health Monitoring for Aircraft Applications (2019) Sensors, 19, p. 545. , [CrossRef] [PubMed]; Usama, M., Qadir, J., Raza, A., Arif, H., Yau, K.L.A., Elkhatib, Y., Hussain, A., Al-Fuqaha, A., Unsupervised Machine Learning for Networking: Techniques, Applications and Research Challenges (2019) IEEE Access, 7, pp. 65579-65615. , [CrossRef]; Johnson, J., Yadav, A., Fault detection and classification technique for HVDC transmission lines using KNN (2016) Information and Communication Technology for Sustainable Development, , Springer: Singapore; Vitola, J., Tibaduiza, D., Anaya, M., Pozo, F., Structural Damage detection and classification based on Machine learning algorithms (2016) Proceedings of the 8th European Workshop on Structural Health Monitoring, 4, pp. 2853-2862. , Bilbao, Spain, 5–8 July; Tibaduiza Burgos, D.A., Gomez Vargas, R.C., Pedraza, C., Agis, D., Pozo, F., Damage identification in structural health monitoring: A brief review from its implementation to the use of data-driven applications (2020) Sensors, 20, p. 733. , [CrossRef]; Chapuis, B., Sjerve, E., (2018) Sensors, Algorithms and Applications for Structural Health Monitoring: IIW Seminar on SHM, 2015, p. 105. , Springer: Berlin, Germany; Tibaduiza, D., Anaya, M., Forero, E., Castro, R., Pozo, F., A Sensor Fault Detection Methodology applied to Piezoelectric Active Systems in Structural Health Monitoring Applications (2016) IOP Conference Series: Materials Science and Engineering, 138, p. 12016. , IOP Publishing: Bristol, UK, [CrossRef]; Avci, O., Abdeljaber, O., Kiranyaz, S., Inman, D., Structural Health Monitoring with Self-Organizing Maps and Artificial Neural Networks (2020) Topics in Modal Analysis &amp; Testing, 8, pp. 237-246. , Mains, M.L., Dilworth, B.J., Eds.; Springer International Publishing: Cham, Switherland; Tibaduiza, D.A., Torres-Arredondo, M.A., Mujica, L., Rodellar, J., Fritzen, C.P., A study of two unsupervised data driven statistical methodologies for detecting and classifying damages in structural health monitoring (2013) Mech. Syst. Signal Process, 41, pp. 467-484. , [CrossRef]; Sharma, V., Survey of Classification Algorithms and Various Model Selection Methods (2000) J. Mach. Learn. Res, 1, pp. 1-48; Alamdari, M.M., Rakotoarivelo, T., Khoa, N.L.D., A spectral-based clustering for structural health monitoring of the Sydney Harbour Bridge (2017) Mech. Syst. Signal Process, 87, pp. 384-400. , [CrossRef]; Torres-Arredondo, M.A., Tibaduiza, D.A., McGugan, M., Toftegaard, H., Borum, K.K., Mujica, L.E., Rodellar, J., Fritzen, C.P., Multivariate data-driven modelling and pattern recognition for damage detection and identification for acoustic emission and acousto-ultrasonics (2013) Smart Mater. Struct, 22, p. 105023. , [CrossRef]; Avci, O., Abdeljaber, O., Kiranyaz, S., Hussein, M., Gabbouj, M., Inman, D.J., A review of vibration-based damage detection in civil structures: From traditional methods to Machine Learning and Deep Learning applications (2021) Mech. Syst. Signal Process, 147, p. 107077. , [CrossRef]; Zhang, J., Hou, Z., Application of Artificial Immune System in Structural Health Monitoring (2014) J. Struct, 2014, p. 709127. , [CrossRef]; Xiao, W., (2012) Structural Health Monitoring and Fault Diagnosis based on Artificial Immune System, , Ph.D. Thesis, Worcester Polytechnic Institute, Worcester, MA, USA; Anaya, M., Tibaduiza, D.A., Pozo, F., Detection and classification of structural changes using artificial immune systems and fuzzy clustering (2017) Int. J. Bio-Inspired Comput, 9, pp. 35-52. , [CrossRef]; Shi, A., (2015) Structural Damage Assessment Using Artificial Neural Networks and Artificial Immune Systems, , Master’s Thesis, California Polytechnic State University, San Luis Obispo, CA, USA; Pozo, F., Tibaduiza, D.A., Anaya, M., Vitola, J., A machine learning methodology for structural damage classification in structural health monitoring Proceedings of the 8th Conference on Smart Structures and Materials, SMART 2017 and 6th International Conference on Smart Materials and Nanotechnology in Engineering, SMN 2017, pp. 698-708. , Madrid, Spain, 5–8 June 2017; Tibaduiza, D., Torres-Arredondo, M.Á., Vitola, J., Anaya, M., Pozo, F., A Damage Classification Approach for Structural Health Monitoring Using Machine Learning (2018) Complexity, 2018. , [CrossRef]; Vitola, J., Pozo, F., Tibaduiza, D.A., Anaya, M., A sensor data fusion system based on k-nearest neighbor pattern classification for structural health monitoring applications (2017) Sensors, 17, p. 417. , [CrossRef]; Nick, W., Asamene, K., Bullock, G., Esterline, A., Sundaresan, M., A Study of Machine Learning Techniques for Detecting and Classifying Structural Damage (2015) Int. J. Mach. Learn. Comput, 5, pp. 313-318. , [CrossRef]; Application of Bayesian-designed artificial neural networks in Phase II structural health monitoring benchmark studies (2014) Aust. J. Struct, 15, pp. 27-37. , [CrossRef]; Lee, J., Kim, S., Structural Damage Detection in the Frequency Domain using Neural Networks (2007) J. Intell. Mater. Syst. Struct, 18, pp. 785-792; Betti, M., Facchini, L., Biagini, P., Damage detection on a three-storey steel frame using artificial neural networks and genetic algorithms (2015) Meccanica, 50, pp. 875-886. , [CrossRef]; Lee, E.W.M., Lam, H.F., Intelligent-based Structural Damage Detection Model (2011) Mech. Adv. Mater. Struct, 18, pp. 590-596. , [CrossRef]; Villamizar, R., Camacho, J., Carrillo, Y., Pirela, L., Automatic Sintonization of SOM Neural Network Using Evolutionary Algorithms: An Application in the SHM Problem (2014) Advance Trends in Soft Computing, pp. 347-356. , Jamshidi, M., Kreinovich, Kacprzyk, J., Eds.; Springer International Publishing: Cham, Switherland; Qiu, J., Wu, Q., Ding, G., Xu, Y., Feng, S., A survey of machine learning for big data processing (2016) Eurasip J. Adv. Signal Process, 2016, pp. 1-16. , [CrossRef]; Kohonen, T., The Self-Organizing Map (1990) Proc. IEEE, 78, pp. 1464-1480. , [CrossRef]; Kohonen, T., Hynninen, J., Kangas, J., Laaksonen, J., (1996) SOM PAK: The Self-Organizing Map Program Package, , University of Technology—Laboratory of Computer and Information Science: Helsinki, Finland; Freeman, J., Skapura, D., (1991) Neural Networks—Algorithms, Applications, and Programming Techniques; Computation and Neural Systems Series, , Addison Wesley Longman Publishing Co., Inc.: Boston, MA, USA; Graupe, D., Counter Propagation (2013) Principles of Artificial Neural Networks, pp. 185-201. , World Scientific: Singapore, Chapter 8, [CrossRef]; Melssen, W., Wehrens, R., Buydens, L., Supervised Kohonen networks for classification problems (2006) Chemom. Intell. Lab. Syst, 83, pp. 99-113. , [CrossRef]; Buethe, I., Kraemer, P., Fritzen, C.P., Applications of self-organizing maps in structural health monitoring (2012) Key Eng. Mater, 518, pp. 37-46. , [CrossRef]; Junior, P.O., Conte, S., D’Addona, D.M., Aguiar, P., Bapstista, F., An improved impedance-based damage classification using self-organizing maps (2020) Procedia CIRP, 88, pp. 330-334. , [CrossRef]; Zeinali, Y., Story, B., Structural Impairment Detection Using Deep Counter Propagation Neural Networks (2016) Procedia Eng, 145, pp. 868-875. , [CrossRef]; Jiang, S.F., Fu, C., Zhang, C.M., Wu, Z., A Revised Counter-Propagation Network Model Integrating Rough Set for Structural Damage Detection (2013) Int. J. Distrib. Sens. Netw, 2013, p. 850712. , [CrossRef]; Tibaduiza, D.A., Mujica, L.E., Rodellar, J., Damage classification in structural health monitoring using principal component analysis and self-organizing maps (2013) Struct. Control Health Monit, 20, pp. 1303-1316. , [CrossRef]; Vitola, J., Pozo, F., Tibaduiza, D.A., Anaya, M., Distributed piezoelectric sensor system for damage identification in structures subjected to temperature changes (2017) Sensors, 17, p. 1252. , [CrossRef] [PubMed]; Baptista, F.G., Filho, J.V., Transducer loading effect on the performance of PZT-based SHM systems (2010) IEEE Trans. Ultrason. Ferroelectr. Freq. Control, 57, pp. 933-941. , [CrossRef] [PubMed]; Andhale, Y.S., Masurkar, F.A., Yelve, N.P., Localization of damages in plain and riveted aluminium specimens using lamb waves (2019) Int. J. Acoust. Vib, 24, pp. 150-165. , [CrossRef]; Bermes, C., (2006) Generation and Detection of Nonlinear Lamb Waves for the Characterization of Material Nonlinearities, , Ph.D. Thesis, Georgia Institute of Technology, Atlanta, GA, USA; (2021) What Is LabView?, , https://www.ni.com/es-co/shop/labview.html, (accessed on 26 September 2021); Rostami, J., Chen, J., Tse, P.W., A Signal Processing Approach with a Smooth Empirical Mode Decomposition to Reveal Hidden Trace of Corrosion in Highly Contaminated Guided Wave Signals for Concrete-Covered Pipes (2017) Sensors, 17, p. 302. , [CrossRef] [PubMed]; Oshana, R., 4—Overview of Digital Signal Processing Algorithms (2006) DSP Software Development Techniques for Embedded and Real-Time Systems, pp. 59-121. , Oshana, R., Ed.; Embedded Technology, Newnes: Burlington, NJ, USA, [CrossRef]; Banerjee, M.B., Chatterjee, T.N., Roy, R.B., Tudu, B., Bandyopadhyay, R., Bhattacharyya, N., Multivariate preprocessing techniques towards optimising response of fused sensor from electronic nose and electronic tongue (2016) Proceedings of the 2016 International Conference on Computing, Communication and Automation (ICCCA), pp. 949-954. , Greater Noida, India, 29–30 April IEEE: Piscataway, NJ, USA, 2017; [CrossRef]; Palit, M., Tudu, B., Bhattacharyya, N., Dutta, A., Dutta, P.K., Jana, A., Bandyopadhyay, R., Chatterjee, A., Comparison of multivariate preprocessing techniques as applied to electronic tongue based pattern classification for black tea (2010) Anal. Chim. Acta, 675, pp. 8-15. , [CrossRef] [PubMed]; Jolliffe, I., (2013) Principal Component Analysis, , Springer Series in Statistics; Springer: New York, NJ, USA; Mujica, L.E., Rodellar, J., Fernández, A., Güemes, A., Q-statistic and t2-statistic pca-based measures for damage assessment in structures (2011) Struct. Health Monit, 10, pp. 539-553. , [CrossRef]; Taşdemir, K., Spectral Clustering as an Automated SOM Segmentation Tool (2011) Advances in Self-Organizing Maps, pp. 71-78. , Laaksonen, J., Honkela, T., Eds.; Springer Berlin Heidelberg: Berlin/Heidelberg Germany; Barletta, V., Caivano, D., Nannavecchia, A., Scalera, M., A Kohonen SOM Architecture for Intrusion Detection on In-Vehicle Communication Networks (2020) Appl. Sci, 10, p. 5062. , [CrossRef]; Ullah, A., Haydarov, K., Ul Haq, I., Muhammad, K., Rho, S., Lee, M., Baik, S.W., Deep Learning Assisted Buildings Energy Consumption Profiling Using Smart Meter Data (2020) Sensors, 20, p. 873. , [CrossRef]; (2021) Kohonen and CPANN Toolbox (for Matlab), , https://michem.unimib.it/download/matlab-toolboxes/kohonen-and-cpann-toolbox-for-matlab/, (accessed on 26 September 2021); Ballabio, D., Consonni, V., Todeschini, R., The Kohonen and CP-ANN toolbox: A collection of MATLAB modules for self organizing maps and counterpropagation artificial neural networks (2009) Chemom. Intell. Lab. Syst, 98, pp. 115-122. , [CrossRef]; Ballabio, D., Vasighi, M., A MATLAB toolbox for Self Organizing Maps and supervised neural network learning strategies (2012) Chemom. Intell. Lab. Syst, 118, pp. 24-32. , [CrossRef]; Ballabio, D., Consonni, V., Classification tools in chemistry. Part 1: Linear models (2013) PLS-DA. Anal. Methods, 5, pp. 3790-3798. , [CrossRef]</t>
  </si>
  <si>
    <t>Leon-Medina, J.X.; Control, Eduard Maristany 16, Spain; email: jersson.xavier.leon@upc.edu</t>
  </si>
  <si>
    <t>2-s2.0-85124473920</t>
  </si>
  <si>
    <t>Ramírez M., Ariza L.R., Miranda M.E.G., Vartika</t>
  </si>
  <si>
    <t>57423631900;6505536470;36133658400;57314504100;</t>
  </si>
  <si>
    <t>The Disclosures of Information on Cybersecurity in Listed Companies in Latin America—Proposal for a Cybersecurity Disclosure Index</t>
  </si>
  <si>
    <t>https://www.scopus.com/inward/record.uri?eid=2-s2.0-85123365777&amp;doi=10.3390%2fsu14031390&amp;partnerID=40&amp;md5=4ff885dee5269dc1f9cc1138ff0a30d6</t>
  </si>
  <si>
    <t>Faculty of Economic and Administrative Sciences, Pedagogical and Technological University of Colombia, Tunja, 150001, Colombia; Department of Financial Economics and Accounting, University of Granada, Granada, 18071, Spain; Indian Institute of Management Rohtak, Rohtak, 124010, India</t>
  </si>
  <si>
    <t>Ramírez, M., Faculty of Economic and Administrative Sciences, Pedagogical and Technological University of Colombia, Tunja, 150001, Colombia; Ariza, L.R., Department of Financial Economics and Accounting, University of Granada, Granada, 18071, Spain; Miranda, M.E.G., Department of Financial Economics and Accounting, University of Granada, Granada, 18071, Spain; Vartika, Indian Institute of Management Rohtak, Rohtak, 124010, India</t>
  </si>
  <si>
    <t>For the corporate sphere, cybersecurity becomes an inescapable business responsibility, and accountability becomes a way of providing trust and ensuring resilience against cyber risks and high-impact cyber threats. The purpose of this study was to create a disclosure index that allows analysis of the scope of the disclosure of voluntary and mandatory cybersecurity information. The content analysis technique used focuses on the examination and identification of the cybersecurity information revealed in the annual reports and the 20 F annual forms of the companies with the highest stock market prices in Argentina, Brazil, Chile, Colombia, Mexico, and Peru during the period of 2016–2020. Longitudinal analysis indicates an increase over time in the disclosures and scope of information. The findings highlight that the country with the highest related disclosure is Argentina; the most extensive disclosures are due to the financial sector; and the strategy dimension represents the greatest weight in the index score. The study provides a novel instrument for measuring the content of disclosure on cybersecurity that is applicable in any specific context. In this case, the scope of disclosure in Latin America—a region which, according to our research, does not have previous studies on the subject—is evaluated. © 2022 by the authors. Licensee MDPI, Basel, Switzerland.</t>
  </si>
  <si>
    <t>Cybersecurity disclosure; Cybersecurity governance; Cybersecurity risk management; Cybersecurity strategies; Disclosure index; Financial implications of cybersecurity risk</t>
  </si>
  <si>
    <t>accountability; business development; security; stock market; Argentina; Brazil; Chile; Colombia; Latin America; Mexico [North America]; Peru</t>
  </si>
  <si>
    <t>(2021) The Global Risks Report 2021, , 16th ed.; WEF: Geneva, Switzerland; AXA Future Risks Report 2020, , https://www.axa.com/en/magazine/2020-future-risks-report, (accessed on 5 February 2021); Calderon, T.G., Gao, L., Cybersecurity risks disclosure and implied audit risks: Evidence from audit fees (2021) Int. J. Audit, 25, pp. 24-39. , [CrossRef]; (2018) Federal Register Commission Statement and Guidance on Public Company Cybersecurity Disclosures, , https://www.federalregister.gov/documents/2018/02/26/2018-03858/commission-statement-and-guidance-on-public-company-cybersecurity-disclosures, (accessed on 22 June 2020); King, M., Report on corporate governance for South Africa 2016 (2016) Inst. Dir, pp. 1-128. , https://www.adams.africa/wp-content/uploads/2016/11/King-IV-Report.pdf, (accessed on 8 June 2021); (2010) ISO 26000. Corp. Res, , https://www.iso.org/obp/ui#iso:std:iso:26000:ed-1:v1:es, (accessed on 5 February 2021); Rashid, A., Chivers, H., Danezis, G., Lupu, E., Martin, A., (2019) The Cyber Security Body of Knowledge (CyBoK) 1.0. CyBoK, p. 299. , https://www.cybok.org/, (accessed on 1 September 2021); (2020) What Companies Are Disclosing about Cybersecurity Risk and Oversight in 2020, , https://www.ey.com/en_us/board-matters/what-companies-are-disclosing-about-cybersecurity-risk-and-oversight, (accessed on 8 November 2021); (2011) CF Disclosure Guidance: Topic No. 2-Cybersecurity, , https://www.sec.gov/divisions/corpfin/guidance/cfguidance-topic2.htm, (accessed on 1 July 2020); Berkman, H., Jona, J., Lee, G., Soderstrom, N., Cybersecurity awareness and market valuations (2018) J. Account. Public Policy, 37, pp. 508-526. , [CrossRef]; Ettredge, M., Guo, F., Li, Y., Trade secrets and cyber security breaches (2018) J. Account. Public Policy, 37, pp. 564-585. , [CrossRef]; (2021) SEC Charges Issuer With Cybersecurity Disclosure Controls Failures, , https://www.sec.gov/news/press-release/2021-102, (accessed on 4 October 2021); (2021) SEC Announces Three Actions Charging Deficient Cybersecurity Procedures, , https://www.sec.gov/news/press-release/2021-169, (accessed on 1 October 2021); Eijkelenboom, E.V.A., Nieuwesteeg, B.F.H., An analysis of cybersecurity in Dutch annual reports of listed companies (2021) Comput. Law Secur. Rev, 40, p. 105513. , [CrossRef]; Amir, E., Levi, S., Livne, T., Do firms underreport information on cyber-attacks? Evidence from capital markets (2018) Rev. Account. Stud, 23, pp. 1177-1206. , [CrossRef]; Hilary, G., Segal, B., Zhang, M.H., Cyber-Risk Disclosure: Who Cares? (2016) SSRN Electron. J, , [CrossRef]; Gordon, L.A., Loeb, M.P., Sohail, T., Market value of voluntary disclosures concerning information security (2010) MIS Q. Manag. Inf. Syst, 34, pp. 567-594. , [CrossRef]; Gao, L., Calderon, T.G., Tang, F., Public companies’cybersecurity risk disclosures (2020) Int. J. Account. Inf. Syst, 38, pp. 1-26. , [CrossRef]; Wang, T., Kannan, K.N., Ulmer, J.R., The association between the disclosure and the realization of information security risk factors (2013) Inf. Syst. Res, 24, pp. 201-218. , [CrossRef]; Héroux, S., Fortin, A., Cybersecurity Disclosure by the Companies on the S&amp;P/TSX 60 Index (2020) Account. Perspect, 19, pp. 73-100. , [CrossRef]; Radu, C., Smaili, N., Board Gender Diversity and Corporate Response to Cyber Risk: Evidence from Cybersecurity Related Disclosure (2021) J. Bus. Ethics, 7, p. 3. , [CrossRef]; Barry, T., Jona, J., Soderstrom, N.S., The Impact of Country Institutional Factors on Firm Disclosure: Cybersecurity Disclosures in Chinese Cross-Listed Firms SSRN Electron. J, 2021, pp. 1-32. , [CrossRef]; Leo, M., Operational resilience disclosures by banks: Analysis of annual reports (2020) Risks, 8, p. 128. , [CrossRef]; Porrúa, M., Contreras, B., Message from Digital Government Principal Specialist, Data and Digital Government Cluster Coordina-tor, IDB and Manager, Cybersecurity Program, OAS (2020) Cybersecurity: Risk, Progress and the Way Forward in Latin America and the Caribbean, , IDB: Washington, DC, USA; Barmpaliou, N., Emerging Threats in Cybersecurity: Implications for Latin America and the Caribbean (2020) Cybersecurity: Risks, Progress, and the Way For-ward in Latin America and the Caribbean, , IDB: Washington, DC, USA; Urrutia, F.D., Message from Secretary for Multidimensional Security of the OAS (2020) Cybersecurity: Risks, Progress, and the Way Forward in Latin America and the Caribbean, , IDB: Washington, DC, USA; Regional Trends in Cybersecurity Readiness, 2016–2020, , https://publications.iadb.org/publications/english/document/2020-Cybersecurity-Report-Risks-Progress-and-the-Way-Forward-in-Latin-America-and-the-Caribbean.pdf, (accessed on 15 May 2021); (2007) ITU Global Cybersecurity Agenda-A Framework for International Cooperation in Cybersecurity, , https://www.itu.int/osg/spuold/cybersecurity/gca/, (accessed on 7 December 2021); (2009) Resolución 64/25, , https://www.un.org/en/ga/search/view_doc.asp?symbol=A/RES/64/25&amp;Lang=S, (accessed on 19 February 2021); (2015) Digital Security Risk Management for Economic and Social Prosperity, , https://www.oecd.org/corporate/digital-security-risk-management-for-economic-and-social-prosperity-9789264245471-en.htm, (accessed on 22 March 2021); (2005) Release #33-8591: Securities Offering Reform (Section VII: Additional Exchange act Disclosure Provisions), , https://www.sec.gov/rules/final/33-8591.pdf, (accessed on 30 May 2021); Campbell, J.L., Chen, H., Dhaliwal, D.S., Lu, H., Steele, L.B., The information content of mandatory risk factor disclosures in corporate filings (2014) Rev. Account. Stud, 19, pp. 396-455. , [CrossRef]; Schubert, W., Cedarbaum, D., Schloss, J., The SEC’s Two Primary Theories in Cybersecurity Enforcement Actions (2015) Cybersecur. Law Rep, 1, pp. 39-70; Gordon, L.A., Loeb, M.P., Lucyshyn, W., Zhou, L., Increasing cybersecurity investments in private sector firms (2015) J. Cybersecur, 1, pp. 3-17. , [CrossRef]; Rethinking Cybersecurity Disclosures to Investors-What Executives and Boards Need to Know About the SEC’s Guidance: June 2018, , www.pwc.com/cybersecurity, (accessed on 8 July 2020); Bakker, T.G., (2015) Beadle Scholar Accuracy of Self-Disclosed Cybersecurity Risks of Large US Banks, , https://scholar.dsu.edu/theses/294, (accessed on 7 March 2021); (2021) SEC Issues First-Ever Penalties for Deficient Cybersecurity Risk Controls, , https://www.hklaw.com/en/insights/publications/2021/06/sec-issues-first-ever-penalties-for-deficient-cybersecurity-risk, (accessed on 17 August 2021); (2013) CSA Staff Notice 11-326-Cyber Security, , https://www.bcsc.bc.ca/-/media/PWS/Resources/Securities_Law/HistPolicies/HistPolicy1/11326-CSA-Staff-Notice.pdf, (accessed on 19 May 2021); (2017) CSA Staff Notice 33-321: Cyber Security and Social Media, , https://lautorite.qc.ca/fileadmin/lautorite/reglementation/valeurs-mobilieres/0-avis-acvm-staff/2017/2017oct19-33-321-avis-acvm-en.pdf, (accessed on 24 July 2020); (2020) Rural Connectivity in Latin America and the Caribbean, , https://repositorio.iica.int/bitstream/handle/11324/12896/BVE20108887e.pdf?sequence=1&amp;isAllowed=y, (accessed on 29 June 2021); Aguilar, J.A.M., The cybersecurity gap in Latin America in the face of the global context of cyber threats (2020) Rev. Estud. En Segur. Int, 6, pp. 17-43. , [CrossRef]; Aguilar, J.A.M., Cyber-physical facts: An analysis proposal for cyber threats in the National Cybersecurity Strategies (2019) Rev. Latinoam. Estud. Segur, 25, pp. 24-40; (2019) Challenges of Cyber Risk in the Financial Sector for Colombia and Latin America, , https://www.oas.org/es/sms/cicte/docs/Desafios-del-riesgo-cibernetico-en-el-sector-financiero-para-Colombia-y-America-Latina.pdf, (accessed on 11 September 2021); (2020) Cybersecurity: Risks, Progress, and the Way Forward in Latin America and the Caribbean, , https://publications.iadb.org/publications/english/document/2020-Cybersecurity-Report-Risks-Progress-and-the-Way-Forward-in-Latin-America-and-the-Caribbean.pdf, Available on-line: (accessed on 31 May 2021); Global Cybersecurity Index (GCI) 2014, , https://www.itu.int/en/ITU-D/Cybersecurity/Pages/GCI-2014.aspx, (accessed on 12 March 2021); Global Cybersecurity Index (GCI) 2017, , https://www.itu.int/dms_pub/itu-d/opb/str/D-STR-GCI.01-2017-PDF-E.pdf, (accessed on 12 March 2021); Global Cybersecurity Index (GCI) 2018 ITU Publications Studies &amp; Research 2018, , https://www.itu.int/dms_pub/itu-d/opb/str/D-STR-GCI.01-2018-PDF-E.pdf, (accessed on 12 March 2021); Global Cybersecurity Index (GCI) 2021, , https://www.itu.int/dms_pub/itu-d/opb/str/D-STR-GCI.01-2021-PDF-E.pdf, (accessed on 12 March 2021); Miller, G.S., Discussion of what determines corporate transparency? (2004) J. Account. Res, 42, pp. 253-268. , [CrossRef]; Bushman, R.M., Piotroski, J.D., Smith, A.J., What Determines Corporate Transparency? (2004) J. Account. Res, 42, pp. 207-252. , [CrossRef]; Scott, W.R., Approaching adulthood: The maturing of institutional theory (2008) Theory Soc, 37, pp. 427-442. , [CrossRef]; Freedman, M., Jaggi, B., Global warming, commitment to the Kyoto protocol, and accounting disclosures by the largest global public firms from polluting industries (2005) Int. J. Account, 40, pp. 215-232. , [CrossRef]; Prado-Lorenzo, J.M., Rodríguez-Domínguez, L., Gallego-Álvarez, I., García-Sánchez, I.M., Factors influencing the disclosure of greenhouse gas emissions in companies world-wide (2009) Manag. Decis, 47, pp. 1133-1157. , [CrossRef]; Li, H., No, W.G., Wang, T., SEC’s cybersecurity disclosure guidance and disclosed cybersecurity risk factors (2018) Int. J. Account. Inf. Syst, 30, pp. 40-55. , [CrossRef]; (2016) The Corporate Risk Factor Disclosure Landscape, , https://www.weinberg.udel.edu/irrci/research/887, (accessed on 11 October 2021); (2001) The USA PATRIOT Act: Preserving Life and Liberty, , http://www.justice.gov/archive/ll/what_is_the_patriot_act.pdf, USA Department of Justice (accessed on 2 June 2021); (2020), https://www.spglobal.com/spdji/es/documents/additional-material/spdji-latin-america-index-directory-spa.pdf, (accessed on 2 June 2021); Marston, C.L., Shrives, P.J., The use of disclosure indices in accounting research: A review article (1991) The British Accounting Review, 23, pp. 195-210. , Academic Press: New York, NY, USA, [CrossRef]; Berelson, B., (1952) Content Analysis, Lindzey: Handbook of Social Psychology, , Oxford University Press: New York, NY, USA; Gordon, L.A., Loeb, M.P., Lucyshyn, W., Sohail, T., The impact of the Sarbanes-Oxley Act on the corporate disclosures of information security activities (2006) J. Account. Public Policy, 25, pp. 503-530. , [CrossRef]; Di Lernia, C., Hardy, C., Dori, A., Cyber-related Risk Disclosure in Australia: Evidence from the ASX200 (2020) Co. Secur, 5, pp. 23-29; Morse, E.A., Raval, V., Wingender, J.R., SEC cybersecurity guidelines: Insights into the utility of risk factor disclosures for investors (2018) Business Lawyer, 73, pp. 1-34. , American Bar Association: Washington, DC, USA, [CrossRef]; Bonsón, E., Escobar, T., The voluntary dissemination of financial information on the Internet. A comparative analysis between the United States, Eastern Europe and the European Union 2004 (2004) Span. J. Financ. Account, pp. 1063-1101. , [CrossRef]; Ortiz, E., Clavel, J.G., Disclosures indexes: A propose to improve the metodology applied to the case of Human Resources disclosure included in Form 20-F (2006) Span. J. Financ. Account, 35, pp. 87-113. , [CrossRef]; Clarkson, P.M., Li, Y., Richardson, G.D., Vasvari, F.P., Revisiting the relation between environmental performance and environmental disclosure: An empirical analysis (2008) Account. Organ. Soc, 33, pp. 303-327. , [CrossRef]; Andrikopoulos, A., Samitas, A., Bekiaris, M., Corporate social responsibility reporting in financial institutions: Evidence from Euronext (2014) Res. Int. Bus. Financ, 32, pp. 27-35. , [CrossRef]; Clarkson, P.M., Fang, X., Li, Y., Richardson, G., The relevance of environmental disclosures: Are such disclosures incrementally informative? (2013) J. Account. Public Policy, 32, pp. 410-431. , [CrossRef]; Chithambo, L., Tauringana, V., Company specific determinants of greenhouse gases disclosures (2014) J. Appl. Account. Res, 15, pp. 323-338. , [CrossRef]; Choi, J., Lee, B.B.D., (2010) Proceedings of the 2010 AFAANZ Conference, , https://www.afaanz.org/past-conferences, Christchurch, New Zealand, 4–6 July (accessed on 1 December 2021); Chu, C.I., Chatterjee, B., Brown, A., The current status of greenhouse gas reporting by Chinese companies: A test of legitimacy theory (2013) Manag. Audit. J, 28, pp. 114-139. , [CrossRef]; Datt, R.R., Luo, L., Tang, Q., Corporate voluntary carbon disclosure strategy and carbon performance in the USA (2019) Account. Res. J, 32, pp. 417-435. , [CrossRef]; Darus, F., Mohd Zuki, H.I., Yusoff, H., The path to sustainability: Understanding organisations’ environmental initiatives and climate change in an emerging economy (2019) Eur. J. Manag. Bus. Econ, 29, pp. 84-96. , [CrossRef]; Haque, S., Deegan, C., Corporate Climate Change-Related Governance Practices and Related Disclosures: Evidence from Australia (2010) Aust. Account. Rev, 20, pp. 317-333. , [CrossRef]; Hardiyansah, M., Agustini, A.T., Analysis of carbon emissions disclosure and firm value: Type of industry as a moderating model (2020) Int. J. Sci. Technol. Res, 9, pp. 1125-1132; Liesen, A., Hoepner, A.G., Patten, D.M., Figge, F., Does stakeholder pressure influence corporate GHG emissions reporting? Empirical evidence from Europe (2015) Account. Audit. Account. J, 28, pp. 1047-1074. , [CrossRef]; Formigoni, H., Segura, L., Gallego-Álvarez, I., Garcia-Sanchez, I.M., Board of directors characteristics and disclosure practices of corporate social responsibility: A comparative study between Brazilian and Spanish companies (2020) Soc. Responsib. J, , [CrossRef]; Marshall, A., Weetman, P., Modelling Transparency in Disclosure: The Case of Foreign Exchange Risk Management (2007) J. Bus. Financ. Account, 34, pp. 705-739. , [CrossRef]; Pitrakkos, P., Maroun, W., Evaluating the quality of carbon disclosures (2019) Sustain. Account. Manag. Policy J, 11, pp. 553-589. , [CrossRef]; Plumlee, M., Brown, D., Hayes, R.M., Marshall, R.S., Voluntary environmental disclosure quality and firm value: Further evidence (2015) J. Account. Public Policy, 34, pp. 336-361. , [CrossRef]; Rankin, M., Windsor, C., Wahyuni, D., An investigation of voluntary corporate greenhouse gas emissions reporting in a market governance system: Australian evidence (2011) Account. Audit. Account. J, 24, pp. 1037-1070. , [CrossRef]; (2018) Cybersecurity Disclosure Benchmarking, , https://assets.ey.com/content/dam/ey-sites/ey-com/en_us/topics/cybersecurity/ey-cb-cybersecurity-disclosures-benchmarking.pdf, (accessed on 14 November 2020); (2019) What Companies Are Disclosing about Cybersecurity Risk and Oversight, pp. 1-7. , https://www.ey.com/en_us/board-matters/what-companies-are-sharing-about-cybersecurity-risk-and-oversight, (accessed on 14 November 2020); Giner, B., The influence of company characteristics and accounting regulation on information disclosed by Spanish firms (1997) Eur. Account. Rev, 6, pp. 45-68. , [CrossRef]; Cooke, T.E., Wallace, R.S.O., Global Surveys of Corporate Disclosure Practices and Audit Firms: A Review Essay (1989) Account. Bus. Res, 20, pp. 47-57. , [CrossRef]; Choi, F.D.S., Financial Disclosure and Entry to the European Capital Market (1973) J. Account. Res, 11, p. 159. , [CrossRef]; Chow, C.W., Wong-Boren, A., Voluntary Financial Disclosure by Mexican Corporations (1987) Account. Rev, 62, p. 533. , http://content.ebscohost.com/ContentServer.asp?T=P&amp;P=AN&amp;K=4496048&amp;S=R&amp;D=bth&amp;EbscoContent=dGJyMNLe80SeqLE4y9f3OLCmr0uep7ZSsKi4TLSWxWXS&amp;ContentCustomer=dGJyMPGqtkqxra5Rue3sfefwuY3x2%2FAA%5Cnhttp://search.ebscohost.com/login.aspx?direct=true&amp;db=bth&amp;AN=449604, Available on-line: (accessed on 10 July 2021); (2017) Implementing the Recommendations of the Task Force on Climate-related Financial Disclosure, , https://assets.bbhub.io/company/sites/60/2021/07/2021-TCFD-Implementing_Guidance.pdf, FSB: Basel, Switzerland, 2021. (accessed on 1 December 2021); (2018) Cybersecurity Risk Management Reporting, pp. 1-7. , https://us.aicpa.org/content/dam/aicpa/interestareas/frc/assuranceadvisoryservices/downloadabledocuments/cybersecurity-fact-sheet.pdf, (accessed on 10 July 2021); (2013) ISO/IEC 27001—Information Security Management, , https://www.iso.org/isoiec-27001-information-security.html, (accessed on 26 June 2020); (2017) Guide Reporting on an Entity’s Cybersecurity Risk Management Program and Controls, , https://www.aicpa.org/cpe-learning/publication/reporting-on-an-entitys-cybersecurity-risk-management-program-and-controls-attestation-guide-OPL, (accessed on 26 June 2020); OCIE Cybersecurity and Resiliency Obervations 2020, , www.sec.gov/spotlight/cybersecurity, (accessed on 26 June 2020); The Sustainability Yearbook 2018, , https://www.comunicarseweb.com/sites/default/files/the_sustainability_yearbook_2018_spanish.pdf, (accessed on 15 May 2021); (2019) Cyber Task Force Final Report OICU IOSCO, , http://www.iosco.org/library/pubdocs/pdf/IOSCOPD528.pdf, (accessed on 4 July 2020); (2016) GRI 418: Privacidad Del Cliente 2016, , https://www.globalreporting.org/standards/media/1033/gri-418-customer-privacy-2016.pdf, (accessed on 4 November 2021). GRI Stand p.1-9; (2011) OECD Guidelines for Multinational Enterprises 2011 Edition, , https://doi.org/10.1787/9789264115415-en, (accessed on 11 March 2021); Von Solms, B., von Solms, R., Cybersecurity and information security–what goes where? (2018) Inf. Comput. Secur, 26, pp. 2-9. , [CrossRef]; ISO/IEC 27014:2020—Information Security, Cybersecurity and Privacy Protection—Governance of Information Security, , https://www.iso.org/standard/74046.html, (accessed on 4 November 2021); (2018) Better Oversee Cyber Risk, , https://www.pwc.dk/da/publikationer/2018/pwc-how-your-board-can-better-oversee-cyber-risk.pdf, (accessed on 10 June 2021); (2019) What Boards Are Doing Today to Better Oversee Cyber Risk, pp. 1-6. , https://assets.ey.com/content/dam/ey-sites/ey-com/en_us/topics/cbm/ey-what-boards-are-doing-today-to-better-oversee-cyber-risk.pdf, (accessed on 10 June 2021); (2021) Business-Aligned Cyber Strategy|Deloitte|Cyber Risk, , https://www2.deloitte.com/global/en/pages/risk/cyber-strategic-risk/articles/business-aligned-cyber-strategy.html, (accessed on 20 September 2021); (2021) Global Digital Trust Insights, , https://www.pwc.com/jg/en/publications/digital-trust-insights.html, (accessed on 4 November 2021); (2002) Risk Management Guide for Information Technology Systems, , NIST Special Publication: Gaithersburg, MD, USA, [CrossRef]; (2005) Staff Statement on Management’s Report on Internal Control over Financial Reporting, , https://www.sec.gov/info/accountants/stafficreporting.htm, (accessed on 8 August 2021); Steinbart, P.J., Raschke, R.L., Gal, G., Dilla, W.N., The influence of a good relationship between the internal audit and information security functions on information security outcomes (2018) Account. Organ. Soc, 71, pp. 15-29. , [CrossRef]; (2015) Cybersecurity: The Changing Role of Audit Committee and Internal Audit Contents, , http://www2.deloitte.com/content/dam/Deloitte/sg/Documents/risk/sea-risk-cyber-security-changing-role-in-audit-noexp.pdf, (ac-cessed on 7 July 2021)</t>
  </si>
  <si>
    <t>Ramírez, M.; Faculty of Economic and Administrative Sciences, Colombia; email: maricela@correo.ugr.es</t>
  </si>
  <si>
    <t>2-s2.0-85123365777</t>
  </si>
  <si>
    <t>Andres Matallana-Puerto C., Rosero-Lasprilla L., Camilo Ordóñez-Blanco J., Soares Gonçalves R.V., Custódio Fernandes Cardoso J.</t>
  </si>
  <si>
    <t>57388923800;55340594300;57388764900;57388526900;57388684000;</t>
  </si>
  <si>
    <t>Journal for Nature Conservation</t>
  </si>
  <si>
    <t>https://www.scopus.com/inward/record.uri?eid=2-s2.0-85121903110&amp;doi=10.1016%2fj.jnc.2021.126120&amp;partnerID=40&amp;md5=765381958e633447a4968db41c712ef9</t>
  </si>
  <si>
    <t>Grupo de Investigación Biología para la Conservación, Escuela de Biología, Facultad de Ciencias, Universidad Pedagógica y Tecnológica de Colombia, Avenida Central Del Norte 39-115, Tunja, Boyacá, Colombia; Programa de Pós-Graduação em Biologia Vegetal, Instituto de Biologia Vegetal, Universidade Estadual de Campinas, Campinas, SP  13.083-970, Brazil; Jardín Botánico de Bogotá José Celestino Mutis, Avenida Calle 63 No. 68-95, Bogotá, Colombia; University of Wollongong, Northfields Ave, Wollongong NSW, 2522, Australia; Instituto de Ciências da Natureza, Universidade Federal de Alfenas, Alfenas, MG  37130-000, Brazil</t>
  </si>
  <si>
    <t>Andres Matallana-Puerto, C., Grupo de Investigación Biología para la Conservación, Escuela de Biología, Facultad de Ciencias, Universidad Pedagógica y Tecnológica de Colombia, Avenida Central Del Norte 39-115, Tunja, Boyacá, Colombia, Programa de Pós-Graduação em Biologia Vegetal, Instituto de Biologia Vegetal, Universidade Estadual de Campinas, Campinas, SP  13.083-970, Brazil; Rosero-Lasprilla, L., Grupo de Investigación Biología para la Conservación, Escuela de Biología, Facultad de Ciencias, Universidad Pedagógica y Tecnológica de Colombia, Avenida Central Del Norte 39-115, Tunja, Boyacá, Colombia; Camilo Ordóñez-Blanco, J., Jardín Botánico de Bogotá José Celestino Mutis, Avenida Calle 63 No. 68-95, Bogotá, Colombia; Soares Gonçalves, R.V., University of Wollongong, Northfields Ave, Wollongong NSW, 2522, Australia; Custódio Fernandes Cardoso, J., Instituto de Ciências da Natureza, Universidade Federal de Alfenas, Alfenas, MG  37130-000, Brazil</t>
  </si>
  <si>
    <t>Knowledge of how natural and anthropogenic factors can limit the distribution of rare species is key to develop conservation strategies. We show data on how both factors potentially affect the distribution of a rare high Andean orchid. We chose Masdevallia coccinea as a model because it is endangered and the most commercialized species of the entire genus. Using ecological niche modeling, we confirm its rarity, with a restricted potential occurrence equivalent to only 0.00005 % of South America, 0.0003 % of the Andes, and 0.0009 % of Colombia. We projected the future potential occurrence of M. coccinea and found that it can have a reduction of 43.49 % in the best-case scenario and 89.06 % in the worst-case scenario in 2100. We describe the flowering and fruiting phenologies and demonstrate that the precipitation two months before may determine the first one. Masdevallia coccinea is a rewardless species and, unlike most Pleurothallidinae species, we show that it is self-compatible but non-autonomous selfer. Thus, it is dependent on biotic pollination, performed only by Leucophenga sp. (Drosophilidae: Diptera) which has low efficiency (8.6 % of fruit set). This is the first pollinator report for the genus. While self-compatibility may be related to reproductive assurance, apparently inbreeding depression may affect populations since selfed fruits had less viable seeds. Nevertheless, self-pollination can be avoided by the retention of the anther cap on pollinia, giving more time until the pollinator flies away to another flower. We consider that the rarity of M. coccinea may be a result of both anthropogenic (habitat loss, climate change, and overcollection) and natural factors (high elevation distribution, self-compatibility, rewardless strategy, pollinator specificity, and low fruit set). The several new facets investigated here can be used for future conservation strategies of this emblematic species as well as other high Andean threatened species. © 2021 Elsevier GmbH</t>
  </si>
  <si>
    <t>angiosperm; endemism; niche; phenology; pollination; rarity; reproductive biology; species diversity; Colombia</t>
  </si>
  <si>
    <t>Universidad Industrial de Santander, UIS</t>
  </si>
  <si>
    <t>We are grateful to Mariana O. Duarte and Vinicius L.G. Brito for their reading and important contributions in the manuscript. To Manuela Sánchez, Enrique Maldonado, and Fredy Molano for their collaboration with the identification of floral visitors. To Rosana Tidon who kindly helped us with the determination of the pollinator. Finally, we thank the CDMB, FMB, JBB, UNAL, UPTC, and UIS herbaria for their attention and response to our requests. Funding, This work was partially financed by the Parque Temático Manoa.</t>
  </si>
  <si>
    <t>This work was partially financed by the Parque Temático Manoa.</t>
  </si>
  <si>
    <t>Alba-Patiño, D., Martínez-Hernández, F., Mota, J.F., (2021), Determination of sites of special importance for the conservation of threatened orchid species in Colombia. Mediterranean Botany, 42, Article e67589. 10.5209/mbot.67589; Allouche, O., Tsoar, A., Kadmon, R., Assessing the accuracy of species distribution models: Prevalence, kappa and the true skill statistic (TSS) (2006) Journal of applied ecology, 43 (6), pp. 1223-1232; Andrade, A.F.A., Velazco, S.J.E., De Marco Júnior, P., ENMTML: An R package for a straightforward construction of complex ecological niche models (2020) Environmental Modelling &amp; Software, 125; Armenteras, D., Gast, F., Villareal, H., Andean forest fragmentation and the representativeness of protected natural areas in the eastern Andes (2003) Colombia. Biological Conservation, 113 (2), pp. 245-256; Arroyo, M.T.K., Muñoz, M.S., Henríquez, C., Till-Bottraud, I., Pérez, F., Erratic pollination, high selfing levels and their correlates and consequences in an altitudinally widespread above-tree-line species in the high Andes of Chile (2006) Acta Oecologica, 30 (2), pp. 248-257; Augspurger, C.K., Franson, S.E., Wind dispersal of artifical fruits varying in mass, area, and morphology (1987) Ecology, 68 (1), pp. 27-42; Azevedo, M.T.A., Borba, E.L., Semir, J., Solferini, V.N., High genetic variability in Neotropical myophilous orchids (2007) Botanical Journal of the Linnean Society, 153 (1), pp. 33-40; Barbosa, A.R., de Melo, M.C., Borba, E.L., Self-incompatibility and myophily in Octomeria (Orchidaceae, Pleurothallidinae) species (2009) Plant Systematics and Evolution, 283 (1-2), pp. 1-8; Batalha, M.A., Martins, F.R., Reproductive phenology of the cerrado plant community in Emas National Park (central Brazil) (2004) Australian Journal of Botany, 52 (2), pp. 149-161; Bates, D., Maechler, M., Bolker, B., Walker, S., (2018), https://cran.r-project.org/package=lme4, lme4: Linear mixed-effects models using Eigen and S4. R package version 1.1-18-1; Betancur, J., Sarmiento, H., Toro-González, L., Valencia, J., Plan para el estudio y la conservación de las orquídeas en Colombia (2015), Universidad Nacional de Colombia Ministerio de Ambiente y Desarrollo Sostenible; Bivand, R.S., Wong, D.W.S., Comparing implementations of global and local indicators of spatial association (2018) TEST, 27 (3), pp. 716-748; Blanco, M.A., Barboza, G., Pseudocopulatory pollination in Lepanthes (Orchidaceae: Pleurothallidinae) by fungus gnats (2005) Annals of Botany, 95 (5), pp. 763-772; Bleho, B.I., Koper, N., Borkowsky, C.L., Hamel, C.D., Effects of weather and land management on the western prairie fringed-orchid (Platanthera praeclara) at the northern limit of its range in Manitoba (2015) Canada. The American Midland Naturalist, 174 (2), pp. 191-203; Bogarín, D., Fernández, M., Borkent, A., Heemskerk, A., Pupulin, F., Ramírez, S., Smets, E., Gravendeel, B., Pollination of Trichosalpinx (Orchidaceae: Pleurothallidinae) by biting midges (Diptera: Ceratopogonidae) (2018) Botanical Journal of the Linnean Society, 186 (4), pp. 510-543; Borba, E.L., Semir, J., Pollinator specificity and convergence in fly-pollinated Pleurothallis (Orchidaceae) species: A multiple population approach (2001) Annals of Botany, 88 (1), pp. 75-88; Borba, E., Semir, J., Shepherd, G.J., Self-incompatibility, inbreeding depression and crossing potential in five brazilian Pleurothallis (Orchidaceae) species (2001) Annals of Botany, 88 (1), pp. 89-99; Borba, E.L., Barbosa, A.R., de Melo, M., Gontijo, S., de Oliveira, H., Mating systems in the Pleurothallidinae (Orchidaceae): Evolutionary and systematic implications (2011) Lankesteriana, 11 (3), pp. 207-221; Brooks, M.E., Kristensen, K., van Benthem, K.J., Magnusson, A., Berg, C.W., Nielsen, A., Bolker, B.M., glmmTMB Balances Speed and Flexibility Among Packages for Zero-inflated Generalized Linear Mixed Modeling (2017) The R Journal, 9 (2), pp. 378-400; Calderón, E., Farfán, J.C., Especies de los géneros Dracula y Masdevallia (Orchidaceae) en Colombia (2003) Biota Colombiana, 4, pp. 187-201; (2006), 6. , Calderón-Sáenz, E. Libro rojo de plantas de colombia. Orquídeas, primera parte. Serie libros rojos de especies amenazadas de colombia. Instituto Alexander von Humboldt - Ministerio de Ambiente, Vivienda y Desarrollo Territorial; CaraDonna, P.J., Ackerman, J.D., Reproductive assurance for a rewardless epiphytic orchid in Puerto Rico: Pleurothallis ruscifolia (Orchidaceae, Pleurothallidinae) (2010) Caribbean Journal of Science, 46 (2-3), pp. 249-257; Cardoso, J.C.F., Viana, M.L., Matias, R., Furtado, M.T., Caetano, A.P., Consolaro, H., Brito, V.L., Towards a unified terminology for angiosperm reproductive systems (2018) Acta Botanica Brasilica, 32 (3), pp. 329-348; Charlesworth, D., Evolution of plant breeding systems (2006) Current Biology, 16 (17), pp. R726-R735; Cheptou, P.-O., Does the evolution of self-fertilization rescue populations or increase the risk of extinction? (2018) Annals of Botany, 123 (2), pp. 337-345; Cortés-Flores, J., Andresen, E., Cornejo-Tenorio, G., Ibarra-Manríquez, G., Fruiting phenology of seed dispersal syndromes in a Mexican Neotropical temperate forest (2013) Forest Ecology and Management, 289, pp. 445-454; Cozzolino, S., Widmer, A., Orchid diversity: An evolutionary consequence of deception? (2005) Trends in Ecology &amp; Evolution, 20 (9), pp. 487-494; Crain, B.J., Tremblay, R.L., Do richness and rarity hotspots really matter for orchid conservation in light of anticipated habitat loss? (2014) Diversity and Distributions, 20 (6), pp. 652-662; Crawley, M.J., The R book (2013), (2nd ed.). John Wiley &amp; Sons; Cuervo, M.A., Bonilla, M.A., Singer, R., Morfología y morfometría de dos especies de banderitas (Orchidaceae: Masdevallia) en Colombia (2012) Acta Biológica Colombiana, 17 (3), pp. 575-588; Cuesta, F., Tovar, C., Llambí, L.D., Gosling, W.D., Halloy, S., Carilla, J., Pauli, H., Thermal niche traits of high alpine plant species and communities across the tropical Andes and their vulnerability to global warming (2019) Journal of Biogeography, 47 (2), pp. 408-420; Dafni, A., Pollination ecology: A practical approach (1992), Oxford University Press; DeLong, E.R., DeLong, D.M., Clarke-Pearson, D.L., Comparing the areas under two or more correlated receiver operating characteristic curves: A nonparametric approach (1988) Biometrics, 837-845; (2005), Di Gregorio, A. Land cover classification system: classification concepts and user manual: LCCS (Vol. 2). Food &amp; Agriculture Org; Duffy, K. J., Johnson, S.D., (1866), (2017). Specialized mutualisms may constrain the geographical distribution of flowering plants. Proceedings of the Royal Society B: Biological Sciences, 284, Article 20171841. 10.1098/rspb.2017.1841; Duque-Buitrago, C.A., Alzate-Quintero, N.F., Otero, J.T., Nocturnal pollination by fungus gnats of the Colombian endemic species, Pleurothallis marthae (Orchidaceae: Pleurothallidinae) (2014) Lankesteriana, 13 (3), pp. 407-417; Eckert, C.G., Samis, K.E., Dart, S., Reproductive assurance and the evolution of uniparental reproduction in flowering plants (2006) Ecology and evolution of flowers, pp. 183-203. , L.D. Harder S.C. Barret Oxford University Press; Endara, L., Grimaldi, D., Roy, B., Lord of the flies: Pollination of Dracula orchids (2010) Lankesteriana, 10 (1), pp. 1-11; Enquist, B. J., Feng, X., Boyle, B., Maitner, B., Newman, E. A., Jørgensen, P. M., (2019), … McGill, B. J. The commonness of rarity: Global and future distribution of rarity across land plants. Science Advances, 5(11), Article eaaz0414. 10.1126/sciadv.aaz0414; Feeley, K.J., Silman, M.R., Land-use and climate change effects on population size and extinction risk of Andean plants (2010) Global Change Biology, 16 (12), pp. 3215-3222; Fick, S.E., Hijmans, R.J., WorldClim 2: New 1-km spatial resolution climate surfaces for global land areas (2017) International Journal of Climatology, 37 (12), pp. 4302-4315; Flather, C.H., Sieg, C.H., Species rarity: Definition, causes, and classification (2007) Conservation of rare or little-known species: Biological, social, and economic considerations, pp. 40-66. , M.G. Raphael R. Molina Island Press; Fox, J., Weisberg, S., An R Companion to Applied Regression (3rd.) (2019), Sage Thousand Oaks CA; Fréville, H., McConway, K., Dodd, M., Silvertown, J., Prediction of extinction in plants: Interaction of extrinsic threats and life history traits (2007) Ecology, 88 (10), pp. 2662-2672; Gabrielová, J., Münzbergová, Z., Tackenberg, O., Chrtek, J., Can we distinguish plant species that are rare and endangered from other plants using their biological traits? (2013) Folia Geobotanica, 48 (4), pp. 449-466; (2020), GBIF.org. GBIF occurrence download of Masdevallia coccinea Lindel ex Lindl. 10.15468/dl.t4qgm2; Glémin, S., Ronfort, J., Adaptation and maladaptation in selfing and outcrossing species: New mutations versus standing variation (2012) Evolution, 67 (1), pp. 225-240; Goldberg, E.E., Kohn, J.R., Lande, R., Robertson, K.A., Smith, S.A., Igic, B., Species selection maintains self-incompatibility (2010) Science, 330 (6003), pp. 493-495; Heinrich, B., Bee flowers: A hypothesis on flower variety and blooming times (1975) Evolution, 29 (2), pp. 325-334; Hengl, T., (2017), Mendes de Jesus, J., Heuvelink, G. B. M., Ruiperez Gonzalez, M., Kilibarda, M., Blagotić, A., … Kempen, B. SoilGrids250m: Global gridded soil information based on machine learning. PLOS ONE, 12(2), Article e0169748. 10.1371/journal.pone.0169748; Hothorn, T., Bretz, F., Westfall, P., Heiberger, R. M., Schuetzenmeister, A., Scheibe, S., (2019), https://cran.r-project.org/package=multcomp, Multcomp: Simultaneous inference in general parametric models. R package version 1.4-10; Inouye, D. W., Larson, B. M., Ssymank, A., Kevan, P.G., (2015), Flies and flowers III: Ecology of foraging and pollination. Journal of Pollination Ecology, 16, 115-133. 10.26786/1920-760315; Jersáková, J., Johnson, S. D., Kindlmann, P., (2006), Mechanisms and evolution of deceptive pollination in orchids. Biological Reviews, 81(02), 219:219-235. 10.1017/s1464793105006986; Johnson, S. D., Schiestl, F.P., (2016), Floral Mimicry. Oxford University Press; Karremans, A.P., Pupulin, F., Grimaldi, D., Beentjes, K.K., Butôt, R., Fazzi, G.E., Gravendeel, B., Pollination of Specklinia by nectar-feeding Drosophila: The first reported case of a deceptive syndrome employing aggregation pheromones in Orchidaceae (2015) Annals of Botany, 116 (3), pp. 437-455; Karremans, A.P., Genera Pleurothallidinarum: An updated phylogenetic overview of Pleurothallidinae (2016) Lankesteriana, 16 (2), pp. 219-241; Karremans, A.P., Díaz-Morales, M., (2019) The Pleurothallidinae: Extremely high speciation by pollinator adaptation, pp. 363-388. , Asociación Ecuatoriana de Orquideología; Kearns, C.A., Inouye, D.W., Techniques for pollination biologists (1993), University Press of Colorado; Keller, L.F., Waller, D.M., Inbreeding effects in wild populations (2002) Trends in Ecology &amp; Evolution, 17 (5), pp. 230-241; Kunin, W.E., Gaston, K.J., The biology of rarity: Patterns, causes and consequences (1993) Trends in Ecology &amp; Evolution, 8 (8), pp. 298-301; Lindley, J., (1846), Orchidaceae lindenianae, or, notes upon a collection formed in Colombia and Cuba by Mr. J. Linden. Bradbury &amp; Evans; Liu, C., Berry, P.M., Dawson, T.P., Pearson, R.G., Selecting thresholds of occurrence in the prediction of species distributions (2005) Ecography, 28 (3), pp. 385-393; Lowry, E., Lester, S.E., The biogeography of plant reproduction: Potential determinants of species' range sizes (2006) Journal of Biogeography, 33 (11), pp. 1975-1982; Lund, U., Agostinelli, C., Arai, H., Gagliardi, A., (2017), https://CRAN.R-project.org/package=circular, Garcia Portugues, E., Giunchi, D., … Rotolo, F. Circular: circular statistics. R package version 0.4-93; Marquaridt, D.W., Generalized inverses, ridge regression, biased linear estimation, and nonlinear estimation (1970) Technometrics, 12 (3), pp. 591-612; McCune, J.L., Species distribution models predict rare species occurrences despite significant effects of landscape context (2016) Journal of Applied Ecology, 53 (6), pp. 1871-1879; Miller, A.L., Duncan, R.P., Extrinsic and intrinsic controls on the distribution of the critically endangered cress, Ischnocarpus exilis (Brassicaceae) (2003) Biological Conservation, 110 (1), pp. 153-160; Morellato, L.P.C., Alberti, L.F., Hudson, I.L., Applications of circular statistics in plant phenology: A case studies approach (2010) Phenological Research, pp. 339-359. , I.L. Hudson M.R. Keatley Springer; Moreno, J.S., Sandoval-Arango, S., Palacio, R.D., Alzate, N.F., Rincón, M., Gil, K., Hazzi, N.A., Distribution models and spatial analyses provide robust assessments of conservation status of orchid species in Colombia: The case of Lephantes mucronata (2020) Harvard Papers in Botany, 25 (1), pp. 111-121; Morrison, L.W., Haack-Gaynor, J.L., Young, C.C., DeBacker, M.D., A 20-year record of the western prairie fringed orchid (Platanthera praeclara): Population dynamics and modeling of precipitation effects (2015) Natural Areas Journal, 35 (2), pp. 246-255; Morueta-Holme, N., Engemann, K., Sandoval-Acuña, P., Jonas, J.D., Segnitz, R.M., Svenning, J.C., Strong upslope shifts in Chimborazo's vegetation over two centuries since Humboldt (2015) Proceedings of the National Academy of Sciences, 112 (41), pp. 12741-12745; Neiland, M.R.M., Wilcock, C.C., Fruit set, nectar reward, and rarity in the Orchidaceae (1998) American Journal of Botany, 85 (12), pp. 1657-1671; Nilsson, L.A., Orchid pollination biology (1992) Trends in Ecology &amp; Evolution, 7 (8), pp. 255-259; Ordóñez-Blanco, J.C., Parrado-Rosselli, Á., Relación fenología-clima de cuatro especies de orquídeas en un bosque altoandino de Colombia (2017) Lankesteriana, 17 (1), pp. 1-15; Pansarin, E.R., Pansarin, L.M., Martucci, M.E.P., Gobbo-Neto, L., Self-compatibility and specialisation in a fly-pollinated Acianthera (Orchidaceae: Pleurothallidiinae) (2016) Australian Journal of Botany, 64 (4), pp. 359-367; Phillips, R.D., Peakall, R., Hutchinson, M.F., Linde, C.C., Xu, T., Dixon, K.W., Hopper, S.D., Specialized ecological interactions and plant species rarity: The role of pollinators and mycorrhizal fungi across multiple spatial scales (2014) Biological Conservation, 169, pp. 285-295; Phillips, S.B., Aneja, V.P., Kang, D., Arya, S.P., Modelling and analysis of the atmospheric nitrogen deposition in North Carolina (2006) International Journal of Global Environmental Issues, 6 (2-3), pp. 231-252; (2020), http://www.plantsoftheworldonline.org/?f=accepted_names&amp;q=orchidaceae, Plants of the World Online. (2020). Plants of the World Online, POWO. Facilitated by the Royal Botanic Gardens, Kew. Accessed December 12; Rabinowitz, D., Seven forms of rarity (1981) The biological aspects of rare plant conservation, pp. 205-217. , H. Synge John Wiley &amp; Sons; R Core Team, R: A language and environment for statistical computing (2020), R Foundation for Statistical Computing; Rogelj, J., Meinshausen, M., Knutti, R., Global warming under old and new scenarios using IPCC climate sensitivity range estimates (2012) Nature climate change, 2 (4), pp. 248-253; Rogelj, J., Shindell, D., Jiang, K., Fifita, S., Forster, P., Ginzburg, V., Zickfeld, K., Mitigation pathways compatible with 1.5 C in the context of sustainable development. In Global warming of 1.5° C (2018), pp. 93-174. , Intergovernmental Panel on Climate Change; Scopece, G., Cozzolino, S., Johnson, S.D., Schiestl, F.P., Pollination efficiency and the evolution of specialized deceptive pollination systems (2010) The American Naturalist, 175 (1), pp. 98-105; Singer, R.B., Cocucci, A.A., Pollination mechanisms in four sympatric southern Brazilian Epidendroideae orchids (1999) Lyndleyana, 14, pp. 47-56; Sitko, A., Grudziąż, A., Biecek, P., factorMerger: The merging path plot (2018) R package version, (3), p. 6. , https://CRAN.R-project.org/package=factorMerger; Stefanaki, A., Kantsa, A., Tscheulin, T., Charitonidou, M., Petanidou, T., (2015), Lessons from Red Data Books: Plant Vulnerability Increases with Floral Complexity. PLOS ONE, 10(9), Article e0138414. 10.1371/journal.pone.0138414; Stroup, W.W., Generalized linear mixed models: Modern concepts, methods, and applications (2013), CRC Press; Stpiczyńska, M., Osmophores of the fragrant orchid Gymnadenia conopsea L. (Orchidaceae) (2001) Acta Societatis Botanicorum Poloniae, 70 (2), p. 91; Swarts, N.D., Dixon, K.W., Terrestrial orchid conservation in the age of extinction (2009) Annals of Botany, 104 (3), pp. 543-556; Tremblay, R.L., Trends in the pollination ecology of the Orchidaceae: Evolution and systematics (1992) Canadian Journal of Botany, 70 (3), pp. 642-650; Tremblay, R.L., Ackerman, J.D., Zimmerman, J.K., Calvo, R.N., Variation in sexual reproduction in orchids and its evolutionary consequences: A spasmodic journey to diversification (2004) Biological Journal of the Linnean Society, 84 (1), pp. 1-54; Tremblay, R.L., Pomales-Hernández, G., Méndez-Cintrón, M., Flower phenology and sexual maturation: Partial protandrous behaviour in three species of orchids (2006) Caribbean Journal of Science, 42, pp. 75-80; Tsiftsis, S., Djordjević, V., Modelling sexually deceptive orchid species distributions under future climates: The importance of plant–pollinator interactions (2020) Scientific Reports, 10, p. 10623; Van der Pijl, L., Dodson, C.H., Orchid flowers: Their pollination and evolution (1966), University of Miami Press; Van Schaik, C.P., Terborgh, J.W., Wright, S.J., The phenology of tropical forests: Adaptive significance and consequences for primary consumers (1993) Annual Review of Ecology and Systematics, 24 (1), pp. 353-377; Velazco, S. J. E., Galvão, F., Villalobos, F., (2017), De Marco Júnior, P. Using worldwide edaphic data to model plant species niches: An assessment at a continental extent. PLOS ONE, 12(10), Article e018602. 10.1371/journal.pone.0186025; Viveros, P., Higgins, W.E., Checklist of Pleurothallidinae from Colombia (2007) Selbyana, 28, pp. 13-90; Weller, S.G., The relationship of rarity to plant reproductive biology (1994) Restoration of endangered species: conceptual issues, planning, and implementation, pp. 90-117. , M.L. Bowles C.J. Whelan Cambridge University Press; Willson, G.D., Page, M.J., Akyüz, F.A., Precipitation and fire effects on flowering of a rare prairie orchid (2006) Great Plains Research, 16 (1), pp. 37-43; Wright, S. I., Kalisz, S., Slotte, T., (2013), http://dx.doi.org/10.1098/rspb.2013.0133, Evolutionary consequences of self-fertilization in plants. Proceedings of the Royal Society B: Biological Sciences, 280(1760), Article 20130133; Yuan, S., Barrett, S.C.H., Duan, T., Qian, X., Shi, M., Zhang, D., Ecological correlates and genetic consequences of evolutionary transitions from distyly to homostyly (2017) Annals of Botany, 120 (5), pp. 775-789; Zapata, T.R., Arroyo, M.T.K., Plant reproductive ecology of a secondary deciduous tropical forest in venezuela (1978) Biotropica, 10 (3), pp. 221-230; Zuur, A., Ieno, E.N., Walker, N., Saveliev, A.A., Smith, G.M., Mixed effects models and extensions in ecology with R (2009) Springer</t>
  </si>
  <si>
    <t>Andres Matallana-Puerto, C.; Programa de Pós-Graduação em Biologia Vegetal, Brazil; email: ca.matallanap@gmail.com</t>
  </si>
  <si>
    <t>Elsevier GmbH</t>
  </si>
  <si>
    <t>JNCOA</t>
  </si>
  <si>
    <t>2-s2.0-85121903110</t>
  </si>
  <si>
    <t>De la cruz R., Juajibioy J.</t>
  </si>
  <si>
    <t>56437752300;56263625500;</t>
  </si>
  <si>
    <t>Acta Applicandae Mathematicae</t>
  </si>
  <si>
    <t>https://www.scopus.com/inward/record.uri?eid=2-s2.0-85121727000&amp;doi=10.1007%2fs10440-021-00463-w&amp;partnerID=40&amp;md5=8712c984a34769dd5b5859a12339a5ef</t>
  </si>
  <si>
    <t>School of Mathematics and Statistics, Universidad Pedagógica y Tecnológica de Colombia, Av. Central del Norte 39-115 Of. M-101, Tunja, Boy  150003, Colombia</t>
  </si>
  <si>
    <t>De la cruz, R., School of Mathematics and Statistics, Universidad Pedagógica y Tecnológica de Colombia, Av. Central del Norte 39-115 Of. M-101, Tunja, Boy  150003, Colombia; Juajibioy, J., School of Mathematics and Statistics, Universidad Pedagógica y Tecnológica de Colombia, Av. Central del Norte 39-115 Of. M-101, Tunja, Boy  150003, Colombia</t>
  </si>
  <si>
    <t>In this paper, we propose a time-dependent viscous system and by using the vanishing viscosity method we show the existence of delta shock solutions for a generalized zero-pressure gas dynamics system with linear damping. © 2021, The Author(s), under exclusive licence to Springer Nature B.V.</t>
  </si>
  <si>
    <t>Delta shock wave solution; Generalized zero-pressure gas dynamics system; Linear damping; Nonstrictly hyperbolic system; Time-dependent viscous system</t>
  </si>
  <si>
    <t>Damping; Gas dynamics; Shock waves; Delta shock wave solution; Delta shock waves; Generalized zero-pressure gas dynamic system; Hyperbolic system; Linear damping; Non-strictly hyperbolic; Nonstrictly hyperbolic system; Shock-wave solutions; Time dependent; Time-dependent viscous system; Viscous systems; Zero-pressure gas dynamics; Viscosity</t>
  </si>
  <si>
    <t>Abreu, E., De la cruz, R., Lambert, W., Riemann problems and delta-shock solutions for a Keyfitz-Kranzer system with a forcing term (2021) J. Math. Anal. Appl., 502 (2); Barenblatt, G.I., (1996) Scaling, Self-Similarity, and Intermediate Asymptotics, , Cambridge University Press, Cambridge; Bouchut, F., On zero pressure gas dynamics (1994) Advances in Kinetic Theory and Computing, 22, pp. 171-190. , Series on Advances Mathematics for Applied Sciences, World Scientific, Singapore; Brenier, Y., Grenier, E., Sticky particles and scalar conservation laws (1998) SIAM J. Numer. Anal., 35 (6), pp. 2317-2328; Crighton, D.G., Model equations of nonlinear acoustics (1979) Annu. Rev. Fluid Mech., 11, pp. 11-33; Dafermos, C.M., Solutions of the Riemann problem for a class of hyperbolic systems of conservation laws by the viscosity method (1973) Arch. Ration. Mech. Anal., 52, pp. 1-9; De la cruz, R., Riemann problem for a 2 × 2 hyperbolic system with linear damping (2020) Acta Appl. Math., 170, pp. 631-647; De la cruz, R., Santos, M., Delta shock waves for a system of Keyfitz-Kranzer type (2019) Z. Angew. Math. Mech., 99; Doyle, J., Englefield, M.J., Similarity solutions of a generalized Burgers equation (1990) IMA J. Appl. Math., 44, pp. 145-153; E, W., Rykov, Y., Sinai, Y., Generalized variational principles, global weak solutions and behavior with random initial data for systems of conservation laws arising in adhesion particle dynamics (1996) Commun. Math. Phys., 177, pp. 349-380; Ercole, G., Delta-shock waves as self-similar viscosity limits (2000) Q. Appl. Math., 58 (1), pp. 177-199; Henriksen, R.N., (2015) Scale Invariance: Self-Similarity of the Physical World, , Wiley-VCH, Weinheim; Huang, F., Weak solution to pressureless type system (2005) Commun. Partial Differ. Equ., 30, pp. 283-304; Huang, F., Wang, Z., Well posedness for pressureless flow (2001) Commun. Math. Phys., 222, pp. 117-146; Keita, S., Bourgault, Y., Eulerian droplet model: delta-shock waves and solution of the Riemann problem (2019) J. Math. Anal. Appl., 472 (1), pp. 1001-1027; LeVeque, R.J., The dynamics of pressureless dust clouds and delta waves (2004) J. Hyperbolic Differ. Equ., 1 (2), pp. 315-327; Li, J., Yang, H., Delta-shocks as limit of solutions of multidimensional zero-pressure gas dynamics (2001) Q. Appl. Math., 59, pp. 315-342; Lou, Y.Q., Wang, W.G., New self-similar solutions of polytropic gas dynamics (2006) Mon. Not. R. Astron. Soc., 372, pp. 885-900; Majda, A., Majda, G., Zheng, Y., Concentrations in the one-dimensional Vlasov-Poisson equations I: temporal development and non-unique weak solutions in the single component case (1994) Physica D, 74, pp. 268-300; Polyanin, A.D., Zaitsev, V.F., (2003) Handbook of Nonlinear Partial Differential Equations, , Chapman &amp; Hall/CRC, New York; Sachdev, P.L., (2000) Self-Similarity and Beyond: Exact Solutions of Nonlinear Problems, 113. , Monographs and Surveys Pure and Applied Mathematics, Chapman &amp; Hall/CRC, New York; Sarrico, C.O.R., A distributional product approach to δ -shock wave solutions for a generalized pressureless gas dynamics system (2014) Int. J. Math., 25 (1); Shandarin, S.F., Zeldovich, Y.B., Large-scale structure of the universe: turbulence, intermittency, structures in a self-gravitating medium (1989) Rev. Mod. Phys., 61, pp. 185-220; Shen, C., The Riemann problem for the pressureless Euler system with the Coulomb-like friction term (2016) IMA J. Appl. Math., 81, pp. 76-99; Sheng, W.C., Zhang, T., The Riemann problem for the transportation equations in gas dynamics (1999) Memoirs of the American Mathematical Society, 137. , Am. Math. Soc., Providence; Suto, Y., Silk, J., Self-similar dynamics of polytropic gaseous spheres (1988) Astrophys. J., 326, pp. 527-538; Tan, D., Zhang, T., Zheng, Y., Delta shock waves as limits of vanishing viscosity for hyperbolic systems of conversation laws (1994) J. Differ. Equ., 112, pp. 1-32; Tupciev, V.A., On the method of introducing viscosity in the study of problems involving decay of a discontinuity (1973) Sov. Math. Dokl., 14, pp. 978-982; Wang, J., Zhang, H., Existence and decay rates of solutions to the generalized Burgers equation (2003) J. Math. Anal. Appl., 284, pp. 213-235; Yang, H., Riemann problems for a class of coupled hyperbolic systems of conservation laws (1999) J. Differ. Equ., 159, pp. 447-484; Yang, H., Zhang, Y., New developments of delta shock waves and its applications in systems of conservation laws (2012) J. Differ. Equ., 252, pp. 5951-5993</t>
  </si>
  <si>
    <t>De la cruz, R.; School of Mathematics and Statistics, Av. Central del Norte 39-115 Of. M-101, Colombia; email: richard.delacruz@uptc.edu.co</t>
  </si>
  <si>
    <t>AAMAD</t>
  </si>
  <si>
    <t>Acta Appl Math</t>
  </si>
  <si>
    <t>2-s2.0-85121727000</t>
  </si>
  <si>
    <t>Castañeda C., Martínez J.J., Santos L., Rojas H., Osman S.M., Gómez R., Luque R.</t>
  </si>
  <si>
    <t>55319381400;7404312604;57297391900;23025604300;55327003700;55568514480;26643003700;</t>
  </si>
  <si>
    <t>Caffeine photocatalytic degradation using composites of NiO/TiO2–F and CuO/TiO2–F under UV irradiation</t>
  </si>
  <si>
    <t>10.1016/j.chemosphere.2021.132506</t>
  </si>
  <si>
    <t>https://www.scopus.com/inward/record.uri?eid=2-s2.0-85117208645&amp;doi=10.1016%2fj.chemosphere.2021.132506&amp;partnerID=40&amp;md5=2c35b43aedf17ca2ad1794525aabdf6d</t>
  </si>
  <si>
    <t>Universidad Pedagógica y Tecnológica de Colombia, Escuela de Ciencias Química, Grupo de Catálisis-UPTC, Avenida Central de Norte, Vía Paipa, Boyacá, Tunja, Colombia; Chemistry Department, College of Science, King Saud University, P.O. Box 2455, Riyadh, 11451, Saudi Arabia; Universidad Autónoma Metropolitana-Iztapalapa, Depto. De Química, México, D.F., Mexico; Grupo FQM-383, Departamento de Química Orgánica, Universidad de Córdoba, Campus Universitario de Rabanales, Edificio Marie Curie (C3), Córdoba, E-14014, Spain; Peoples Friendship University of Russia (RUDN University), 6 Miklukho-Maklaya str., Moscow, 117198, Russian Federation</t>
  </si>
  <si>
    <t>Castañeda, C., Universidad Pedagógica y Tecnológica de Colombia, Escuela de Ciencias Química, Grupo de Catálisis-UPTC, Avenida Central de Norte, Vía Paipa, Boyacá, Tunja, Colombia; Martínez, J.J., Universidad Pedagógica y Tecnológica de Colombia, Escuela de Ciencias Química, Grupo de Catálisis-UPTC, Avenida Central de Norte, Vía Paipa, Boyacá, Tunja, Colombia; Santos, L., Universidad Pedagógica y Tecnológica de Colombia, Escuela de Ciencias Química, Grupo de Catálisis-UPTC, Avenida Central de Norte, Vía Paipa, Boyacá, Tunja, Colombia; Rojas, H., Universidad Pedagógica y Tecnológica de Colombia, Escuela de Ciencias Química, Grupo de Catálisis-UPTC, Avenida Central de Norte, Vía Paipa, Boyacá, Tunja, Colombia; Osman, S.M., Chemistry Department, College of Science, King Saud University, P.O. Box 2455, Riyadh, 11451, Saudi Arabia; Gómez, R., Universidad Autónoma Metropolitana-Iztapalapa, Depto. De Química, México, D.F., Mexico; Luque, R., Grupo FQM-383, Departamento de Química Orgánica, Universidad de Córdoba, Campus Universitario de Rabanales, Edificio Marie Curie (C3), Córdoba, E-14014, Spain, Peoples Friendship University of Russia (RUDN University), 6 Miklukho-Maklaya str., Moscow, 117198, Russian Federation</t>
  </si>
  <si>
    <t>The interest in the removal of emerging contaminants has increased in the last decade. Photocatalytic degradation using p-n heterojunctions could effectively provide the degradation of these type of substances that are persistent in the environment. In this work, the synthesis, characterization, and photocatalytic evaluation of TiO2–F as well as CuO/TiO2–F and NiO/TiO2–F composite materials were studied in the photo-assisted degradation of caffeine using UV radiation. The fluorination of titanium dioxide induced changes in some physicochemical properties of the materials, which contributed to a decrease in surface area and bandgap energy as well as an increase in crystallite size as compared to pristine TiO2. ≡Ti–F species were evidenced to be formed, which could favor charge separation processes. A highest segregation of CuO species in comparison with NiO on the surface of TiO2–F could be formed, which could increase defect sites and decrease the band gap. The formation of a heterojunction between the semiconductors was evidenced, responsible for the observed improvements in photocatalytic properties of the composite materials. The photocatalytic tests evidenced an important degradation of caffeine; however, mineralization was incomplete. The stability of the composite materials and their potential use in the photocatalytic treatment of caffeine was evaluated by reuse tests. © 2021 The Authors</t>
  </si>
  <si>
    <t>Caffeine; CuO/TiO2–F; Degradation; Emerging contaminants; NiO/TiO2–F; Photocatalysis</t>
  </si>
  <si>
    <t>Caffeine; Copper oxides; Crystallite size; Heterojunctions; Photocatalytic activity; Physicochemical properties; Reservoirs (water); Titanium dioxide; Composites material; CuO/TiO2–F; Emerging contaminant; NiO/TiO2–F; P-n heterojunctions; Photo-assisted; Photo-catalytic; Photocatalytic degradation; Physicochemical property; UV irradiation; Irradiation; caffeine; copper oxide nanoparticle; fluoride; nanocomposite; nickel oxide nanoparticle; titanium dioxide nanoparticle; copper; cupric oxide; titanium; titanium dioxide; composite; degradation; detection method; induced response; mineralization; surface area; ultraviolet radiation; absorption; adsorption; Article; controlled study; desorption; fluorination; hysteresis; isotherm; photocatalysis; photodegradation; physical chemistry; pore size distribution; surface area; surface property; ultraviolet irradiation; ultraviolet radiation; Caffeine; Copper; Titanium; Ultraviolet Rays</t>
  </si>
  <si>
    <t>caffeine, 58-08-2; fluoride, 16984-48-8; copper, 15158-11-9, 7440-50-8; cupric oxide, 1317-38-0; titanium, 7440-32-6; titanium dioxide, 1317-70-0, 1317-80-2, 13463-67-7, 51745-87-0; Caffeine; Copper; cupric oxide; Titanium; titanium dioxide</t>
  </si>
  <si>
    <t>SGI 3055; King Saud University, KSU; RUDN University: RSP-2021/405</t>
  </si>
  <si>
    <t>This paper has been supported by RUDN University Strategic Academic Leadership Program (R. Luque). This project was funded by the Researchers Supporting Project number (RSP-2021/405), King Saud University, Riyadh, Saudi Arabia. J.J.M wishes to thank the Vicerrectoría de Investigaciones (Project SGI 3055) from Universidad Pedagógica y Tecnológica de Colombia for financial support.</t>
  </si>
  <si>
    <t>Bharti, B., Kumar, S., Lee, H.N., Kumar, R., Formation of oxygen vacancies and Ti3+ state in TiO2 thin film and enhanced optical properties by air plasma treatment (2016) Sci. Rep., 6, pp. 1-12; Bellardita, M., Di Paola, A., Megna, B., Palmisano, L., Determination of the crystallinity of TiO2 photocatalysts (2018) J. Photochem. Photobiol., A, 367, pp. 312-320; Carvalho, K.T.G., Lopes, O.F., Ferreira, D.C., Ribeiro, C., ZnO:ZnWO4 heterostructure with enhanced photocatalytic activity for pollutant degradation in liquid and gas phases (2019) J. Alloys Compd., 797, pp. 1299-1309; Castañeda, C., Tzompantzi, F., Gómez, R., Photocatalytic reduction of 4-nitrophenol on in situ fluorinated sol–gel TiO2 under UV irradiation using Na2SO3 as reducing agent (2016) J. Sol. Gel Sci. Technol., 80, pp. 426-435; Castañeda, C., Tzompantzi, F., Rodríguez-Rodríguez, A., Sánchez-Dominguez, M., Gómez, R., Improved photocatalytic hydrogen production from methanol/water solution using CuO supported on fluorinated TiO2 (2018) J. Chem. Technol. Biotechnol., 93, pp. 1113-1120; Castañeda, C., Alvarado, I., Rojas, H., Tzompantzi, F.J., Gomez, R., Photocatalytic degradation of the 2,4-dichlorophenoxyacetic acid herbicide using supported iridium materials (2021) Ciencia en Desarrollo, 12, pp. 125-134; Chiarello, G.L., Dozzi, M.V., Selli, E., TiO2-based materials for photocatalytic hydrogen production (2017) J. Energy. Chem., 26, pp. 250-258; Czoska, A.M., Livraghi, S., Chiesa, M., Giamello, E., Agnoli, S., Granozzi, G., Finazzi, E., Pacchioni, G., The nature of defects in fluorine-doped TiO2 (2008) J. Phys. Chem. C, 112, pp. 8951-8956; Delgado, N., Capparelli, A., Navarro, A., Marino, D., Pharmaceutical emerging pollutants removal from water using powdered activated carbon: study of kinetics and adsorption equilibrium (2019) J. Environ. Manag., 236, pp. 301-308; Deng, X., Zhang, H., Ma, Q., Cui, Y., Cheng, X., Li, X., Xie, M., Cheng, Q., Fabrication of p-NiO/n-TiO2 nano-tube arrays photoelectrode and its enhanced photocatalytic performance for degradation of 4-chlorphenol (2017) Separ. Purif. Technol., 186, pp. 1-9; El-Atab, N., Chowdhury, F., Ulusoy, T.G., Ghobadi, A., Nazirzadeh, A., Okyay, A.K., Ammar, N., ∼3-nm ZnO nanoislands deposition and application in charge trapping memory grown by single ALD step (2016) Sci. Rep., 6, pp. 1-11; Elhalil, A., Elmoubarki, R., Farnane, M., Machrouhi, A., Sadiq, M., Mahjoubi, F.Z., Qourzal, S., Barka, N., Photocatalytic degradation of caffeine as a model pharmaceutical pollutant on Mg doped ZnO-Al2O3 heterostructure (2018) Environ. Nanotechnol. Monit. Manag., 10, pp. 63-72; Elhalil, A., Elmoubarki, R., Machrouhi, A., Sadiq, M., Abdennouri, M., Qourzal, S., Barka, N., Photocatalytic degradation of caffeine by ZnO-ZnAl2O4 nanoparticles derived from LDH structure (2017) J. Environ. Chem. Eng., 5, pp. 3719-3726; Ge, J., Zhang, Y., Heo, Y.J., Parket, S.J., Advanced design and synthesis of composite photocatalysts for the remediation of wastewater: a review (2019) Catalysts, 9, pp. 122-154; Gómez, S., Giovannini, T., Cappelli, C., Absorption spectra of xanthines in aqueous solution: a computational study (2020) Phys. Chem. Chem. Phys., 22, pp. 5929-5941; Jeirani, Z., Niu, C., Soltan, J., Adsorption of emerging pollutants on activated carbon (2016) Rev. Chem. Eng., 33, pp. 491-522; Khemthong, P., Photai, P., Grisdanurak, N., Structural properties of CuO/TiO2 nanorod in relation to their catalytic activity for simultaneous hydrogen production under solar light (2013) Int. J. Hydrogen Energy, 38, pp. 15992-16001; Kosma, C.I., Lambropoulou, D.A., Albanis, T.A., Investigation of PPCPs in wastewater treatment plants in Greece: occurrence, removal and environmental risk assessment (2014) Sci. Total Environ., 466-467, pp. 421-438; Li, M., Mei, Q., Han, D., Wei, B., An, Z., Cao, H., Xie, J., He, M., The roles of HO•, ClO• and BrO• radicals in caffeine degradation: a theoretical study (2021) Sci. Total Environ., 768, pp. 1-10; Li, S.H., Qi, M.Y., Tang, Z.R., Xu, Y.J., Nanostructured metal phosphides: from controllable synthesis to sustainable catalysis (2021) Chem. Soc. Rev., 50, pp. 7539-7586; Liu, Z., Zhou, C., Improved photocatalytic activity of nano CuO-incorporated TiO2 granules prepared by spray drying (2015) Prog. Nat. Sci.: Math. Intel., 25, pp. 334-341; Lv, K., Lv, K., Hu, J., Li, X., Li, M., Cysteine modified anatase TiO2 hollow microspheres with enhanced visible-light-driven photocatalytic activity (2012) J. Mol. Catal. Chem., 356, pp. 78-84; Mahu, E., Coromelci, C.G., Lutic, D., Asaftei, I.V., Sacarescu, L., Harabagiu, V., Ignat, M., Tailoring mesoporous titania features by ultrasound-assisted sol-gel technique: effect of surfactant/titania precursor weight ratio (2021) Nanomaterials, 11, pp. 1-15; Montañez, J.P., Gómez, S., Santiago, A.N., Pierella, L.B., TiO2 supported on HZSM-11 zeolite as efficient catalyst for the photodegradation of chlorobenzoic acids (2015) J. Braz. Chem. Soc., 26, pp. 1191-1200; Murcia, J.J., Hidalgo, M.C., Navío, J.A., Araña, J., Doña-Rodríguez, J.M., Study of the phenol photocatalytic degradation over TiO2 modified by sulfation, fluorination, and platinum nanoparticles photodeposition (2015) Appl. Catal. B Environ., 179, pp. 305-312; Nagao, Y., Yoshikawa, A., Koumoto, K., Kato, T., Ikuhara, Y., Ohta, H., Experimental characterization of the electronic structure of anatase TiO2: thermopower modulation (2010) Appl. Phys. Lett., 97. , 172112-172112; Nawaz, T., Sengupta, S., Chapter 4 - contaminants of emerging concern: occurrence, fate, and remediation (2019) Advances in Water Purification Techniques, pp. 67-114. , S. Ahuja Elsevier; Noutsopoulos, C., Mamais, D., Thomaidis, N., Koumaki, E., Nika, M., Bletsou, A., Stasinakis, A., Removal of Emerging Pollutants through Wastewater Disinfection (2013), pp. 1-9; Petkowicz, D.I., Pergher, S.B.C., Silva da Silva, C.D., Novais da Rocha, Z., Dos Santos, J.H.Z., Catalytic photodegradation of dyes by in situ zeolite-supported titania (2010) Chem. Eng. J., 158, pp. 505-512; Quiñones, D.H., Álvarez, P.M., Rey, A., Contreras, S., Beltrán, F.J., Application of solar photocatalytic ozonation for the degradation of emerging contaminants in water in a pilot plant (2015) Chem. Eng. J., 260, pp. 399-410; Rosal, R., Rodríguez, A., Perdigón-Melón, J.A., Petre, A., García-Calvo, E., Gómez, M.J., Agüera, A., Fernández-Alba, A.R., Occurrence of emerging pollutants in urban wastewater and their removal through biological treatment followed by ozonation (2010) Water Res., 44, pp. 578-588; Rostagno, M.A., Manchón, N., D'Arrigo, M., Guillamón, E., Villares, A., García-Lafuente, A., Ramos, A., Martínez, J.A., Fast and simultaneous determination of phenolic compounds and caffeine in teas, mate, instant coffee, soft drink and energetic drink by high-performance liquid chromatography using a fused-core column (2011) Anal. Chim. Acta, 685, pp. 204-211; Sacco, O., Murcia, J.J., Lara, A.E., Hernández-Laverde, M., Rojas, H., Navío, J.A., Hidalgo, M.C., Vaiano, V., Pt–TiO2–Nb2O5 heterojunction as effective photocatalyst for the degradation of diclofenac and ketoprofen (2020) Mater. Sci. Semicond. Process., 107, pp. 104839-104852; Secondes, M.F.N., Naddeo, V., Belgiorno, V., Ballesteros, F., Removal of emerging contaminants by simultaneous application of membrane ultrafiltration, activated carbon adsorption, and ultrasound irradiation (2014) J. Hazard Mater., 264, pp. 342-349; Singh, P.K., Influence of precursor type on structural, morphological, dielectric and magnetic properties of TiO2 nanoparticles (2017) Cerâmica, 63, pp. 549-556; Shi, Q., Ping, G., Wang, X., Xu, H., Li, J., Cui, J., Abroshan, H., Li, G., CuO/TiO2 heterojunction composites: an efficient photocatalyst for selective oxidation of methanol to methyl formate (2018) J. Mater. Chem. A., 7, pp. 1-8; Souza, F., Carvalho, C., Féris, L., Comparison of different advanced oxidation processes for the removal of emerging contaminants in aqueous solutions (2017), 1, pp. 1-4; Stadler, R.H., Welti, D.H., Stampfli, A.A., Fay, L.B., Thermal decomposition of caffeic acid in model systems: identification of novel tetraoxygenated phenylindan isomers and their stability in aqueous solution (1996) J. Agric. Food Chem., 44, pp. 898-905; Švorc, L., Tomčík, P., Svítková, J., Rievaj, M., Bustin, D., Voltammetric determination of caffeine in beverage samples on bare boron-doped diamond electrode (2012) Food Chem., 135, pp. 1198-1204; Tahir, M.B., Sagir, M., Shahzad, K., Removal of acetylsalicylate and methyl-theobromine from aqueous environment using nano-photocatalyst WO3-TiO2 @g-C3N4 composite (2019) J. Hazard Mater., 363, pp. 205-213; Telo, J.P., Vieira, A.J.S.C., Mechanism of free radical oxidation of caffeine in aqueous solution (1997) J. Chem. Soc., Perkin Trans. 2, 9, pp. 1755-1758; Uddin, M.T., Nicolas, Y., Olivier, C., Jaegermann, W., Rockstroh, N., Junge, H., Toupance, T., Band alignment investigations of heterostructure NiO/TiO2 nanomaterials used as efficient heterojunction earth-abundant metal oxide photocatalysts for hydrogen production (2017) Phys. Chem. Chem. Phys., 19, pp. 19279-19288; Vignesh, K., Rhatigan, S., Mathew, S., Michel, M.C., Bartlett, J., Nolan, M., Hinder, S.J., Hermosilla, D., Mo doped TiO2: impact on oxygen vacancies, anatase phase stability and photocatalytic activity (2020) J. Phys. Math., 3. , 025008-025024; Zeng, Y., Wang, T., Zhang, S., Wang, Y., Zhong, Q., Sol–gel synthesis of CuO-TiO2 catalyst with high dispersion CuO species for selective catalytic oxidation of NO (2017) Appl. Surf. Sci., 411, pp. 227-234; Zhang, F., Li, Y.H., Li, J.Y., Tang, Z.R., Xu, Y.J., 3D graphene-based gel photocatalysts for environmental pollutants degradation (2019) Environ. Pollut., 253, pp. 365-376; Zhao, L., Jinghui, D., Sun, P., Liu, J., Ji, Y., Nakada, N., Qiao, Z., Yang, Y., Nanomaterials for treating emerging contaminants in water by adsorption and photocatalysis: systematic review and bibliometric analysis (2018) Sci. Total Environ., 627, pp. 1253-1263</t>
  </si>
  <si>
    <t>Luque, R.; Grupo FQM-383, Spain; email: rafael.luque@uco.es</t>
  </si>
  <si>
    <t>2-s2.0-85117208645</t>
  </si>
  <si>
    <t>Moreno L., Medina O., Rojas A.L.</t>
  </si>
  <si>
    <t>57213127434;8591829300;57226890927;</t>
  </si>
  <si>
    <t>Mucilage and cellulosic derivatives as clarifiers for the improvement of the non-centrifugal sugar production process</t>
  </si>
  <si>
    <t>10.1016/j.foodchem.2021.130657</t>
  </si>
  <si>
    <t>https://www.scopus.com/inward/record.uri?eid=2-s2.0-85113227047&amp;doi=10.1016%2fj.foodchem.2021.130657&amp;partnerID=40&amp;md5=f8e704a5804d3a4a99327d215ad4d279</t>
  </si>
  <si>
    <t>Doctorate in Chemistry Programe, Universidad Pedagógica y Tecnológica de ColombiaPO150003, Tunja, Colombia; Grupo de Investigación en Química y Tecnología de Alimentos, Universidad Pedagógica y Tecnológica de ColombiaPO150003, Tunja, Colombia; Escuela de Matemáticas y Estadística, Universidad Pedagógica y Tecnológica de ColombiaPO150003, Tunja, Colombia</t>
  </si>
  <si>
    <t>Moreno, L., Doctorate in Chemistry Programe, Universidad Pedagógica y Tecnológica de ColombiaPO150003, Tunja, Colombia; Medina, O., Grupo de Investigación en Química y Tecnología de Alimentos, Universidad Pedagógica y Tecnológica de ColombiaPO150003, Tunja, Colombia; Rojas, A.L., Escuela de Matemáticas y Estadística, Universidad Pedagógica y Tecnológica de ColombiaPO150003, Tunja, Colombia</t>
  </si>
  <si>
    <t>Non-centrifugal cane sugar (NCS) is the second most important Colombian agribusiness in social importance. However, the sugar cane industry is facing some challenges caused by the controversial nutritional and safety attributes of NCS. Some Colombian NCS producers employ natural mucilages as clarifiers; but the uncontrolled application of these components has caused a risk of extinction in the mucilage source plants. Other producers employ acrylamide as a clarifier. Health consequences have generated concerns from the consumers and demanded control from the food authorities. Efforts are being made to develop a standard manufacturing methodology to increase NCS productivity and improve its quality, hygiene, and storability. The application of better clarifiers, which provide the best clarifying activity and minimize the toxicity while conserving NCS's natural attributes, is one of the outstanding challenges as well. This study is a proposal which looks for sustainable, natural, nontoxic, and economical clarifiers for the Colombian NCS producers. © 2021 Elsevier Ltd</t>
  </si>
  <si>
    <t>Cachaza; Clarifiers; Jaggery; Non-centrifugal sugar (NCS); Panela; Vegetal mucilage</t>
  </si>
  <si>
    <t>Accident prevention; Amides; Centrifugation; Clarification; Engineers; Sugar cane; Sugar industry; Acrylamides; Cachaza; Colombians; Health consequences; Jaggery; Manufacturing methodology; Non-centrifugal sugar; Panela; Sugar production process; Vegetal mucilage; Clarifiers; acrylamide; cellulose derivative; fructose; glucose; polyacrylamide; sucrose; carbohydrate; polysaccharide; absorption; acid hydrolysis; Article; biotechnological production; Cactaceae; controlled study; decomposition; glycation; infrared spectroscopy; mucilage; sugarcane; Acrylamide; Polysaccharides; Saccharum; Sugars</t>
  </si>
  <si>
    <t>acrylamide, 79-06-1; fructose, 30237-26-4, 57-48-7, 7660-25-5, 77907-44-9; glucose, 50-99-7, 84778-64-3; polyacrylamide, 9003-05-8; sucrose, 122880-25-5, 57-50-1; Acrylamide; Polysaccharides; Sugars</t>
  </si>
  <si>
    <t>The authors thank Doña Panela, one of the emerging enterprises in the Colombian NCS production.</t>
  </si>
  <si>
    <t>Alarcón, Á.L., Orjuela, A., Narváez, P.C., Camacho, E.C., Thermal and Rheological Properties of Juices and Syrups during Non-centrifugal Sugar Cane (Jaggery) Production (2020) Food and Bioproducts Processing, 121, pp. 76-90; Asikin, Y., Takahashi, M., Mishima, T., Mizu, M., Takara, K., Wada, K., Antioxidant activity of sugarcane molasses against 2,2′-azobis(2- amidinopropane) dihydrochloride-induced peroxyl radicals (2013) Food Chemistry, 141 (1), pp. 466-472; Baker, D., Ecological panela production in Honduras: A lighter footprint for non-centrifugal sugar, Baker (2017) Cogent Food &amp; Agriculture, 3, pp. 1-18; Beeram, S., Morapakala, S., Deshmukh, S.S., Sunkara, P.R., Selection of suitable and sustainable clarificants and clarification method for non-centrifugal sugar production using MCE (2020) Materials Today: Proceedings, 28 (2), pp. 893-897; Chavan, J.K., Dalvi, U.S., Chavan, U.D., Isolation of lady's finger (okra) stem mucilage as clarificant in jaggery preparation (2007) Journal of Food Science and Technology, 44 (1), pp. 56-91. , https://www.researchgate.net/publication/289354341, Retrieved from; Doherty, W.O.S., Fellows, C.M., Gorjian, S., Senogles, E., Cheung, W.H., Flocculation and sedimentation of cane sugar juice particles with cationic homo- and copolymers (2003) Journal of Applied Polymer Science, 90 (1), pp. 316-325; García, J.M., Narváez, P.C., Heredia, F.J., Orjuela, Á., Osorio, C., Physicochemical and sensory (aroma and colour) characterisation of a non-centrifugal cane sugar (“panela”) beverage (2017) Food Chemistry, 228, pp. 7-13; Guerra, M.J., Mujica, M.V., Physical and chemical properties of granulated cane sugar “panelas” (2010) Ciência e Tecnologia de Alimentos, 30 (1), pp. 250-257; Guilherme, A.A., Dantas, P.V.F., Santos, E.S., Fernandes, F.A.N., Macedo, G.R., Evaluation of composition, characterization and enzymatic hydrolysis of pretreated sugar cane bagasse (2015) Brazilian Journal of Chemical Engineering, 32 (1), pp. 23-33; Guo, B., Wang, L.J., Li, B.G., Cao, X.Z., Zhang, Q.S., Li, P.X., Synthesis and characterization of fluorescent wood pulpcellulose derivative based on schiff base reaction (2016) Cellulose Chemistry and Technology, 50 (1), pp. 57-63; Gutiérrez-Mosquera, L.F., Arias-Giraldo, S., Ceballos-Peñaloza, A.M., Advances in traditional production of panela in Colombia: Analysis of technological improvements and alternatives (2018) Ingeniería y Competitividad, 20 (1), pp. 107-123; (2018), Harish Nayaka, M. A., Chikkappaiah, L., Venkatesh, K. S., Gunashree, B. S., &amp; Sudharshan, S. Evaluation of bioactivity of jaggery prepared using plant mucilage as clarificant. Asian Journal of Pharmaceutical and Clinical Research, 11/11, 294–299. 10.22159/ajpcr.2018.v11i11.22764; Jaffé, W.R., Health Effects of Non-Centrifugal Sugar (NCS): A Review (2012) Sugar Tech, 14 (2), pp. 87-94; Jegatheesan, V., Shu, L., Keir, G., Phong, D.D., (2012), https://doir.org, Evaluating membrane technology for clarification of sugarcane juice. Reviews in Environmental Science and Biotechnology, 11, 109–124. /10.1007/s11157-012-9271-1; Kuruba, E.K., Rao, P.V.K.J., Khokhar, D., Patel, S., Technologies for Preparation of Solid and Granular Jaggery: A Review (2020) Current Journal of Applied Science and Technology, 39 (30), pp. 105-113; Liu, Y., Liu, A., Ibrahim, S.A., Yang, H., Huang, W., Isolation and characterization of microcrystalline cellulose from pomelo peel (2018) International Journal of Biological Macromolecules, 111, pp. 717-721; (2019), Mading Makur, M., Duraisamy, R., &amp; Birhanu, T. Clarifying Capacity of Eco-Friendly Nano Cao and Okra(AbelmoschusEsculentus) Extract on the Processing of Sugarcane Juice: A Review. International Research Journal of Science and Technology, 1(1), 21–30. 10.46378/irjst.2019.010104; Mandal, A., Chakrabarty, D., Isolation of nanocellulose from waste sugarcane bagasse (SCB) and its characterization (2011) Carbohydrate Polymers, 86 (3), pp. 1291-1299; Moreno, L.M., Gorinstein, S., Medina, O.J., Palacios, J., Muñoz, E.J., Valorization of Garlic Crops Residues as Precursors of Cellulosic Materials (2019) Waste and Biomass Valorization, 11 (9), pp. 4767-4779; Nayaka, A., (2017), H. M., Chikkappaiah, L., P, M. M., &amp; Kumar M, P. G. Effect of Plant Mucilage Clarificants on Physical and Chemical Properties of Jaggery. International Journal of Recent Scientific Research, 8(10), 20663-20669. 10.24327/IJRSR; Owolabi, A.F., Haafiz, M.K.M., Hossain, M.S., Hussin, M.H., Fazita, M.R.N., Influence of alkaline hydrogen peroxide pre-hydrolysis on the isolation of microcrystalline cellulose from oil palm fronds (2017) International Journal of Biological Macromolecules, 95, pp. 1228-1234; Paredes-Astudillo, Y.A., Caballero-Villalobos, J.P., Design of a model of assignment of workers and operations that reduces the biomechanical danger in a panela productive unit of Colombia (2019) Advances in Intelligent Systems and Computing, 199-208; Pawar, D.A., Jadhav, M.S., Nimbalkar, C.A., Techniques and Advances in Jaggery Processing: A review (2017) Research Journal of Chemical and Environmental Sciences, 5 (2), pp. 14-20. , Www.aelsindia.com/rjces.htm, Retrieved from:; Prati, P., Moretti, R.H., Study of clarification process of sugar cane juice for consumption (2010) Ciencia e Tecnologia de Alimentos, 30 (3), pp. 776-783; R Core Team, R: A language and environment for statistical computing (2019), 2019, Accessed 1st April; Saavedra-Robinson, L.A., Robinson-Luque, V.S., Andrade-Castro, C.A., Molineros-Ospina, C.D., Anthropometric and Geometrical Analysis to Design an Ergonomic Prototype in Jaggery (Panela) Industry (2019) Advances in Intelligent Systems and Computing, 127-138; Sait, H.H., Hussain, A., Salema, A.A., Ani, F.N., Pyrolysis and combustion kinetics of date palm biomass using thermogravimetric analysis (2012) Bioresource Technology, 118, pp. 382-389; Saska, B.M., Zossi, B.S., Liu, H., Removal of colour in sugar cane juice clarification by defecation, sulfitation and carbonation (2010) International Sugar Journal, 112, pp. 258-266. , https://www.researchgate.net/publication/265924582, Retrieved from:; Shiralkar, K.Y., Kancharla, S.K., Shah, N.G., Mahajani, S.M., Energy improvements in jaggery making process (2014) Energy for Sustainable Development, 18, pp. 36-48; Singh, P., Shahi, H.N., Suman, A., Improving sugarcane juice clarification for jaggery manufacture (2007) Journal of Food Science and Technology, 44 (3), pp. 315-318. , https://www.researchgate.net/publication/294746576, Retrieved from; Sirvio, J., Hyvakko, U., Liimatainen, H., Niinimaki, J., Hormi, O., Periodate oxidation of cellulose at elevated temperatures using metal salts as cellulose activators (2011) Carbohydrate Polymers, 83 (3), pp. 1293-1297; Solís-Fuentes, J.A., Galán-Méndez, F., Hernández-Medel, M.D.R., García-Gómez, R.S., Bernal-González, M., Mendoza-Pérez, S., Durán-Domínguez-de-Bazúa, M.D.C., Effectiveness of bagasse activated carbon in raw cane juice clarification (2019) Food Bioscience, 32, p. 100437; Sun, J.X., Sun, X.F., Zhao, H., Sun, R.C., Isolation and characterization of cellulose from sugarcane bagasse (2004) Polymer Degradation and Stability, 84 (2), pp. 331-339; Verma, P., Shah, N.G., Mahajani, S.M., Effects of acid treatment in jaggery making (2019) Food Chemistry, 299, p. 125094; Verma, P., Shah, N.G., Mahajani, S.M., Why jaggery powder is more stable than solid jaggery blocks (2019) LWT. Food Science and Technology, 110, pp. 299-306; Verma, P., Shah, N., Mahajani, S., Effect of sodium hydrosulphite treatment on the quality of non-centrifugal sugar: Jaggery (2019) Food Chemistry, 299, p. 125043; Walter, M., Quezada-Moreno, F., Irenia, D., Ii, G.-A., Obtainment of Mucilaginous Plant Extrax for Clarification of Cane Juice (2016) Scielo, 34 (2), pp. 114-123. , https://www.researchgate.net/publication/277024288, Retrieved from</t>
  </si>
  <si>
    <t>Medina, O.; Grupo de Investigación en Química y Tecnología de Alimentos, Colombia; email: oscar.medina@uptc.edu.co</t>
  </si>
  <si>
    <t>2-s2.0-85113227047</t>
  </si>
  <si>
    <t>Galindo-Malagón X.A., Mondragón-F S.P., Morales I., Moreira F.F.F.</t>
  </si>
  <si>
    <t>57208100814;57190401659;35068587900;57211018400;</t>
  </si>
  <si>
    <t>New species, synonymies and records in the genus Rhagovelia Mayr, 1865 (Hemiptera: Heteroptera: Veliidae) from Colombia</t>
  </si>
  <si>
    <t>10.11646/zootaxa.5087.1.1</t>
  </si>
  <si>
    <t>https://www.scopus.com/inward/record.uri?eid=2-s2.0-85134439845&amp;doi=10.11646%2fzootaxa.5087.1.1&amp;partnerID=40&amp;md5=c269327e4a38cf92748a9fc614bbeef7</t>
  </si>
  <si>
    <t>Laboratorio de Entomología, Universidad Pedagógica y Tecnológica de Colombia, BY, Tunja, Colombia; Laboratório de Biodiversidade Entomológica, Instituto Oswaldo Cruz, Fundação Oswaldo Cruz, RJ, Rio de Janeiro, Brazil</t>
  </si>
  <si>
    <t>Galindo-Malagón, X.A., Laboratorio de Entomología, Universidad Pedagógica y Tecnológica de Colombia, BY, Tunja, Colombia; Mondragón-F, S.P., Laboratorio de Entomología, Universidad Pedagógica y Tecnológica de Colombia, BY, Tunja, Colombia; Morales, I., Laboratorio de Entomología, Universidad Pedagógica y Tecnológica de Colombia, BY, Tunja, Colombia; Moreira, F.F.F., Laboratório de Biodiversidade Entomológica, Instituto Oswaldo Cruz, Fundação Oswaldo Cruz, RJ, Rio de Janeiro, Brazil</t>
  </si>
  <si>
    <t>Rhagovelia medinae sp. nov., of the hambletoni group (angustipes complex), and R. utria sp. nov., of the hirtipes group (robusta complex), are described, illustrated, and compared with similar congeners. Based on the examination of type specimens, six new synonymies are proposed: R. elegans Uhler, 1894 = R. pediformis Padilla-Gil, 2010, syn. nov.; R. cauca Polhemus, 1997 = R. azulita Padilla-Gil, 2009, syn. nov., R. huila Padilla-Gil, 2009, syn. nov., R. oporapa Padilla-Gil, 2009, syn. nov, R. quilichaensis Padilla-Gil, 2011, syn. nov.; and R. gaigei, Drake &amp; Hussey, 1947 = R. victoria Padilla-Gil, 2012 syn. nov. The first record from Colombia is presented for R. trailii (White, 1879), and the distributions of the following species are extended in the country: R. cali Polhemus, 1997, R. castanea Gould, 1931, R. cauca Polhemus, 1997, R. gaigei Drake &amp; Hussey, 1957, R. elegans Uhler, 1894, R. femoralis Champion, 1898, R. malkini Polhemus, 1997, R. perija Polhemus, 1997, R. sinuata Gould, 1931, R. venezuelana Polhemus, 1997, R. williamsi Gould, 1931, and R. zeteki Drake, 1953. Copyright © 2022 Magnolia Press.</t>
  </si>
  <si>
    <t>Insecta; Neotropics; Rhagoveliinae; riffle bugs; taxonomy</t>
  </si>
  <si>
    <t>animal; Colombia; Hemiptera; Heteroptera; spider; Animals; Colombia; Hemiptera; Heteroptera; Spiders</t>
  </si>
  <si>
    <t>Universidad Pedagógica y Tecnológica de Colombia, UPTC; Conselho Nacional de Desenvolvimento Científico e Tecnológico, CNPq: 301942/2019-6; Fundação Carlos Chagas Filho de Amparo à Pesquisa do Estado do Rio de Janeiro, FAPERJ: -26/200.997/2020, -26/203.207/2017</t>
  </si>
  <si>
    <t>We thank ICN for providing research space and Dr. Fernando Fernández for his support during our work in this institution; the curators of the biological collections CEBUC (Lucimar Gomes and Camilo Llano), LimnoBase and Biotamar (CLUA035/ CEMUA230, Mario Londoño), CIUQ (Lorena García); and Drs. Carla F. B. Floriano and Thomas J. Henry for the photographs of male paratypes of R. cauca and R. gaigei deposited at the NMNH. We thank David Martínez for the photography of R. williamsi. This paper benefited from the useful comments of Drs. Robert W. Sites, Dan A. Polhemus and Higor D. D. Rodrigues.We also thank the Dirección de Investigaciones from the UPTC for the financial support to this work, with the project “La biodiversidad de Boyacá: complementación y síntesis a través de gradientes altitudinales e implicaciones de su incorporación en proyectos de apropiación social de conocimiento y de efectos de cambio climático”, suscrito en el Grupo de Investigación Biodiversidad y Conservación, en el departamento de Boyacá Código BPIN 2020000100003-Sistema General de Regalías-Código SGI 2975. Also to Parque Nacional Natural Ensenada Utría for collection authorization in National Natural Parks (No. 013 de 2018). FFFM benefited from grants provided by the Fundação Carlos Chagas Filho de Amparo à Pesquisa do Estado do Rio de Janeiro (#E-26/203.207/2017, #E-26/200.997/2020) and the Conselho Nacional de Desenvolvimento Científico e Tecnológico (301942/2019-6).</t>
  </si>
  <si>
    <t>Andersen, N.M., (1982) The Semiaquatic Bugs (hemiptera, gerromorpha) Phylogeny, Adaptations, Biogeography and Classification, p. 455. , Scandinavian Science Press, Klampenborg; Aristizábal-García, H.A., (2017) hemípteros acuaìticos y semiacuaìticos del neotroìpico, , Academia Colombiana de Ciencias Exactas, Fiìsicas y Naturales, Bogotaì, 984 601; Bacon, J.A., A taxonomic study of the genus Rhagovelia (Hemiptera, Veliidae) of the Western Hemisphere (1956) University of Kansas Science Bulletin, 38, pp. 695-913; Buzzetti, F.M., Cianferoni, F., Checklist of the Gerromorpha from Ecuador (Hemiptera: Heteroptera) (2011) Edessana, Beiträge zur Taxonomie, Faunistik und Ökologie insbesondere tropischer heteropteren, 1, pp. 117-125; Champion, G.C., Insecta. Rhynchota. (Hemiptera-Heteroptera) Biologia Centrali-Americana. Published for the editors by R. H. Porter, London, pp. i–xvi + 1–416. [pp. 1–32 (1897), pp. 33–192 (1898), 2. , (1897–1901) Goodwin, F. &amp; Salvin, O. (Eds), 193–304 (1899), 305–344 (1900), i–xvi 345–416 (1901)]; Cobos-Vallejo, J.R., Orozco-Cardona, A.F., Gómez-Marín, G.D., (2007) Caracterización de la flora y heterópteros acuáticos y semiacuáticos en ecosistemas lóticos de la Reserva Natural La Montaña del Ocaso, p. 52. , Centro de Estudios e Investigaciones en Biodiversidad y Biotecnología, Armenia; Cordeiro, I., Moreira, F., New distributional data on aquatic and semiaquatic bugs (Hemiptera: Heteroptera: Gerromorpha &amp; Nepomorpha) from South America (2015) Biodiversity Data Journal, 3, pp. 1-30. , https://doi.org/10.3897/BDJ.3.e4913; Damgaard, J., Phylogeny of the semiaquatic bugs (Hemiptera-Heteroptera, Gerromorpha) (2008) Insect Systematics &amp; Evolution, 39 (4), pp. 431-460. , https://doi.org/10.1163/187631208788784264; de Kort-Gommers, M., Nieser, N., Records of Antillean water-striders (Heteroptera) (1969) Studies on the Fauna of Curaçao and other Caribbean Islands, 30 (112), pp. 72-87; Dias-Silva, K., Moreira, F.F.F., Giehl, N.F.S., Noìbrega, C.C., Cabette, H.S.R., Gerromorpha (Hemiptera: Heteroptera) of eastern Mato Grosso State, Brazil: checklist, new records, and species distribution modeling (2013) Zootaxa, 3736 (3), pp. 201-235. , https://doi.org/10.11646/zootaxa.3736.3.1; Drake, C.J., Concerning some Tropical Rhagovelia (Hemiptera: Veliidae) (1948) Boletín de Entomología venezolana, 7 (3–4), pp. 141-144; Drake, C.J., New Neogaean Rhagovelia (Hemiptera: Veliidae) (1953) Proceedings of the Biological Society of Washington, 66, pp. 145-152; Drake, C.J., Hussey, R.F., Notes on some American Rhagovelia, with descriptions of two new species (Hemiptera, Veliidae) (1957) Occasional Papers of the Museum of Zoology University of Michigan, 580, pp. 1-9; Floriano, C.F.B., Moreira, F.F.F., A new species of Rhagovelia Mayr, 1865 (Hemiptera: Heteroptera: Veliidae) from Brazil (2015) Zootaxa, 4018 (3), pp. 437-443. , https://doi.org/10.11646/zootaxa.4018.3.7; Galindo-Malagón, X.A., Morales, I., Moreira, F.F.F., Revision of the Rhagovelia angustipes complex (Insecta: Hemiptera: Veliidae) from Colombia (2021) Zootaxa, 4958 (1), pp. 167-225. , https://doi.org/10.11646/zootaxa.4958.1.11; Giehl, N., Cabette, H., Dias-Silva, K., Juen, L., Moreira, F., de Castro, L., Ferreira, V., Batista, J., Variation in the diversity of semiaquatic bugs (Insecta: Heteroptera: Gerromorpha) in altered and preserved veredas (2020) hydrobiologia, 847, pp. 3497-3510. , https://doi.org/10.1007/s10750-020-04364-1; Gould, G.E., The Rhagovelia of the Western Hemisphere, with notes on World distribution (Hemiptera, Veliidae) (1931) University of Kansas Science Bulletin, 20, pp. 5-61. , https://doi.org/10.5962/bhl.part.19193; Hungerford, H.B., Some Venezuelan aquatic Hemiptera (1944) Zoologica, 29 (1–6), p. 129. , https://doi.org/10.5962/p.203569; Kirkaldy, G.W., De La Torre Bueno, J.R., A catalogue of American aquatic and semi-aquatic Hemiptera (1908) Proceedings of the Entomological Society of Washington, 10, pp. 173-215. , https://biostor.org/reference/58168; Magalhães, O.M., Moreira, F.F.F., Galvão, C., A new species of Rhagovelia Mayr, 1865 (Hemiptera: Heteroptera: Veliidae) from Pará State, with an updated key to Brazilian species of the robusta group (2016) Zootaxa, 4171 (3), pp. 586-594. , https://doi.org/10.11646/zootaxa.4171.3.12; MagalhaÞes, O.M., (2019) RelaçoÞes entre fatores ambientais e dimorfismos alar e sexual em Rhagovelia robusta gould, 1931 (Insecta: hemiptera: veliidae), , https://sigaa.ufrrj.br/sigaa/public/programa/noticias_desc.jsf?lc=pt_BR&amp;id=7546&amp;noticia=1598738, Master thesis, Universidade Federal Rural do Rio de Janeiro, Rio de Janeiro. (accessed on: 2021-07-22); Manzano, M., Nieser, N., Caicedo, G., Lista preliminar de heteroìpteros acuaìticos en la Isla de Gorgona y Llanura del Paciìfico (1995) Biblioteca Joseì Jeroìnimo Triana, Instituto de Ciencias Naturales, Colombia, 11, pp. 47-72; Mazzucconi, S.A., López-Ruf, M.L., Bachmann, A.O., Hemiptera—Heteroptera: Gerromorpha y Nepomorpha (2009) Macroinvertebrados bentónicos sudamericanos. Sistemática y Biología, p. 656. , Domínguez, E. &amp; Fernández, H.R. (Eds), Fundación Miguel Lillo, Tucumán; Molano, F., Morales, I., Moreira, F.F.F., Two new species and key to the salina group of the genus Rhagovelia Mayr, 1865 (Hemiptera: Heteroptera: Veliidae) from Colombia (2018) Zootaxa, 4457 (2), pp. 305-314. , https://doi.org/10.11646/zootaxa.4457.2.6; Morales-Castaño, I., Molano-Rendón, F., Heterópteros acuáticos del Quindío (Colombia): los infraórdenes Gerromorpha y Nepomorpha (2008) Revista Colombiana de Entomología, 34 (1), pp. 121-128; Moreira, F.F.F., Veliidae (2021), https://fauna.jbrj.gov.br/fauna/faunadobrasil/2377, CatálogotaxonômicodafaunadoBrasil.ProgramadasNaçõesUnidasparaoDesenvolvimento, Brasília, Brazil. (accessed 12 March 2021); Moreira, F.F.F., Barbosa, J., A new Rhagovelia (Hemiptera: Heteroptera: Veliidae) from the Brazilian Amazon, with a key to species of the robusta group known from the country (2014) Zootaxa, 3790 (4), pp. 595-600. , https://doi.org/10.11646/zootaxa.3790.4.8; Moreira, F.F.F., Campos, G.G.F., New distributional data concerning some Gerromorpha (Insecta: Hemiptera: Heteroptera) from Brazil (2012) Check List, 8, pp. 542-547. , https://doi.org/10.15560/8.3.542; Moreira, F.F.F., Ribeiro, J.R.I., Two new Rhagovelia (Heteroptera: Veliidae) and new records for twelve species in southeastern Brazil (2009) Aquatic Insects, 31, pp. 45-61. , https://doi.org/10.1080/01650420802444449; Moreira, F.F.F., Barbosa, J.F., Ribeiro, J.R.I., Veliidae (Insecta, Heteroptera, Gerromorpha) from southeastern Brazil: three new species from Rio de Janeiro State, a new species group for neotropical Rhagovelia Mayr, and notes on distribution and synonymy (2012) Revista Brasileira de Entomologia, 56, pp. 147-158. , https://doi.org/10.1590/S0085-56262012005000023; Moreira, F.F.F., Barbosa, J.F., Ribero, J.R.I., Alecrim, V.P., Checklist and distribution of semiaquatic and aquatic Heteroptera (Gerromorpha and Nepomorpha) occurring in Brazil (2011) Zootaxa, 2958 (1), pp. 1-74. , https://doi.org/10.11646/zootaxa.2958.1.1; Moreira, F.F.F., Nessimian, J.L., Ruìdio, J.A., Salles, F.F., New species and new records of Veliidae from Espiìrito Santo State and adjacent Minas Gerais State, Brazil, with notes on nomenclature (Insecta: Heteroptera: Veliidae) (2010) Journal of Natural history, 44, pp. 2761-2801. , https://doi.org/10.1080/00222933.2010.512423; Moreira, F.F.F., Pacheco-Chaves, B., Springer, M., Cordeiro, I.R.S., Two new species of Rhagovelia (Hemiptera: Heteroptera: Veliidae) from Costa Rica, with a key and new records from the country (2015) Zootaxa, 3980 (4), pp. 477-500. , https://doi.org/10.11646/zootaxa.3980.4.2; Moreira, F.F.F., Rodrigues, H.D.D., Barbosa, J.F., Reduciendo-Klementovaì, B., Svitok, M., New records of Gerromorpha and Nepomorpha (Insecta: Hemiptera: Heteroptera) from South America (2016) Biodiversity Data Journal, 4, p. e7975. , https://doi.org/10.3897/BDJ.4.e7975; Moreira, F.F.F., Rodrigues, H.D.D., Sites, R.W., Rocha, I.R.S., MagalhaÞes, O.M., Order Hemiptera (2018) Thorp and Covich’s Freshwater Invertebrates, III, pp. 175-216. , https://doi.org/10.1016/B978-0-12-804223-6.00007-X, Hamada, N., Thorp, J.H. &amp; Rogers, D.C. (Eds), 4th Edition. Keys to Neotropical hexapoda. Academic Press, London, San Diego, Cambridge, Oxford; Moreno, C., Molina, W., Barbosa, J.F., Moreira, F.F.F., Aquatic and semiaquatic bugs (Insecta, Hemiptera, Heteroptera) from Toluviejo Municipality, Sucre Department, Caribbean region of Colombia (2018) Check List, 14, pp. 985-1002. , https://doi.org/10.15560/14.6.985; Padilla-Gil, D.N., Three new species of Rhagovelia in the R. armata group (Heteroptera: Veliidae) from Colombia (2009) Aquatic Insects, 31, pp. 199-211. , https://doi.org/10.1080/01650420902797993; Padilla-Gil, D.N., Five new species of Rhagovelia in the cali group from Colombia (Heteroptera: Veliidae) (2009) Tijdschrift voor Entomologie, 152, pp. 291-301. , https://doi.org/10.1163/22119434-900000281; Padilla-Gil, D.N., A new species of Rhagovelia in the R. elegans group from Colombia (Heteroptera: Veliidae) (2010) Aquatic Insects, 32, pp. 293-297. , https://doi.org/10.1080/01650424.2010.533128; Padilla-Gil, D.N., Two new species of Rhagovelia in the salina group from Colombia (Hemiptera: Heteroptera: Veliidae) (2010) Zootaxa, 2621 (1), pp. 63-68. , https://doi.org/10.11646/zootaxa.2621.1.4; Padilla-Gil, D.N., A new Rhagovelia in the armata group from Colombia (Hemiptera: Heteroptera: Veliidae) (2011) Zootaxa, 2784 (1), pp. 33-38. , https://doi.org/10.11646/zootaxa.2784.1.3; Padilla-Gil, D.N., Four new species of Rhagovelia in the robusta group from Colombia (Hemiptera: Heteroptera: Veliidae) (2011) Zootaxa, 2975 (1), pp. 35-46. , https://doi.org/10.11646/zootaxa.2975.1.3; Padilla-Gil, D.N., Ten new species of Rhagovelia in the R. angustipes complex from Colombia (Heteroptera: Veliidae) (2011) Aquatic Insects, 33, pp. 203-231. , https://doi.org/10.1080/01650424.2011.597404; Padilla-Gil, D.N., Two new species of Rhagovelia from Colombia (Hemiptera: Heteroptera: Veliidae) with revised keys to the Colombian species in the torquata and robusta groups (2012) Zootaxa, 3251 (1), pp. 57-63. , https://doi.org/10.11646/zootaxa.3251.1.4; Padilla-Gil, D.N., Nuevos registros y ampliación de la distribución de heterópteros acuáticos en Colombia (Hemiptera, Heteroptera) (2013) Acta Biológica Colombiana, 18 (2), pp. 391-400; Padilla-Gil, D.N., New records of aquatic Heteroptera (Hemiptera) from the Andean foothills of the Amazonia (Putumayo, Colombia) (2014) Revista Colombiana de Entomologiìa, 40 (2), pp. 230-234; Padilla-Gil, D.N., Gerromorpha y Nepomorpha (Heteroptera) del Pacífico de Colombia: lista de especies, distribución geográfica y altitudinal (2015) Biota Colombiana, 16, pp. 20-35; Padilla-Gil, D.N., Ten new species of Rhagovelia in the angustipes complex (Hemiptera: Heteroptera: Veliidae) from Colombia, with a key to the Colombian species (2015) Zootaxa, 4059 (1), pp. 71-95. , https://doi.org/10.11646/zootaxa.4059.1.4; Padilla-Gil, D.N., Nuevos registros de Heteroptera (Hemiptera) acuáticos y semiacuáticos de Colombia (2016) Biota Colombiana, 17 (2), pp. 39-46. , https://doi.org/10.21068/c2016.v17n02a04; Padilla-Gil, D.N., Composición y estructura de heterópteros (Hemiptera) en ecosistemas lóticos costeros del Pacífico colombiano (2017) Actualidades Biológicas, 39 (107), pp. 51-57. , https://doi.org/10.17533/udea.acbi.v39n107a06; Padilla-Gil, D.N., Diversidad del geìnero Rhagovelia (Hemiptera: Heteroptera: Veliidae) del Piedemonte Andino-Amazoìnico (Putumayo, Colombia) (2019) Acta Bioloìgica Colombiana, 24, pp. 174-179. , https://doi.org/10.15446/abc.v24n1.66352; Padilla-Gil, D.N., Nuevas especies de Rhagovelia, Microvelia, Buenoa. Registros nuevos de otros heteroìpteros de Colombia (gerromorpha, Nepomorpha, Leptopodomorpha) (2019), p. 242. , Editorial Acadeìmica EspanÞola, Beau Bassin; Padilla-Gil, D.N., Heterópteros acuáticos y semiacuáticos asociados al bosque seco del Patía, suroeste de Colombia (2020) Biota Colombiana, 21 (2), pp. 15-20. , https://doi.org/10.21068/c2020.v21n02a01; Padilla-Gil, D.N., Moreira, F.F.F., Checklist, taxonomy and distribution of the Rhagovelia Mayr, 1865 (Hemiptera: Heteroptera: Veliidae) of the Americas (2013) Zootaxa, 3640, pp. 409-424. , https://doi.org/10.11646/zootaxa.3640.3.5; Parra-Trujillo, Y., Padilla-Gil, D.N., Reinoso-Floìrez, G., Diversidad y distribucioìn de Rhagovelia (Hemiptera: Veliidae) del departamento del Tolima (2014) Revista de la Asociacioìn Colombiana de Ciencias, 26, pp. 79-85; Pereira, D.L.V., Melo, A.L., Aquatic and semiaquatic Heteroptera (Insecta) from Pitinga, Amazonas, Brazil (2007) Acta Amazonica, 37 (4), pp. 643-648. , https://doi.org/10.1590/S0044-59672007000400021; Polhemus, D.A., (1997) Systematics of the genus Rhagovelia Mayr (heteroptera: velliidae) in the Western hemisphere (exclusive of the angustipes complex), p. 386. , Entomological Society of America, Lanham; Polhemus, J., Manzano, M.R., Marine Heteroptera of the Eastern Tropical Pacific (Gelastocoridae, Gerridae, Mesoveliidae, Saldidae, Veliidae) (1992) Insects of Panamaì and Mesoamerica. Selected Studies, pp. 302-320. , Quintero, D. &amp; Aiello, A. (Eds), Oxford University Pressa, Oxford, New York and Tokyo; Polhemus, J.T., Polhemus, D.A, Studies on Neotropical Veliidae (Hemiptera) VIII: new species and notes (1985) Pan-Pacific Entomologist, 61, pp. 163-169; Polhemus, J.T., Polhemus, D.A., Global diversity of true bugs (Heteroptera; Insecta) in freshwater (2008) hydrobiologia, 595, pp. 379-391. , https://doi.org/10.1007/s10750-007-9033-1; (2020) QGIS Geographic Information System, , http://qgis.osgeo.org, Open Source Geospatial Foundation Project. (accessed 22 November 2021); Rodrigues, J., Crumiére, A., Morales, I., Khila, A., Moreira, F., Description of a new species and new records of Gerromorpha (Insecta: Hemiptera: Heteroptera) from Panama and Colombia (2021) Zootaxa, 4958 (1), pp. 226-251. , https://doi.org/10.11646/zootaxa.4958.1.12, Mondragón-F; Uhler, P.R., On the Hemiptera-Heteroptera of the island of Grenada, West Indies (1894) Proceedings of the Zoological Society of London, 1894, pp. 167-224; White, F.B., List of the Hemiptera collected in the Amazons by Prof. J. W. H. Trail, M.A., M.D., in the years 1873-1875, with descriptions of the new species (1879) Transactions of the Entomological Society of London, 4, pp. 267-276</t>
  </si>
  <si>
    <t>2-s2.0-85134439845</t>
  </si>
  <si>
    <t>García C.V.M., Palomino N.B.L.S.</t>
  </si>
  <si>
    <t>57884001300;57570233000;</t>
  </si>
  <si>
    <t>Technological Management Knowledge Model for the process of improving the creation of knowledge in information Units [Modelo de Gestión Tecnológica del Conocimiento para el proceso de mejora de la generación del conocimiento en unidades de información]</t>
  </si>
  <si>
    <t>Encontros Bibli</t>
  </si>
  <si>
    <t>10.5007/1518-2924.2022.e85734</t>
  </si>
  <si>
    <t>https://www.scopus.com/inward/record.uri?eid=2-s2.0-85137697223&amp;doi=10.5007%2f1518-2924.2022.e85734&amp;partnerID=40&amp;md5=00acfbb29ac51aac2156ee4c349a3917</t>
  </si>
  <si>
    <t>Licenciada en Bibliotecología y Ciencias de la Información, Universidad de Lima, Lima, Lima, Peru; Doctor en Informática – Profesor titular, Universidad Nacional Mayor de San Marcos, Lima, Lima, Peru</t>
  </si>
  <si>
    <t>García, C.V.M., Licenciada en Bibliotecología y Ciencias de la Información, Universidad de Lima, Lima, Lima, Peru; Palomino, N.B.L.S., Doctor en Informática – Profesor titular, Universidad Nacional Mayor de San Marcos, Lima, Lima, Peru</t>
  </si>
  <si>
    <t>Objective: research presented in this article proposes and validates a Technological Knowledge Management model, which is based on main existing knowledge management models, in order to improve knowledge processes, specifically in information units. The model consists of three components: a) knowledge management activities, b) technological platform, and c) organizational knowledge. Methods: non-experimental, cross-sectional, descriptive and applicative research. For the model validation, an information unit of a Peruvian university was selected, where a questionnaire with questions associated with each component of the model was applied to workers of that unit. Results: results showed current state management of Technological Management Knowledge in the Unit, and in general it can be concluded that they were quite satisfactory. In Knowledge Management section, it is concluded that, those who work in the Unit know and apply a 75% of activities of this model component; while in the second section, technological tools use as support for knowledge management, apply an 80% of second component. In third section, about organizational knowledge related to technological innovation tasks, answers showed a 71% application of third component. However, it can be observed that in some questions asked, they show average levels in answers that could be improved. Conclusions: the Technological Knowledge Management Model made possible to recognize knowledge generation process and identify ideal technological tools that support know-how originated in organizations. Also integrate them through technological platform component to adequately relate socialization activities, exteriorization, combination and interiorization, involving technologies and innovation in this process. © 2022, Universidade Federal de Santa Catarina. All rights reserved.</t>
  </si>
  <si>
    <t>Academic libraries; Information and Communication Technologies; Know-how transfer; Knowledge management</t>
  </si>
  <si>
    <t>ABUBAKAR, A., Knowledge management, decision-making style and organizational performance (2019) Journal of Innovation &amp; Knowledge, 4, pp. 104-114. , https://doi.org/10.1016/j.jik.2017.07.003, Disponible en&gt;. Acceso en: 20 mayo 2022; AGUDELO, Erica, VALENCIA, Alejandro, La gestión del conocimiento, una política organizacional para la empresa de hoy (2018) Ingeniare: Revista Chilena de Ingeniería, 26 (4), pp. 673-684. , https://scielo.conicyt.cl/pdf/ingeniare/v26n4/0718-3305-ingeniare-26-04-00673.pdf, Disponible en: Acceso en: 15 oct. 2021; ALAVI, Maryam, LEIDNER, Dorothy, Review: knowledge management and knowledge management systems: conceptual foundations and research issues (2001) MIS Quarterly, 25 (1), pp. 107-136. , https://doi.org/10.2307/3250961, Acceso en: 18 mayo 2022; ARBAIZA, Lydia, (2014) Cómo elaborar una tesis de grado, , Lima: Universidad ESAN; ARCEO, Gerardo, (2009) El impacto de la gestión del conocimiento y las tecnologías de información en la innovación: un estudio en las pymes del sector agroalimentario de Cataluña, , http://www.eumed.net/tesis-doctorales/2010/gam/gam.pdf, Tesis (Doctorado en Administración y Dirección de Empresas) Departamento de Organización de Empresas, Universidad Politécnica de Cataluña, Barcelona, Disponible en: Acceso en: 25 ago. 2021; AVENDAÑO, Víctor, FLORES, Matilde, Modelos teóricos de gestión del conocimiento: descriptores, conceptualizaciones y enfoques (2016) Entreciencias: Diálogos en la Sociedad del Conocimiento, 4 (10), pp. 201-227. , http://revistas.unam.mx/index.php/entreciencias/article/view/62127, Disponible en: Acceso en: 21 dic. 2021; BANDERA, C., Knowledge management and the entrepreneur: Insights from Ikujiro Nonaka's Dynamic Knowledge Creation model (SECI) (2017) International Journal of Innovation Studies, 1 (3), pp. 163-174. , https://doi.org/10.1016/j.ijis.2017.10.005, dic. Acceso en: 17 mayo 2022; BATTISTUTTI, Osvaldo, BORK, Dominik, Tacit to explicit knowledge conversion (2017) Cognitive Processing, 18, pp. 461-477; BECERRA, Irma, SABHERWAL, Rajiv, Organizational knowledge management: A contingency perspective (2001) Journal of Management Information Systems, 18 (1), pp. 23-55. , https://doi.org/10.1080/07421222.2001.11045676, Disponible en&gt;. Acceso en: 18 mayo 2022; BETTIOL, Marco, DI MARIA, Eleonora, MICELLI, Stefano, Industry 4.0 and Knowledge Management: An Introduction (2020) Knowledge management and industry 4.0: new paradigms for value creation, pp. 1-18. , En: BETTIOL, M.; DI MARIA, E.; MICELLI, S. (eds). Cham: Springer; BLANCO, Tatiana, ARCHILA, Diana, Gestión de conocimiento aplicado al Grupo Bibliotecas e Información UPTC (2014) Revista Praxis, 10 (1), pp. 146-164. , http://revistas.unimagdalena.edu.co/index.php/praxis/article/view/1366, Disponible en: Acceso en: 21 dic. 2021; CALVO, Omaira, La gestión del conocimiento en las organizaciones y las regiones: una revisión de la literatura (2018) Tendencias, 19 (1), pp. 140-163. , https://revistas.udenar.edu.co/index.php/rtend/article/view/3956, enero-jun., Disponible en: &lt;&lt;Acceso en: 25 ago. 2021; COAQUIRA, Carlos, Modelo para la mejora del desempeño organizacional a través de las prácticas de la gestión de la calidad, gestión del conocimiento y liderazgo transformacional en una universidad privada (2018) Revista de Investigación Apuntes Universitarios, 8 (3), pp. 57-76. , https://apuntesuniversitarios.upeu.edu.pe/index.php/revapuntes/article/view/331, Disponible en: Acceso en: 25 ago. 2021; CRUZ, Cláudia, NAGANO, Marcelo, Gestão do conhecimento e sistemas de informação: uma análise sob a ótica da teoria de criação do conhecimento (2008) Perspectivas em Ciência da Informação, 13 (2), pp. 88-106. , https://doi.org/10.1590/S1413-99362008000200008, Acceso en: 17 mayo 2022; DÁVIDEKOVÁ, M., Knowledge management-enabling technologies: a supplementary classification (2020) Acta Informatica Pragensia, 9 (1), pp. 30-47. , https://doi.org/10.18267/j.aip.130, Acceso en: 20 mayo 2022; DEMUNER, María, NAVA, Rosa, Gestión del conocimiento al interior de las instituciones de educación superior (2018) GECONTEC: Revista Internacional de Gestión del Conocimiento y la Tecnología, 6 (1), pp. 68-81. , https://www.upo.es/revistas/index.php/gecontec/article/view/2548, Disponible en: Acceso en: 15 oct. 2021; DIAZ, B., (2012) Gestión tecnológica del conocimiento, , Tesis (Maestría en Gerencia Empresarial) Facultad de Administración, Universidad Privada Dr. Rafael Belloso Chacín, Maracaibo; ESTERHUIZEN, D., SCHUTTE, C., TOIT, A., Knowledge creation processes as critical enablers for innovation (2012) International Journal of Information Management, 32. , https://doi.org/10.1016/j.ijinfomgt.2011.11.013, Acceso en: 20 mayo 2022; FARNESE, H., Managing knowledge in organizations: a Nonaka’s SECI Model Operationalization (2019) Frontiers in Psychology, 10. , https://doi.org/10.3389/fpsyg.2019.02730, Acceso en: 20 mayo 2022; FLORES, Julio, La gestión del conocimiento y las herramientas colaborativas: una alternativa de aplicación en instituciones de educación superior (2010) Revista de Investigación, 34 (71), pp. 11-32. , https://www.redalyc.org/pdf/3761/376140386001.pdf, Disponible en: Acceso en: 21 ene. 2022; GAITÁN, H., Relación entre las variables del conocimiento organizacional y el resultado de los objetivos organizacionales en una compañía manufacturera (2018) Espacios, 39 (16). , https://www.revistaespacios.com/a18v39n16/a18v39n16p05.pdf, Disponible en: Acceso en: 21 dic. 2021; GIERSZEWSKA, Grażyna, The Japanese Model of Knowledge Management (2012) Foundations of Management, 4 (1), pp. 7-16. , https://doi.org/10.2478/fman-2013-0001, Acceso en: 25 mayo 2022; GONZÁLEZ, Heber, La inteligencia tecnológica (IT) en convergencia con la gestión del conocimiento (KM) para la innovación tecnológica (2011) Ide@s CONCYTEG, 6 (73), pp. 863-873; GUTIERREZ, Giovanni, Gestión del conocimiento en educación en respuesta a las tendencias del pensamiento dominantes en la escuela (2019) Revista Complutense de Educación, 30 (1), pp. 245-259. , https://revistas.ucm.es/index.php/RCED/article/view/57166, Disponible en: Acceso en: 25 ago. 2021; IBARRA, Manuel, VELA, Juan, RÍOS, Erio, Capital intelectual, gestión del conocimiento y desempeño en universidades (2020) Investigación Administrativa, 49 (126). , http://www.scielo.org.mx/pdf/ia/v49n126/2448-7678-ia-49-126-00006.pdf, julio-diciembre, Disponible en: Acceso en: 13 oct. 2021; MAFRA, Frederico, RODRIGUES, Ricardo, DUARTE, Leonora, Integração entre gestão do conhecimento e business process management: perspectivas de profissionais em BPM (2020) Perspectivas em Ciência da Informação, 25 (4), pp. 170-191. , http://dx.doi.org/10.1590/1981-5344/4088, Acceso en: 20 mayo 2022; MARIÑO, Sonia, Tecnologías de la información y comunicación (TIC) para el apoyo de procesos de gestión del conocimiento en aulas virtuales (2018) Revista Educación en Ingeniería, 13 (26), pp. 77-81. , https://educacioneningenieria.org/index.php/edi/article/view/919, febrero-agosto, Disponible en: Acceso en: 13 oct. 2021; MONTOYA, Carmen, (2017) Gestión tecnológica del conocimiento en Unidades de Información de administración y negocios, para la mejora del proceso de generación del conocimiento: caso ESAN/Cendoc, , https://cybertesis.unmsm.edu.pe/handle/20.500.12672/6488, Tesis (Maestría en Gestión de la Información y del Conocimiento) Facultad de Ingeniería de Sistemas e Informática, Universidad Nacional Mayor de San Marcos, Lima, Disponible en: Acceso en: 25 ago. 2021; MORAES, Roberta, ROSSI, Tatiana, Ferramentas de Tecnologia da Informação e Comunicação como suporte ao processo de Gestão do Conhecimento: uma análise das ferramentas da BU/UFSC à luz do framework GC@BU (2021) RDBCI: Revista Digital de Biblioteconomia e Ciência da Informação, 19, pp. 1-18. , https://doi.org/10.20396/rdbci.v19i00.8665270, Acceso en: 25 mayo 2021; MORALES, N., Escala de Likert: una herramienta económica (2016) Administración y Recursos Humanos, 1 (1); MUÑOZ, Carlos, (2011) Cómo elaborar y asesorar una investigación de tesis, , 2. ed. México, DF: Pearson Educación; NONAKA, Ikujiro, Organizational knowledge creation theory: a first comprehensive test (1994) International Business Review, 3 (4), pp. 337-351. , https://doi.org/10.1016/0969-5931(94)90027-2, dic., Acceso en: 13 oct. 2021; NONAKA, Ikujiro, TAKEUCHI, Hirotaka, (1995) Organización creadora de conocimiento: cómo las compañías japonesas crean la dinámica de la innovación, , México, DF: Oxford University; PANIAGUA, E., (2007) La gestión tecnológica del conocimiento, , Murcia: Universidad de Murcia; PASSAILLAIGUE, Roberto, ESTRADA, Vivian, La gestión del conocimiento y el aprendizaje organizacional en instituciones de educación superior (2016) GECONTEC: Revista Internacional de Gestión del Conocimiento y la Tecnología, 4 (2), pp. 35-43. , https://www.upo.es/revistas/index.php/gecontec/article/view/2273, Disponible en: Acceso en: 13 oct. 2021; PEÑA, Tania, Contribución de las unidades de información en las redes organizacionales (2006) Revista Venezolana de Gerencia, 11 (36), pp. 531-539. , http://ve.scielo.org/scielo.php?script=sci_arttext&amp;pid=S1315-99842006000400002, Disponible en: Acceso en: 25 ago. 2021; PUDJIARTI, Emiliana, LISDIYONO, Edy, WERDININGSIH, Rini, Knowledge management to develop comprehensive networking of university-industry collaboration in technology and innovation performance (2022) International Journal of Data and Network Science, 6 (2), pp. 461-468. , http://dx.doi.org/10.5267/j.ijdns.2021.12.008, Acceso en: 29 mayo 2022; RAZI, M., Antecedents of knowledge management practices: case of Malaysian practitioners (2018) Bulletin of Electrical Engineering and Informatics, 7 (1), pp. 125-133. , https://doi.org/10.11591/eei.v7i1.900, Disponible en: Acceso en: 29 mayo 2022; SARKA, P., Future research on information technology in knowledge management (2019) Knowledge and Process Management, 26 (3), pp. 1-20. , https://doi.org/10.1002/kpm.1601, jul.-sept., Acceso en: 20 mayo 2022; TIMANÁ, Juan, (2017) Anatomía de una tesis de investigación cuantitativa, , Lima: Universidad ESAN; TORRES, Karla, LAMENTA, Paola, La gestión del conocimiento y los sistemas de información en las organizaciones (2015) Revista Científica Electrónica de Ciencias Gerenciales, 32 (11), pp. 3-20. , https://www.redalyc.org/pdf/782/78246590001.pdf, Disponible en: Acceso en: 22 mayo 2022</t>
  </si>
  <si>
    <t>Encontro. Bibl.</t>
  </si>
  <si>
    <t>2-s2.0-85137697223</t>
  </si>
  <si>
    <t>Fernández R.L., Borges T.C., Hurtado E.C., Gálvez S.S.</t>
  </si>
  <si>
    <t>56729894400;57218378446;57487178000;57211392003;</t>
  </si>
  <si>
    <t>THE LATIN AMERICAN UNIVERSITY IN THE SECOND HALF OF THE 20TH CENTURY [LA UNIVERSIDAD LATINOAMERICANA EN LA SEGUNDA MITAD DEL SIGLO XX]</t>
  </si>
  <si>
    <t>https://www.scopus.com/inward/record.uri?eid=2-s2.0-85126291359&amp;partnerID=40&amp;md5=9febbcea0c0e29058401769a52090a4d</t>
  </si>
  <si>
    <t>Convenio Universidad Metropolitana del Ecuador, Universidad de Cienfuegos “Carlos Rafael Rodríguez”, Cuba; Universidad Central “Marta Abreu” de las Villas, Santa Clara, Cuba; Universidad de Guayaquil, Ecuador</t>
  </si>
  <si>
    <t>Fernández, R.L., Convenio Universidad Metropolitana del Ecuador, Universidad de Cienfuegos “Carlos Rafael Rodríguez”, Cuba; Borges, T.C., Universidad Central “Marta Abreu” de las Villas, Santa Clara, Cuba; Hurtado, E.C., Universidad Central “Marta Abreu” de las Villas, Santa Clara, Cuba; Gálvez, S.S., Universidad de Guayaquil, Ecuador</t>
  </si>
  <si>
    <t>he reforms it of the university once was”. initiated in in town Argentine he had of Córdoba in 1918 a continental repercussion in the century’s first half XX; the new ideas went beyond the university’s walls in Perú, Ecuador and Cuba and they had an effect on political ideas and these countries’s revolutionists. the century’s half, the political processes radicalized in the universities in the second best, and in the event of Cuba, they attained the power and immediately they started a university reform that he was loving one another with a triumphant revolution’s conceptions; same as with Córdoba’s reform, the new ideas radiated to the continent and the ideological fights inside the universities he turned into confrontations among revolution and repression. © 2022, University of Cienfuegos, Carlos Rafael Rodriguez. All rights reserved.</t>
  </si>
  <si>
    <t>Cuba’s Revolution; He reforms of the university; History; History of the universities; Latin America’s universities</t>
  </si>
  <si>
    <t>Barreto Vaquero, D., (2010) Momentos en la historia de la autonomía universitaria en el Ecuador.”.”. Universidad Central del Ecuador; Callejas Opisso, S., Loyola Vega, O., Díaz Pendás, H., López Civeira, F., Rodríguez Ben, J. A., (2011) Historia de Cuba Nivel Medio Superior, , Pueblo y Educación; Castro Ruz, F., (1960) La Historia me absolverá, , Pueblo y Educación; Escárzaga, F., Auge y caída de sendero luminoso (2001) Bajo el Volcán, 2 (3), pp. 75-97; González González, J. P., Reyez Velázquez, R., Desarrollo de la Educación en Cuba después del año 1959 (2010) Revista Complutense de Educación, 21 (1), pp. 13-35; Guadarrama González, P., Etapas principales de la educación superior en cuba (2005) Rhela, 7, pp. 49-72; Guevara de la Serna, E., Reforma universitaria y revolución. Obras completas.”.” (1959), Editora Política; Guevara de la Serna, E., (1959) Discurso pronunciado en la Universidad Central de Las Villas, con motivo del otorgamieto del título de Doctor Honoris Causa, , Editorial de la UCLV; Hart Dávalos, A., Política Educacional (1959) Humanismo, p. 361; Luciani, L., Movimientos estudiantiles latinoamericanos en los años sesenta (2019) Historia Memoria, (18), pp. 77-111; Marsiske, R., La juventud desinteresada y pura: el movimiento estudiantil en la Universidad de Córdoba, Argentina, 1918 (2018) Perfiles educativos, 40 (161), pp. 196-215; Martínez Ruesta, M. F., El MLN-Tupamaros y las acciones de secuestro. Los signos tras los actos (2019) Revista Electrónica de Estudios Latinoamericanos, 17 (67), pp. 45-58; Pérez Cruz, F.J., La Campaña Nacional de Alfabetización en Cuba (2011) VARONA, Revista Científico-Metodológica, (53), pp. 10-23; (1989) Violencia Política en el Perú, , https://www2.congreso.gob.pe/sicr/cendocbib/con4_uibd.nsf/0DD72E3AC43606DC05257BE9006D9BAD/$FILE/1_pdfsam_desco00002.pdf, Tomo I. Centro de Estudios y Promoción del Desarrollo. DESCO; Raggio, S., (2004) La Noche de los Lápices. Historia y memoria. Comisión Provincial por la Memoria.”.”, , https://www.comisionporlamemoria.org/archivos/educacion/noche-de-los-lapices/dossier-noche-de-los-lapices.pdf; Sierra Socorro, J. J., Córdoba: reforma universitaria, repercusión, legado y la impronta del modelo neoliberal en América latina (2019) Revista Mendive, 17 (1), pp. 140-154; (2016) 2006-2016: Las transformaciones en la escena educacional chilena, , https://www.uchile.cl/noticias/121706/2006-2016-las-transformaciones-en-la-escena-educacional-chilena, Universidad de Chile</t>
  </si>
  <si>
    <t>2-s2.0-85126291359</t>
  </si>
  <si>
    <t>Universidad Pedagógica y Tecnológica de Colombia, Tunja, Colombia</t>
  </si>
  <si>
    <t>Varela D., Aguilar J., Monsalve-Pulido J., Montoya E.</t>
  </si>
  <si>
    <t>57222139335;55434810600;57147859400;24824872900;</t>
  </si>
  <si>
    <t>Analysis of Meta-Features in the Context of Adaptive Hybrid Recommendation Systems</t>
  </si>
  <si>
    <t>Proceedings - 2022 48th Latin American Computing Conference, CLEI 2022</t>
  </si>
  <si>
    <t>10.1109/CLEI56649.2022.9959945</t>
  </si>
  <si>
    <t>https://www.scopus.com/inward/record.uri?eid=2-s2.0-85143893731&amp;doi=10.1109%2fCLEI56649.2022.9959945&amp;partnerID=40&amp;md5=087682d629d69805f5f95ca8ff37e268</t>
  </si>
  <si>
    <t>Universidad EAFIT, GIDITIC, Medellin, Colombia; Univ. de Alcalá, Dpto Automática, Spain; CEMISID, Univ. de Los Andes, Merida, Venezuela; GIDINT Universidad Santo Tomás, Colombia GIMI, UPTC, Tunja, Colombia</t>
  </si>
  <si>
    <t>Varela, D., Universidad EAFIT, GIDITIC, Medellin, Colombia; Aguilar, J., Universidad EAFIT, GIDITIC, Medellin, Colombia, Univ. de Alcalá, Dpto Automática, Spain, CEMISID, Univ. de Los Andes, Merida, Venezuela; Monsalve-Pulido, J., GIDINT Universidad Santo Tomás, Colombia GIMI, UPTC, Tunja, Colombia; Montoya, E., Universidad EAFIT, GIDITIC, Medellin, Colombia</t>
  </si>
  <si>
    <t>The difficulty in finding the most suitable recommendation algorithm for all requests is a common challenge in the recommendation system context, regardless of the domain. Although the combination of multiple techniques in a hybrid approach is often a good solution, the majority of implementations follow a static hybridization scheme, which does not consider the available data, the user specificities at a given time, or the changing environment. Thus, another challenge is the definition of adaptive hybrid recommenders that are capable to adjust the combination of the recommendation algorithms based on the properties of the dynamic inputs. For that purpose, it is necessary to define meta-features that contain information to effectively differentiate recommendation algorithm behaviors over time, and capture how properties of the user/items are related to their performance. This work studies these meta-features in order to analyze their characteristics, relevance, behavior, redundancy and their abilities to represent the system dynamics over time. The paper presents several experiments that can be used as a meta-feature's evaluation guide, and briefly propose its utilization in a hybrid fuzzy system for recommendation. © 2022 IEEE.</t>
  </si>
  <si>
    <t>Feature engineering; Hybrid Recommendation systems; Metafeatures in Recommendation systems</t>
  </si>
  <si>
    <t>Systems analysis; Changing environment; Feature engineerings; Hybrid approach; Hybrid recommendation; Hybrid recommendation system; Hybridisation; Metafeature; Metafeature in recommendation system; Property; Recommendation algorithms; Recommender systems</t>
  </si>
  <si>
    <t>This work has been supported by the project 64366: “Con-tenidos de aprendizaje inteligentes a través del uso de her-ramientas de Big Data, Analítica Avanzada e IA” - Ministry of Science - Government of Antioquia - Republic of Colombia.</t>
  </si>
  <si>
    <t>Adomavicius, G., Tuzhilin, A., (2005) Toward the Next Generation of Recommender Systems: A Survey of the State-of-the-art and Possible Extensions, pp. 734-749. , jun; Burke, R., Hybrid recommender systems: Survey and experiments (2002) User Modelling and User-Adapted Interaction, 12 (4), pp. 331-370; Aguilar, J., Salazar, C., Velasco, H., Monsalve-Pulido, J., Montoya, E., Comparison and evaluation of different methods for the feature extraction from educational contents (2020) Computation, 8 (2); Cunha, T., Soares, C., De Carvalho, A.C., Metalearning and Recommender Systems: A literature review and empirical study on the algorithm selection problem for Collaborative Filtering (2018) Information Sciences, 423, pp. 128-144. , jan; Pacheco, F., Rangel, C., Aguilar, J., Cerrada, M., Altamiranda, J., Methodological framework for data processing based on the data science paradigm (2014) 2014 XL Latin American Computing Conference (CLEI); Collins, A., Tkaczyk, D., Beel, J., (2018) One-at-a-time: A Meta-learning Recommender-system for Recommendation-algorithm Selection on Micro Level; Collins, A., Beel, J., (2019) Meta-learned Per-instance Algorithm Selection in Scholarly Recommender Systems; Nechaev, A., Zhukova, N., Meltsov, V., Utilizing Metadata to Select a Recommendation Algorithm for a User or an Item (2019) Proceedings of the 11th Majorov International Conference on Software Engineering and Computer Systems (MICSECS 2019); Burke, R., Hybrid web recommender systems (2007) The Adaptive Web., pp. 377-408. , Springer; Monsalve-Pulido, J., Aguilar, J., Montoya, E., Framework for the adaptation of an autonomous academic recommendation system as a service-oriented architecture (2022) Educ Inf Technol; Monsalve-Pulido, J., Aguilar, J., Montoya, E., Salazar, C., Autonomous recommender system architecture for virtual learning environments (2020) Applied Computing and Informatics; Aksel, F., Birtürk, A., An adaptive hybrid recommender system that learns domain dynamics (2010) International Workshop on Handling Concept Drift in Adaptive Information Systems: Importance, Challenges and Solutions (HaCDAIS-2010) at the European Conference on Machine Learning and Principles and Practice of Knowledge Discovery in Databases, p. 49; Aguilar, J., Jerez, M., Exposito, E., Villemur, T., Carmicloc: Context awareness middleware in cloud computing (2015) 2015 Latin American Computing Conference (CLEI); Terán, J., Aguilar, J., Cerrada, M., Integration in industrial automation based on multi-agent systems using cultural algorithms for optimizing the coordination mechanisms (2017) Computers in Industry, 91, pp. 11-23; Fortes, R.S., De Freitas, A.R., Gonçalves, M.A., A multicriteria evaluation of hybrid recommender systems: On the usefulness of input data characteristics (2017) ICEIS 2017 - Proceedings of the 19th International Conference on Enterprise Information Systems, 2, pp. 623-633. , SciTePress; Bao, X., Bergman, L., Thompson, R., Stacking recommendation engines with additional meta-features (2009) Proceedings of the Third ACM Conference on Recommender Systems, pp. 109-116; Sill, J., Takács, G., MacKey, L., Lin, D., (2009) Feature-weighted Linear Stacking; Chamba-Eras, L., Aguilar, J., Augmented reality in a smart classroom- case study: Saci (2017) IEEE Revista Iberoamericana de Tecnologias Del Aprendizaje, 12 (4), pp. 165-172; Aguilar, J., Buendia, O., Pinto, A., Gutiérrez, J., Social learning analytics for determining learning styles in a smart classroom (2022) Interactive Learning Environments, 30 (2), pp. 245-261; Sánchez, M., Aguilar, J., Cordero, J., Valdiviezo-Díaz, P., Barba-Guamán, L., Chamba-Eras, L., Cloud computing in smart educational environments: Application in learning analytics as service (2016) New Advances in Information Systems and Technologies, pp. 993-1002. , Á. Rocha, A. M. Correia, H. Adeli, L. P. Reis, and M. Mendonça Teixeira, Eds. Cham: Springer International Publishing; Salazar, C., Aguilar, J., Monsalve-Pulido, J., Montoya, E., Affective recommender systems in the educational field. A systematic literature review (2021) Computer Science Review, 40, p. 100377; Matuszyk, P., Spiliopoulou, M., Predicting the performance of collaborative filtering algorithms (2014) Proceedings of the 4th International Conference on Web Intelligence, Mining and Semantics (WIMS14), pp. 1-6; Adomavicius, G., Zhang, J., Impact of data characteristics on recommender systems performance (2012) ACM Transactions on Management Information Systems (TMIS), 3 (1), pp. 1-17; Griffith, J., O'Riordan, C., Sorensen, H., Investigations into user rating information and predictive accuracy in a collaborative filtering domain (2012) Proceedings of the 27th Annual ACM Symposium on Applied Computing, pp. 937-942; Ekstrand, M., Riedl, J., When recommenders fail: Predicting recommender failure for algorithm selection and combination (2012) Proceedings of the Sixth ACM Conference on Recommender Systems, pp. 233-236; Shi, S., Zhang, M., Liu, Y., Ma, S., Attention-based adaptive model to unify warm and cold starts recommendation (2018) Proceedings of the 27th ACM International Conference on Information and Knowledge Management, Ser. CIKM '18, pp. 127-136. , https://doi.org/10.1145/3269206.3271710, New York, NY, USA: Association for Computing Machinery; Cunha, T., Soares, C., De Carvalho, A.C., Selecting collaborative filtering algorithms using metalearning (2016) Joint European Conference on Machine Learning and Knowledge Discovery in Databases., pp. 393-409. , Springer; Pinto, F., Soares, C., Mendes-Moreira, J., Towards automatic generation of metafeatures (2016) Pacific-Asia Conference on Knowledge Discovery and Data Mining., pp. 215-226. , Springer; Brazdil, P., Carrier, C.G., Soares, C., Vilalta, R., (2008) Metalearning: Applications to Data Mining, , Springer Science &amp; Business Media; Shannon, C.E., A mathematical theory of communication (1948) The Bell System Technical Journal, 27 (3), pp. 379-423; Chandrashekhar, H., Bhasker, B., Personalized recommender system using entropy based collaborative filtering technique (2011) Journal of Electronic Commerce Research, 12 (3), p. 214; Wang, W., Zhang, G., Lu, J., Collaborative filtering with entropydriven user similarity in recommender systems (2015) International Journal of Intelligent Systems, 30 (8), pp. 854-870; Kwon, H.-J., Lee, T.-H., Hong, K.-S., Improved Memory-based Collaborative Filtering Using Entropy-based Similarity Measures (2009) Proceedings of the 2009 International Symposium on Web Information Systems and Applications (WISA'09); Lee, S., Entropy-weighted similarity measures for collaborative recommender systems (2018) AIP Conference Proceedings, 1982 (1), p. 20011. , AIP Publishing LLC; Isinkaye, F.O., Folajimi, Y.O., Ojokoh, B.A., (2015) Recommendation Systems: Principles, Methods and Evaluation, pp. 261-273. , nov; Herlocker, J.L., Konstan, J.A., Borchers, A., Riedl, J., An algorithmic framework for performing collaborative filtering (1999) Proceedings of the 22nd Annual International ACM SIGIR Conference on Research and Development in Information Retrieval, Ser. SIGIR '99, pp. 230-237. , New York, NY, USA: Association for Computing Machinery; Curran-Everett, D., Williams, C.L., Explorations in statistics: The analysis of change (2015) Advances in Physiology Education, 39 (2), pp. 49-54</t>
  </si>
  <si>
    <t>Ambassade de France en Colombie;Colifri - Association Colombo - Francaise de Chercheurs;Perficient;Sonicwall;Universidad del Quindio, Acreditada de Alta Calidad</t>
  </si>
  <si>
    <t>48th Latin American Computing Conference, CLEI 2022</t>
  </si>
  <si>
    <t>17 October 2022 through 21 October 2022</t>
  </si>
  <si>
    <t>Proc. - Lat. American Comput. Conf., CLEI</t>
  </si>
  <si>
    <t>2-s2.0-85143893731</t>
  </si>
  <si>
    <t>Suárez-Parra K.V., Castañeda-Serrano C.S., Forero-Ulloa F.E., Almanza-Merchán P.J., Serrano-Agudelo P.C.</t>
  </si>
  <si>
    <t>58001296500;58001296600;56366519500;55387192600;58001296700;</t>
  </si>
  <si>
    <t>Liming applications and the SPAD chlorophyll index and stomatal conductance in cocoa exposed to cadmium in the soil [Aplicaciones encalántes y el índice de clorofilas SPAD y la conductancia estomática de cacao expuesto a cadmio en el suelo]</t>
  </si>
  <si>
    <t>e14530</t>
  </si>
  <si>
    <t>10.17584/rcch.2022v16i2.14530</t>
  </si>
  <si>
    <t>https://www.scopus.com/inward/record.uri?eid=2-s2.0-85143847522&amp;doi=10.17584%2frcch.2022v16i2.14530&amp;partnerID=40&amp;md5=f07ae05e35a63847783294f39989e2f2</t>
  </si>
  <si>
    <t>Universidad Pedagógica y Tecnológica de Colombia, Facultad de Ciencias Agropecuarias, Grupo de investigación GIPSO, Tunja, Colombia</t>
  </si>
  <si>
    <t>Suárez-Parra, K.V., Universidad Pedagógica y Tecnológica de Colombia, Facultad de Ciencias Agropecuarias, Grupo de investigación GIPSO, Tunja, Colombia; Castañeda-Serrano, C.S., Universidad Pedagógica y Tecnológica de Colombia, Facultad de Ciencias Agropecuarias, Grupo de investigación GIPSO, Tunja, Colombia; Forero-Ulloa, F.E., Universidad Pedagógica y Tecnológica de Colombia, Facultad de Ciencias Agropecuarias, Grupo de investigación GIPSO, Tunja, Colombia; Almanza-Merchán, P.J., Universidad Pedagógica y Tecnológica de Colombia, Facultad de Ciencias Agropecuarias, Grupo de investigación GIPSO, Tunja, Colombia; Serrano-Agudelo, P.C., Universidad Pedagógica y Tecnológica de Colombia, Facultad de Ciencias Agropecuarias, Grupo de investigación GIPSO, Tunja, Colombia</t>
  </si>
  <si>
    <t>Cadmium is a heavy metal that affects cell structures, such as walls and membranes, especially in the photosynthetic apparatus (PSII), chlorophylls, chloroplasts and stomata, producing losses in production quantity and quality. In addition, it is harmful to the health of humans and animals. The objective was to analyze the behavior of the relative chlorophyll index (SPAD units) and stomatal conductance in clone CCN-51 cacao plants every 45 days (45, 90, 135 and 180 days) after liming application. Four doses of a dolomite + agricultural gypsum mixture were applied, increasing Ca+2 saturation in the soil to 7, 8 and 9 cmolc kg-1. The control treatment did not have applications. The results indicated a reduction in SPAD units in the plants without liming, with high cadmium levels in the soil (3.3 mg kg-1), and there were no statistical differences in the other treatments, possibly because of edaphic factors such as pH, organic matter content and Al+3. The best stomatal conductance was observed with 7 cmolc kg-1 in the foliar gas exchange. Supersaturated liming applications efficiently reduce the losses in quality and quantity caused by the accumulation of cadmium in cacao plants. © 2022, Universidad Pedagogica y Tecnologica de Colombia. All rights reserved.</t>
  </si>
  <si>
    <t>heavy metals; pigments; soil amendments; Theobroma cacao L; transpiration</t>
  </si>
  <si>
    <t>Ministerio de Ciencia y Tecnología, MICYT</t>
  </si>
  <si>
    <t>The authors thank the Gobernación de Boyacá, the Ministerio de Ciencia y Tecnología, and the Coop-erativa Integral de productores agropecuarios de Otanche – CIPAOTANCHE, for the financing and support provided via Contrato No. 80740-691-2020 convocatoria 865 de 2019 Cierre de Brechas for the Departament of Boyacá.</t>
  </si>
  <si>
    <t>Argüello, D., Chavez, E., Lauryssen, F., Vanderschueren, R., Smolders, E., Montalvo, D., Soil properties and agronomic factors affecting cadmium concentrations in cacao beans: A nationwide survey in Ecuador (2018) Sci. Total Environ, 649, pp. 120-127. , https://doi.or-g/10.1016/j.scitotenv.2018.08.292; Barraza, F., Schreck, E., Lévêque, T., Uzu, G., López, F., Rua-les, J., Prunier, J., Maurice, L., Cadmium bioaccumulation and gastric bioaccessibility in cacao: A field study in areas impacted by oil activities in Ecuador (2017) Environ. Pollut, 229, pp. 950-963. , https://doi.org; Bayona-Penagos, L.V., Efecto y mitigación de la toxi-cidad por arsénico y cadmio en cultivo de arroz (2020) Rev. Cienc. Agropec, 6 (2), pp. 49-70; Cao, Z.-Z., Qin, M.L., Lin, X.Y., Zhu, Z.-W., Chen, M.-X., Sulfur supply reduces cadmium uptake and translocation in rice grains (Oryza sativa L.) by enhan-cing iron plaque formation, cadmium chelation and vacuolar sequestration (2018) Environ. Pollut, 238, pp. 76-84. , https://doi.org; Castro, A.V., Almeida, A.-A.F., Pirovani, C.P., Reis, G.S.M., Almeida, N.M., Mangabeira, P.A.O., Mor-phological, biochemical, molecular and ultrastructural changes induced by Cd toxicity in seedlings of Theo-broma cacao L (2015) Ecotoxicol. Environ. Saf, 115, pp. 174-186. , https://doi.org; Choudhury, M.R., Christopher, J., Das, S., Apan, A., Menzies, N.W., Chapman, S., Mellor, V., Dang, Y.P., Detection of calcium, magnesium, and chlorophyll variations of wheat genotypes on sodic soils using hyperspectral red edge parameters (2022) Environ. Technol. Innov, 27, p. 102469. , https://doi.org; Cochrane, T.T., Salinas, J.G., Sánchez, P.A., An equa-tion for liming acid mineral soils to compensate crop aluminum tolerance (1980) Trop. Agric, 57 (2), pp. 133-140; Dell’Amico-Rodriguez, J.M., Morales-Guevara, D.M., Comportamiento de la conductancia estomática de dos variedades de tomate cubanas en condiciones de campo y riego limitado (2017) Cult. Trop, 38 (2), pp. 137-144; Espinoza Principe, B.J., (2019) Efecto del compost, dolomita y magnocal en el contenido de cadmio del suelo y los granos de cacao (Theobroma cacao L.) del clon ccn-51, , http://repositorio.unas.edu.pe/handle/UNAS/1492, Undergraduate thesis. Facultad de Agronomía, Univer-sidad Nacional Agraria de La Selva, Tingo Maria, Peru; (2021) Regulation (EC) No 1881/2006 as regards maximum levels of cadmium in certain foodstuffs, , OJEU L288/13. Brussels; Fernández Paz, J.A., (2022) Efecto fisiológico de la absorción de cadmio (Cd2+) sobre accesiones de cacao (Theobro-ma cacao L.), , MSc thesis. Facultad de Ciencias Agrope-cuarias, Universidad Nacional de Colombia, Palmira, Colombia; Florida Rofner, N., Juan, H., García, P., Jacobo Salinas, S.S., Escobar Mamani, F., Torres García, J., Efec-to de compost y NPK sobre los niveles de microorga-nismos y cadmio en suelo y almendra de cacao (2019) Rev. Investig. Altoandin, 21 (4), pp. 264-273. , https://doi.org/10.18271/RIA.2019.503; Guan, M.Y., Zhang, H.H., Pan, W., Jin, C.W., Lin, X.Y., Sulfide alleviates cadmium toxicity in Arabi-dopsis plants by altering the chemical form and the subcellular distribution of cadmium (2018) Sci. Total En-viron, 627, pp. 663-670. , https://doi.org/10.1016/J.SCITOTENV.2018.01.245; Hakeem, K.R., Alharby, H.F., Pirzadah, T.B., Exoge-nously applied calcium regulates antioxidative system and reduces cadmium-uptake in Fagopyrum esculentum (2022) Plant Physiol. Biochem, 180, pp. 17-26. , https://doi. org; He, L.-L., Huang, D.Y., Zhang, Q., Zhu, H.-H., Xu, C., Li, B., Zhu, Q.-H., Meta-analysis of the effects of liming on soil pH and cadmium accumulation in crops (2021) Ecotoxicol. Environ. Saf, 223, p. 112621. , ht-tps://doi.org; Herrera Marcano, T., La contaminación con cadmio en suelos agrícolas (2000) Venesuelos, 8 (1-2), pp. 42-47; Hu, Y., Cheng, H., Tao, S., The challenges and so-lutions for cadmium-contaminated rice in China: a critical review (2016) Environ. Int, 92-93, pp. 515-532. , ht-tps://doi.org; Huang, Y., Sheng, H., Zhou, P., Zhang, Y., Reme-diation of Cd-contaminated acidic paddy fields with four-year consecutive liming (2020) Ecotoxicol. Environ. Saf, 188, p. 109903. , https://doi.org; Huang, M., Zhu, H., Zhang, J., Tang, D., Han, X., Chen, L., Du, D., Sun, J., Toxic effects of cadmium on tall fescue and different responses of the photosynthetic activities in the photosystem electron donor and acceptor sides (2017) Sci. Rep, 7, p. 14387. , ht-tps://doi.org; Huaraca-Fernandez, J.N., Pérez-Sosa, L., Bustinza-Ca-bala, L.S., Pampa-Quispe, N.B., Enmiendas orgánicas en la inmovilización de cadmio en sue-los agrícolas contaminados: una revisión (2020) Inf. Tec-nol, 31 (4), pp. 139-152. , https://doi.org/10.4067/S0718-07642020000400139; Huo, L., Guo, Z., Wang, Q., Jia, X., Sun, X., Ma, F., The protective role of MdATG10-mediated autophagy in apple plant under cadmium stress (2022) Ecotoxicol. Envi-ron. Saf, 234, p. 113398. , https://doi.org; (2014) NTC 3888. Gestión ambiental. Cali-dad del suelo extracción de elementos traza solubles en agua regia, , Bogota; Jácome Molina, D.M., (2017) Efecto de la inoculación de hon-gos formadores de micorrizas arbusculares (HFMA) sobre un sistema suelo-planta de cacao en suelos con-taminados con cadmio en etapa de vivero, , https://repositorio.unal.edu.co/handle/unal/62938, MSc thesis. Facultad de Ciencias Agrarias, Universidad Nacional de Colombia, Bogota; Kapoor, D., Singh, S., Ramamurthy, P.C., Jan, S., Bhardwaj, S., Gill, S.S., Prasad, R., Singh, J., Molecular con-sequences of cadmium toxicity and its regulatory networks in plants (2021) Plant Gene, 28, p. 100342. , https://doi.org; Li, B., Hou, L., Song, C., Wang, Z., Xue, Q., Li, Y., Qin, J., Shi, W., Biological function of calcium-sensing receptor (CAS) and its coupling calcium signaling in plants (2022) Plant Physiol. Biochem, 180, pp. 74-80. , https://doi.org; Li, J., Zhang, S., Ding, X., The combined application of biochar and high phosphate fertilizer promo-ted the mobilization and redistribution of cadmium in rhizosphere soil (2022) J. Environ. Chem. Eng, 10 (3), p. 107482. , https://doi.org/10.1016/j.jece.2022.107482; Meter, A., Atkinson, R.J., Laliberte, B., (2019) Cadmio en el cacao de América Latina y el Caribe. Análisis de la investigación y soluciones potenciales para la mitiga-ción, , Bioversity International, Roma; Moreno Chacón, A.L., Cruz Aguilar, M., Melgare-jo, L.M., Respuesta fisiológica de plántulas de Avicen-nia germinans y Rhizophora mangle frente al cadmio (2013) Investigación en ciencias del mar: aportes de la Universidad Nacional de Colombia, pp. 153-174. , Melgarejo, L.M. and C.B. García Ramírez (eds). Universidad Na-cional de Colombia, Bogota; Motta-Delgado, P.A., Ocaña-Martinez, H.E., Caracterización de subsistemas de pasturas bra-quiarias en hatos de trópico húmedo, Caquetá, Co-lombia (2018) Cienc. Agric, 15 (1), pp. 81-92. , https://doi.org/10.19053/01228420.v15.n1.2018.7759; Pérez Moncada, U.A., Ramìrez Gómez, M., Serralde Ordoñez, D.P., Peñaranda Rolón, A.M., Wilches Ortiz, W.A., Ramírez, L., Rengifo Estrada, G.A., Hongos formadores de micorrizas arbusculares (HFMA) como estrategia para reducir la absorción de cadmio en plan-tas de cacao (Theobroma cacao) (2019) Terra Latinoam, 37 (2), pp. 121-130. , https://doi.org/10.28940/ter-ra.v37i2.479; Pino, V., Montalván, D., La conductancia estomática y su relación con la tem-peratura foliar y humedad del suelo en el cultivo del olivo (Olea europaea L.), en periodo de maduración de frutos, en zonas áridas. La Yarada, Tacna, Perú (2019) Idesia, 37 (4), pp. 55-64. , https://doi.org/10.4067/S0718-34292019000400055, E., I A. Vera M., L. Ramos F; Qin, S., Liu, H., Nie, Z., Rengel, Z., Gao, W., Li, C., Zhao, P., Toxicity of cadmium and its competition with mineral nutrients for uptake by plants: a review (2020) Pe-dosphere, 30 (2), pp. 168-180. , https://doi.org; Rabêlo, F.H.S., Daneluzzi, G.S., Santos, F.H., Colzato, M., Montanha, G.S., Nakamura, L.R., Carvalho, H.W.P., Alleoni, L.R.F., Role of nodes in accumulation and distribution of cadmium and its relationship with nutrient distribution and photosynthesis in the growth and regrowth of Brachiaria decum-bens (2022) Environ. Exp. Bot, 195, p. 104794. , https://doi. org; Ramtahal, G., Umaharan, P., Hanuman, A., Davis, C., Ali, L., The effectiveness of soil amendments, bio-char and lime, in mitigating cadmium bioaccumulation in Theobroma cacao L (2019) Sci. Total Environ, 693, p. 133563. , https://doi.org; Rodríguez Albarracín, H.S., Darghan Contreras, A.E., Henao, M.C., Spatial regression modeling of soils with high cadmium content in a cocoa producing area of Central Colombia (2019) Geoderma Reg, 16, p. e00214. , https://doi.org/10.1016/J.GEODRS.2019.E00214; Sánchez-Zepeda, M.Y., López-Herrera, M., Rome-ro-Bautista, L., Determinación de la capacidad de biacumulación de cadmio en Vicia faba L. y su efecto en la raíz y el crecimiento vegetativo (2021) Rev. Biol. Agrop. Tuxpan, 9 (2), pp. 46-60. , https://doi.org/10.47808/re-vistabioagro.v9i2.358; Santos, M.L.S., Almeida, A.-A.F., Silva, N.M., Oli-veira, B.R.M., Silva, J.V.S., Souza Junior, J.O., Ahnert, D., Baligar, V.C., Mitigation of cadmium toxicity by zinc in juvenile cacao: physiological, biochemical, molecular and micromorphological responses (2020) Environ. Exp. Bot, 179, p. 104201. , https://doi.org; Suárez-Salazar, J.C., Duran-Bautista, E.H., Rojas-Cas-tillo, J.A., Ortiz-Cifuentes, N., Pigmentos foto-sintéticos y conductancia estomática en ecotipos de copoazú (Theobroma grandiflorum Willd. Ex. Spreng K. Schum.) (2017) Agron. Mesoam, 28 (1), pp. 199-206. , htt-ps://doi.org; Sun, Y., Xu, Y., Xu, Y., Wang, L., Liang, X., Li, Y., Reliability and stability of immobilization remedia-tion of Cd polluted soils using sepiolite under pot and field trials (2016) Environ. Pollut, 208, pp. 739-746. , Part B, https://doi.org; Tantalean Pedraza, E., Huauya Rojas, M.Á., Distri-bución del contenido de cadmio en los diferentes ór-ganos del cacao CCN-51 en suelo aluvial y residual en las localidades de Jacintillo y Ramal de Aspuzana (2017) Rev. Investig. Agroprod. Sustent, 1 (2), pp. 69-78. , https://doi.org/10.25127/aps.20172.365; Vanderschueren, R., Argüello, D., Blommaert, H., Mon-talvo, D., Barraza, F., Maurice, L., Schreck, E., Smolders, E., Mitigating the level of cadmium in cacao products: Reviewing the transfer of cadmium from soil to chocolate bar (2021) Sci. Total Environ, 781, p. 146779. , https://doi.org; Wong Rivera, A.F., (2017) Determinación de cadmio (Cd) en suelo de cultivo para cacao CCN-51 mediante análisis de espectroscopía de absorción atómica, , Undergraduate thesis. Facultad de Ciencias Naturales, Universidad de Guayaquil, Guayaquil; Yao, A., Liu, Y., Luo, X., Liu, C., Tang, Y., Wang, S., Huang, X., Qiu, R., Mediation effects of different sulfur forms on solubility, uptake and accumulation of Cd in soil-paddy rice system induced by organic carbon and liming (2021) Environ. Pollut, 279, p. 116862. , https://doi. org; Zhang, H., Xu, Z., Huo, Y., Guo, K., Wang, Y., He, G., Sun, H., Sun, G., Overexpression of Trx CDSP32 gene promotes chlorophyll synthesis and photosynthetic electron transfer and alleviates cadmium-induced photoinhibition of PSII and PSI in tobacco leaves (2020) J. Hazard. Mater, 398, p. 122899. , ht-tps://doi.org</t>
  </si>
  <si>
    <t>Suárez-Parra, K.V.; Universidad Pedagógica y Tecnológica de Colombia, Colombia; email: ksuarez98@unisalle.edu.co</t>
  </si>
  <si>
    <t>2-s2.0-85143847522</t>
  </si>
  <si>
    <t>Erazo-Mesa E., Echeverri-Sánchez A., Ramírez-Gil J.G.</t>
  </si>
  <si>
    <t>57226322351;57224803343;57191535996;</t>
  </si>
  <si>
    <t>Advances in Hass avocado irrigation scheduling under digital agriculture approach [Avances en la programación del riego de aguacate Hass bajo un enfoque de agricultura digital]</t>
  </si>
  <si>
    <t>e13456</t>
  </si>
  <si>
    <t>10.17584/rcch.2022v16i1.13456</t>
  </si>
  <si>
    <t>https://www.scopus.com/inward/record.uri?eid=2-s2.0-85143843028&amp;doi=10.17584%2frcch.2022v16i1.13456&amp;partnerID=40&amp;md5=33fdc4b7de2e8c9b36c365ded038f8f2</t>
  </si>
  <si>
    <t>Universidad del Valle, Facultad de Ingeniería, Escuela EIDENAR, Santiago de Cali, Colombia; Universidad Nacional de Colombia, Sede Palmira, Facultad de Ciencias Agropecuarias, Palmira, Colombia; Universidad Nacional de Colombia, Sede Bogotá, Facultad de Ciencias Agrarias, Departamento de Agronomía, Bogota, Colombia</t>
  </si>
  <si>
    <t>Erazo-Mesa, E., Universidad del Valle, Facultad de Ingeniería, Escuela EIDENAR, Santiago de Cali, Colombia, Universidad Nacional de Colombia, Sede Palmira, Facultad de Ciencias Agropecuarias, Palmira, Colombia; Echeverri-Sánchez, A., Universidad del Valle, Facultad de Ingeniería, Escuela EIDENAR, Santiago de Cali, Colombia; Ramírez-Gil, J.G., Universidad Nacional de Colombia, Sede Bogotá, Facultad de Ciencias Agrarias, Departamento de Agronomía, Bogota, Colombia</t>
  </si>
  <si>
    <t>Under tropical conditions, Hass avocado irrigation is a controversial issue due to insufficient scientific evidence. The rapid progression of technological advances and its incorporation in agriculture have expanded options to improve the irrigation scheduling (IS) of Hass avocado. The concept featuring those technological advances in agriculture is digital agriculture (DA). Here, we present a mixture of well-known studies in the Hass avocado irrigation focused on proximal sensing (PS) technologies and recent studies emphasizing the potential of remote sensing (RS), and application technologies to schedule the irrigation. PS takes advantage of the soil or trees’ proximity to output reliable measurements with a high temporal resolution, while RS provides a broad set of spectral data in continuous and large areas that can be transformed into crop-related biophysical variables. Applications – a term grouping mobile (smartphone) apps, desktop programs, and web-based platforms – offers portability, high precision, and graphic visualization of variables obtained or estimated by sensors. Integrating RS and PS technologies through user-friendly applications can represent a suitable option to improve Hass avocado irrigation in developing countries. Our review is presented in the following sections: general introduction, DA approach definition, use of proximal sensing, use of remote sensing, and scheduling irrigation applications. © 2022, Universidad Pedagogica y Tecnologica de Colombia. All rights reserved.</t>
  </si>
  <si>
    <t>agriculture 4.0; mobile and web Apps; new technologies; proximal sensing; remote sensing</t>
  </si>
  <si>
    <t>Abdullah, F.A., Samah, B.A., Factors impinging farmers’ use of agriculture technology (2013) Asian Soc. Sci, 9 (3), pp. 120-124; Abioye, E.A., Abidin, M.S.Z., Mahmud, M.S.A., Buyamin, S., Ishak, M.H.I., Rahman, M.K.I.A., Otuoze, A.O., Ramli, M.S.A., A review on monitoring and advanced control strategies for precision irrigation (2020) Comput. Electron. Agric, 173, p. 105441; Ali, M.H., Crop water requirement and irrigation. Scheduling (2010) Fundamentals of irrigation and on-farm water management, 1, pp. 399-452. , Ali, M.H. Springer, New York, NY; Asher, J.B., Yosef, B.B., Volinsky, R., Ground-based remote sensing system for irrigation scheduling (2013) Biosyst. Eng, 114 (4), pp. 444-453; Awada, H., Ciraolo, G., Maltese, A., Provenzano, G., Moreno Hidalgo, M.A., Còrcoles, J.I., Assessing the performance of a large-scale irrigation system by estimations of actual evapotranspiration obtained by Landsat satellite images resampled with cubic convolution (2019) Int. J. Appl. Earth Obs. Geoinf, 75, pp. 96-105; Barker, J.B., Heeren, D.M., Neale, C.M.U., Rudnick, D.R., Evaluation of variable rate irrigation using a remote-sensing-based model (2018) Agric. Water Manag, 203, pp. 63-74; Bazzi, H., Baghdadi, N., Fayad, I., Charron, F., Zribi, M., Belhouchette, H., Irrigation events detection over intensively irrigated grassland plots using Sentinel-1 data (2020) Remote Sens, 12 (24), p. 4058; Bhatti, S., Heeren, D.M., Barker, J.B., Neale, C.M.U., Woldt, W.E., Maguire, M.S., Rudnick, D.R., Site-specific irrigation management in a sub-humid climate using a spatial evapotranspiration model with satellite and airborne imagery (2020) Agric. Water Manage, 230, p. 105950; Bousbih, S., Zribi, M., El Hajj, M., Baghdadi, N., Lili-Chabaane, Z., Gao, Q., Fanise, P., Soil moisture and irrigation mapping in a semi-arid region, based on the synergetic use of Sentinel-1 and Sentinel-2 data (2018) Remote Sens, 10 (12), p. 1953; Bower, J.P., Water relations of Phytophthora infected fuerte trees and their influence on management (1979) South African Avocado Growers’ Assoc. Res. Rep, 3, pp. 25-27; Bower, J.P., (1985) Some aspects of water relations on avocado Persea americana (Mill.) tree and fruit physiology, , PhD thesis. Faculty of Agriculture, University of Natal, Pietermaritzburg, South African; Bretreger, D., Yeo, I.-Y., Hancock, G., Willgoose, G., Monitoring irrigation using landsat observations and climate data over regional scales in the Murray-Darling Basin (2020) J. Hydrol, 590, p. 125356; Brocca, L., Tarpanelli, A., Filippucci, P., Dorigo, W., Zaussinger, F., Gruber, A., Fernández-Prieto, D., How much water is used for irrigation? A new approach exploiting coarse resolution satellite soil moisture products (2018) Int. J. Appl. Earth Obs. Geoinf, 73, pp. 752-766; Builes Gaitan, S., Duque Ríos, M., Socio-economic and technological typology of avocado cv. Hass farms from Antioquia (Colombia) (2020) Cienc. Rural, 50 (7), p. e20190188; Byrne, M.P., Pendergrass, A.G., Rapp, A.D., Wodzicki, K.R., Response of the Intertropical Convergence Zone to Climate Change: Location, width, and strength (2018) Curr. Clim. Change Rep, 4, pp. 355-370; Calera, A., Campos, I., Osann, A., D’Urso, G., Menenti, M., Remote sensing for crop water management: From ET modelling to services for the end users (2017) Sensors, 17 (5), p. 1104; Chauhan, Y.S., Wright, G.C., Holzworth, D., Rachaputi, R.C.N., Payero, J.O., AQUAMAN: A web-based decision support system for irrigation scheduling in peanuts (2013) Irrig. Sci, 31 (3), pp. 271-283; Chevalier, R.F., Hoogenboom, G., McClendon, R.W., Paz, J.O., A web-based fuzzy expert system for frost warnings in horticultural crops (2012) Environ. Model. Softw, 35, pp. 84-91; Chiaraviglio, L., Blefari-Melazzi, N., Liu, W., Gutierrez, J.A., Van de Beek, J., Birke, R., Chen, L., Wu, J., 5G in rural and low-income areas: Are we ready? 1650017 (2017) Proc. 2016 ITU Kaleidoscope Academic Conference: ICTs for a Sustainable World (ITU WT), , En: Bankok, Thailand; Choker, M., Baghdadi, N., Zribi, M., El Hajj, M., Paloscia, S., Verhoest, N.E.C., Lievens, H., Mattia, F., Evaluation of the Oh, Dubois and IEM Backscatter models using a large dataset of SAR data and experimental soil measurements (2017) Water, 9 (1), p. 38; Chopart, J., Le Mézo, L., Mézino, M., (2009) PROBE-w (Water Balance PROgram): A software application for water balance modeling in a cultivated soil, , Presentation and User Manual 1.0.156. CIRAD, La Réunion, France; Costa, J.O., Coelho, R.D., Wolff, W., José, J.V., Folegatti, M.V., Ferraz, S.F.B., Spatial variability of coffee plant water consumption based on the SEBAL algorithm (2019) Sci. Agric, 76 (2), pp. 93-101; Crowley, D., Escalera, J., Optimizing avocado irrigation practices through soil water monitoring (2013) Calif. Avoc. Soc, pp. 55-65; Ćulibrk, D., Vukobratovic, D., Minic, V., Alonso Fernandez, M., Alvarez Osuna, J., Crnojevic, V., (2014) Sensing technologies for precision irrigation, , Springer, New York, NY; Dabach, S., Shani, U., Lazarovitch, N., The influence of water uptake on matric head variability in a drip-irrigated root zone (2016) Soil Tillage Res, 155, pp. 216-224; Dari, J., Quintana-Seguí, P., Escorihuela, M.J., Stefan, V., Brocca, L., Morbidelli, R., Detecting and mapping irrigated areas in a Mediterranean environment by using remote sensing soil moisture and a land surface model (2021) J. Hydrol, 596, p. 126129; Datta, S., Das, P., Dutta, D., Giri, R.K., Estimation of surface moisture content using Sentinel-1 C-band SAR data through machine learning models (2020) J. Indian Soc. Remote Sens, 49, pp. 887-896; Dehnen-Schmutz, K., Foster, G.L., Owen, L., Persello, S., Exploring the role of smartphone technology for citizen science in agriculture (2016) Agron. Sustain. Dev, 36, p. 25; Domínguez-Niño, J.M., Oliver-Manera, J., Girona, J., Casadesús, J., Differential irrigation scheduling by an automated algorithm of water balance tuned by capacitance-type soil moisture sensors (2020) Agric. Water Manage, 228, p. 105880; Dorigo, W.A., Grube, A., De Jeu, R.A.M., Wagner, W., Stacke, T., Loew, A., Albergel, C., Kidd, R., Evaluation of the ESA CCI soil moisture product using ground-based observations (2015) Remote Sens. Environ, 162, pp. 380-395; Doupis, G., Kavroulakis, N., Psarras, G., Papadakis, I., Growth, photosynthetic performance and antioxidative response of ‘Hass’ and ‘Fuerte’ avocado (Persea americana Mill.) plants grown under high soil moisture (2017) Photosynthetica, 55 (4), pp. 655-663; du Plessis, S.F., Factors important for optimal irrigation scheduling of avocado orchards (1991) South African Avocado Growers’ Association Yearbook, 14, pp. 91-93; El-Gayar, O.F., Ofori, M.Q., Disrupting agriculture: The status and prospects for AI and Big Data in smart agriculture (2020) AI and Big Data’s potential for disruptive innovation, pp. 174-215. , Strydom, M. and S. Buckley (eds). IGI Global, Hershey, PA; Erazo-Mesa, E., Ramírez-Gil, J.G., Echeverri Sánchez, A., Avocado cv. Hass needs water irrigation in tropical precipitation regime: Evidence from Colombia (2021) Water, 13 (14), p. 1942; (2021) Sentinel-1 observation scenario, , https://sen-tinel.esa.int/web/sentinel/missions/sentinel-1/obser-vation-scenario, consulted: April, 2021; (2020) The State of Food and Agriculture 2020. Overcoming water challenges in agriculture, , Rome; (2021) FAOSTAT – Food and agriculture data, , http://www.fao.org/faostat/es/#home, consulted: January, 2021; Fernández, J.E., Plant-based methods for irrigation scheduling of woody crops (2017) Horticulturae, 3 (2), p. 35; Fernández, I., Lecina, S., Ruiz-Sánchez, C., Vera, J., Conejero, W., Conesa, M., Domínguez, A., Montesinos, P., Trends and challenges in irrigation scheduling in the semi-arid area of Spain (2020) Water, 12 (3), p. 785; Fernández, J.E., Romero, R., Montaño, J.C., Diaz-Espejo, A., Muriel, J.L., Cuevas, M.V., Moreno, F., Palomo, M.J., Design and testing of an automatic irrigation controller for fruit tree orchards, based on sap flow measurements (2008) Aust. J. Agric. Res, 59 (7), pp. 589-598; Ferreira, L.B., Cunha, F.F., Oliveira, R.A., Rodrigues, T.F., A smartphone APP for weather-based irrigation scheduling using artificial neural networks (2020) Pesq. Agropec. Bras, 55, p. e01839; Fontanet, M., Fernàndez-Garcia, D., Ferrer, F., The value of satellite remote sensing soil moisture data and the DISPATCH algorithm in irrigation fields (2018) Hydrol. Earth Syst. Sci, 22 (11), pp. 5889-5900; Freebairn, D., Ghahramani, A., Robinson, J., McClymont, D., A tool for monitoring soil water using modelling, on-farm data, and mobile technology (2018) Environ. Model. Softw, 104, pp. 55-63; Friedman, S.P., Communar, G., Gamliel, A., DI-DAS-User-friendly software package for assisting drip irrigation design and scheduling (2016) Comput. Electron. Agric, 120, pp. 36-52; Garrido-Rubio, J., Sanz, D., González-Piqueras, J., Calera, A., Application of a remote sensing-based soil water balance for the accounting of groundwater abstractions in large irrigation areas (2019) Irrig. Sci, 37, pp. 709-724. , 10.1007%2Fs00271-019-00629-3; Gil, P., Gurovich, L., Schaffer, B., Alcayaga, J., Iturriaga, R., Electrical signal measurements in avocado trees: A potential tool for monitoring physiological responses to soil water content? (2011) Acta Hortic, 889, pp. 371-378; Goodall, G., Tensiometer: Irrigationist’s best friend (1986) California Growers, 10 (7), pp. 1-3; Earth engine data catalog (2021) Google Developers, , https://developers.google.com/earth-en-gine/datasets/catalog, Google Inc consulted: April, 2021; Gorelick, N., Hancher, M., Dixon, M., Ilyushchenko, S., Thau, D., Moore, R., Google Earth Engine: Planetary-scale geospatial analysis for everyone (2017) Remote Sens. Environ, 202, pp. 18-27; Gu, Z., Qi, Z., Burghate, R., Yuan, S., Jiao, X., Xu, J., Irrigation scheduling approaches and applications: A review (2020) J. Irrig. Drain. Eng, 146 (6), pp. 1-15; Gustafson, C.D., Marsh, A.W., Branson, R.L., Davis, S., Drip irrigation on avocados (1979) California Avocado Society 1979 Yearbook, 63, pp. 95-134; Hamad, M.A.A., Eltahir, M.E.S., Ali, A.E.M., Hamdan, A.M., Efficiency of using smart-mobile phones in accessing agricultural information by smallholder farmers in North Kordofan – Sudan (2018) SSRN Electron. J; Hoeben, R., Troch, P.A., Su, Z., Mancini, M., Chen, K.-S., Sensitivity of radar backscattering to soil surface parameters: A comparison between theoretical analysis and experimental evidence (1997) International Geoscience and Remote Sensing Symposium (IGAR-SS’97), 3, pp. 1368-1370; Hoffman, J.E., du Plessis, S., Seasonal water requirements of avocado trees grown under subtropical conditions (1999) Rev. Chapingo Ser. Hortic, 5, pp. 191-194; Holzapfel, E., Souza, J.A., Jara, J., Guerra, H.C., Responses of avocado production to variation in irrigation levels (2017) Irrig. Sci, 35 (3), pp. 205-215; Hornbuckle, J.W., Christen, E.W., Faulkner, R.D., Development of a Pocket PC surface irrigation decision support system (2006) Proc. 4th World Cong. Conf. Computers in Agriculture and Natural Resources, pp. 433-438. , American Society of Agricultural and Biological Engineers, Orlando, FL; Hornbuckle, J., Vleeshouwer, J., Ballester, C., Montgomery, J., Hoogers, R., Bridgart, R., (2016) IrriSAT technical reference, , Deakin University, CSIRO Land &amp; Water, NSW DPI, Australia; Huang, Y., Chen, Z.-X., Yu, T., Huang, X.-Z, Gu, X.-F., Agricultural remote sensing big data: Management and applications (2018) J. Integr. Agric, 17 (9), pp. 1915-1931; (2021) Trade Map-Trade statistics for international business development, , https://www.trademap.org/Index.aspx, consulted: August, 2021; (2021) Irrometer® reading tools, , https://www.irrometer.com/loggers.html, consulted: April, 2021; Islam, N., Want, R., Smartphones: Past, present, and future (2014) IEEE Pervasive Comput, 13 (4), pp. 89-92; (2021) EO4water – Earth observation for water resource management, , https://eo4water.com/, IVFL, Institute of Surveying, Remote Sensing &amp; Land Information consulted: April, 2021; Jalilvand, E., Tajrishy, M., Hashemi, S.A.G.Z., Brocca, L., Quantification of irrigation water using remote sensing of soil moisture in a semi-arid region (2019) Remote Sens. Environ, 231, p. 111226; Jones, H.G., Irrigation scheduling: advantages and pitfalls of plant-based methods (2004) J. Exp. Bot, 55 (407), pp. 2427-2436; Jung, J., Maeda, M., Chang, A., Bhandari, M., Ashapure, A., Landivar-Bowles, J., The potential of remote sensing and artificial intelligence as tools to improve the resilience of agriculture production systems (2021) Curr. Opin. Biotechnol, 70, pp. 15-22; Kaewmard, N., Saiyod, S., Sensor data collection and irrigation control on vegetable crop using smart phone and wireless sensor networks for smart farm (2014) ICWiSe 2014 IEEE Conference on Wireless Sensors, pp. 106-112. , Subang, Malaysia; Kalmar, D., Lahav, E., Water requirements of avocado in Israel. I. Tree and soil parameters (1977) Aust. J. Agric. Res, 28 (5), pp. 859-868; Kamilaris, A., Kartakoullis, A., Prenafeta-Boldú, F. X., A review on the practice of big data analysis in agriculture (2017) Comput. Electron. Agric, 143, pp. 23-37; Kamilaris, A., Prenafeta-Boldú, F.X., Deep learning in agriculture: A survey (2018) Comput. Electron. Agric, 147, pp. 70-90; Karmas, A., Tzotsos, A., Karantzalos, K., Geospatial big data for environmental and agricultural applications (2016) Big data concepts, theories, and applications, pp. 353-390. , Yu, S. and S. Guo (eds). Springer, Cham, Switzerland; Karthikeyan, L., Pan, M., Wanders, N., Kumar, D.N., Wood, E.F., Four decades of microwave satellite soil moisture observations: Part 1. A review of retrieval algorithms (2017) Adv. Water Resour, 109, pp. 106-120; Khabba, S., Jarlan, L., Er-Raki, S., Le Page, M., Ezzahar, J., Boulet, G., Simonneaux, V., Chehbouni, G., The SudMed Program and the Joint International Laboratory TREMA: A decade of water transfer study in the soil-plant-atmosphere system over irrigated crops in semi-arid area (2013) Procedia Environ. Sci, 19, pp. 524-533; Kisi, O., Modeling reference evapotranspiration using evolutionary neural networks (2011) J. Irrig. Drain. Eng, 137 (10), pp. 636-643; Knipper, K., Kustas, W.P., Anderson, M.C., Alfieri, J.G., Prueger, J.H., Hain, C.R., Gao, F., Sanchez, L., Evapotranspiration estimates derived using thermal-based satellite remote sensing and data fusion for irrigation management in California vineyards (2018) Irrig. Sci, 37 (3), pp. 431-449; Kramer, P., (1983) Water relations of plants, pp. 187-214. , Academic Press, San Francisco, CA; Kweon, S.-K., Oh, Y., A modified water-cloud model with leaf angle parameters for microwave backscattering from agricultural fields (2015) IEEE Trans. Geosci. Remote Sens, 53 (5), pp. 2802-2809; Lahav, E., Kalmar, D., Water requirements of avocado in Israel. II. Influence on yield, fruit growth and oil content (1977) Crop Pasture Sci, 28 (5), pp. 869-877; Lahav, E., Kalmar, D., Determination of the irrigation regimen for an avocado plantation in spring and autumn (1983) Aust. J. Agric. Res, 34 (6), pp. 717-724; Lawston, P.M., Santanello, J.A., Kumar, S.V., Irrigation signals detected from SMAP soil moisture retrievals (2017) Geophys. Res. Lett, 44 (23), pp. 860-867; Le Page, M., Jarlan, L., El Hajj, M.M., Zribi, M., Baghdadi, N., Boone, A., Potential for the detection of irrigation events on maize plots using Sentinel-1 soil moisture products (2020) Remote Sens, 12 (10), p. 1621; Li, W., Awais, M., Ru, W., Shi, W., Ajmal, M., Uddin, S., Liu, C., Review of sensor network-based irrigation systems using IoT and remote sensing (2020) Adv. Meteorol, 2020, p. 8396164; Li, J., Roy, D.P., A global analysis of Sentinel-2A, Sentinel-2B and Landsat-8 data revisit intervals and implications for terrestrial monitoring (2017) Remote Sens, 9 (9), p. 902; Linker, R., Sylaios, G., Efficient model-based sub-optimal irrigation scheduling using imperfect weather forecasts (2016) Comput. Electron. Agric, 130, pp. 118-127; Lozac’h, L., Bazzi, H., Baghdadi, N., El Hajj, M., Zribi, M., Cresson, R., Sentinel-1/Sentinel-2-derived soil moisture product at plot scale (S2MP) (2020) 2020 Mediterranean and Middle-East Geoscience and Remote Sensing Symposium (M2GARSS), pp. 168-171. , Tunis, Tunisia; Chloe irrigation systems (2019) Apps Google Play, , https://play.google.com/store/apps/de-tails?id=com.chloeirrigation.chloe&amp;hl=en&amp;gl=US, consulted: May, 2021; (2016) Manual LYNKBOX-Meteo. Monitoreo de variables ambientales y de suelos V 1.0, , Lynks Ingeniería, Santiago de Cali, Colombia; Ma, Y., Liu, S., Song, L., Xu, Z., Liu, Y., Xu, T., Zhu, Z., Estimation of daily evapotranspiration and irrigation water efficiency at a Landsat-like scale for an arid irrigation area using multi-source remote sensing data (2018) Remote Sens. Environ, 216, pp. 715-734; Madry, S., Introduction and history of space remote sensing (2017) Handbook of satellite applications, pp. 823-832. , Pelton, J.N., S. Madry, and S. Camacho-Lara (eds). Springer International Publishing, Cham, Switzerland; Mamalakis, A., Foufoula-Georgiou, E., A multivariate probabilistic framework for tracking the intertropical convergence zone: Analysis of recent climatology and past trends (2018) Geophys. Res. Lett, 45 (23), pp. 80-89; Mbabazi, D., Migliaccio, K.W., Crane, J.H., Fraisse, C., Zotarelli, L., Morgan, K.T., Kiggundu, N., An irrigation schedule testing model for optimization of the Smartirrigation avocado app (2017) Agric. Water Manag, 179, pp. 390-400; McCabe, G.J., Wolock, D.M., Temporal and spatial variability of the global water balance (2013) Climatic Change, 120 (1–2), pp. 375-387; McPhaden, M.J., Zebiak, S.E., Glantz, M.H., ENSO as an integrating concept in earth science (2006) Science, 314 (5806), pp. 1740-1745; Mendes, W.R., Araújo, F.M.U., Dutta, R., Heeren, D.M., Fuzzy control system for variable rate irrigation using remote sensing (2019) Expert Syst. Appl, 124, pp. 13-24; Migliaccio, K., Morgan, K.T., Vellidis, G., Zotarelli, L., Fraisse, C., Zurweller, B.A., Andreis, J.H., Rowland, D., Smartphone apps for irrigation scheduling (2016) Trans. ASABE, 59 (1), pp. 291-301; Miller, L., Vellidis, G., Mohawesh, O., Coolong, T., Comparing a smartphone irrigation scheduling application with water balance and soil moisture-based irrigation methods: Part I—plasticulture-grown tomato (2018) HortTechnol, 28 (3), pp. 354-361; Miyazaki, T., Soil and water (2005) Water flow in soils, pp. 1-17. , Miyazaki, T. (ed). 2nd ed. CRC Press, Boca Raton, FL; Molina-Martínez, J.M., Ruiz-Canales, A., Pocket PC software to evaluate drip irrigation lateral diameters with on-line emitters (2009) Comput. Electron. Agric, 69 (1), pp. 112-115; Moreno-Ortega, G., Pliego, C., Sarmiento, D., Barceló, A., Martínez-Ferri, E., Yield and fruit quality of avocado trees under different regimes of water supply in the subtropical coast of Spain (2019) Agric. Water Manag, 221, pp. 192-201; Mottaleb, K., Perception and adoption of a new agricultural technology: Evidence from a developing country (2018) Technol. Soc, 55, pp. 126-135; Nawandar, N., Satpute, V.R., IoT based low cost and intelligent module for smart irrigation system (2019) Comput. Electron. Agric, 162, pp. 979-990; Ng Cheong, L.R., Teeluck, M., Development of an irrigation scheduling software for sugarcane (2018) Sugar Tech, 20 (1), pp. 36-39; Nhamo, L., Ebrahim, G.Y., Mabhaudhi, T., Mpandeli, S., Magombeyi, M., Chitakira, M., Magidi, J., Sibanda, M., An assessment of groundwater use in irrigated agriculture using multi-spectral remote sensing (2020) Phys. Chem. Earth, Part A/B/C, 115, p. 102810; Olmedo, G.F., de la Fuente-Saiz, D., (2018) Surface energy balance using METRIC model and water package: 2. advanced procedure, , https://mran.microsoft.com/snapshot/2018-05-16/web/packages/water/vignet-tes/METRIC_advanced.html, consulted: April, 2020; Oyarce, P., Gurovich, L., Electrical signals in avocado trees (2010) Plant Signal. Behav, 5 (1), pp. 34-41; Parikh, H., Patel, S., Patel, V., Classification of SAR and PolSAR images using deep learning: a review (2020) Int. J. Image Data Fusion, 11 (1), pp. 1-32; Pelton, J.N., Madry, S., Camacho-Lara, S., Satellite applications handbook: The complete guide to satellite communications, remote sensing, navigation, and metedology (2017) Handbook of satellite applications, pp. 3-19. , Pelton, J.N., S. Madry, and S. Camacho-Lara (eds). Springer International Publishing, Cham, Germany; Peng, J., Albergel, C., Balenzano, A., Brocca, L., Cartus, O., Cosh, M.H., Crow, W.T., Loew, A., A roadmap for high-resolution satellite soil moisture applications – confronting product characteristics with user requirements (2021) Remote Sens. Environ, 252, p. 112162; Piedelobo, L., Ortega-Terol, D., Del Pozo, S., Hernández-López, D., Ballesteros, R., Moreno, M.A., Molina, J.-L., González-Aguilera, D., HidroMap: A new tool for irrigation monitoring and management using free satellite imagery (2018) ISPRS Int. J. Geo-Inf, 7 (6), p. 220; Pongnumkul, S., Chaovalit, P., Surasvadi, N., Applications of smartphone-based sensors in agriculture: A systematic review of research (2015) J. Sens, 2015, p. 195308; Prudente, V.H.R., Martins, V.S., Vieira, D.C., Silva, N.R.F., Adami, M., Sanches, I.D.A., Limitations of cloud cover for optical remote sensing of agricultural areas across South America (2020) Remote Sens. Appl.: Soc. Environ, 20, p. 100414; Puértolas, J., Johnson, D., Dodd, I.C., Rothwell, S.A., Can we water crops with our phones? Smartphone technology application to infrared thermography for use in irrigation management (2019) Acta Hortic, 1253, pp. 443-448; Quebrajo, L., Perez-Ruiz, M., Pérez-Urrestarazu, L., Martínez, G., Egea, G., Linking thermal imaging and soil remote sensing to enhance irrigation management of sugar beet (2018) Biosyst. Eng, 165, pp. 77-87; Raes, D., (2002) BUDGET: A soil water and salt balance model. Reference manual v 5.0, , Institute for Land and Water Management, Leuven, Belgium; Ramírez-Gil, J.G., Castañeda-Sánchez, D., Morales-Osorio, J.G., Edaphic factors associated with the development of avocado wilt complex and implementation of a GIS tool for risk visualization (2021) Sci. Hortic, 288, p. 110316; Ramírez-Gil, J.G., Cobos, M.E., Jiménez-García, D., Morales-Osorio, J.G., Peterson, A. T., Current and potential future distributions of Hass avocados in the face of climate change across the Americas (2019) Crop and Pasture Sci, 70 (8), pp. 694-708; Ramírez-Gil, J.G., Henao-Rojas, J.C., Morales-Osorio, J.G., Mitigation of the adverse effects of the El Niño (El Niño, La Niña) Southern Oscillation (ENSO) phenomenon and the most important diseases in avocado cv. Hass crops (2020) Plants, 9 (6), p. 790; Ramírez-Gil, J.G., Giraldo Martínez, G.O., Morales Osorio, J.G., Design of electronic devices for monitoring climatic variables and development of an early warning system for the avocado wilt complex disease (2018) Comput. Electron. Agric, 153, pp. 134-143; Ramírez-Gil, J.G., Morales, J.G., Peterson, A.T., Potential geography and productivity of “Hass” avocado crops in Colombia estimated by ecological niche modeling (2018) Sci. Hortic, 237, pp. 287-295; Ranjan, R., Chandel, A.K., Khot, L.R., Bahlol, H.Y., Zhou, J., Boydston, R.A., Miklas, P.N., Irrigated pinto bean crop stress and yield assessment using ground based low altitude remote sensing technology (2019) Inf. Process. Agric, 6 (4), pp. 502-514; Reddy, G.P.O., Satellite remote sensing sensors: Principles and applications (2018) Geospatial technologies in land resources mapping, monitoring and management. Geotechnologies and the Environment, 21, pp. 21-43. , Reddy, G.P.O. and S.K. Singh (eds). Springer International Publishing, Cham, Switzerland; Richards, S.J., Warneke, J.E., Bingham, F.T., Avocado tree growth response to irrigation (1962) California Avocado Society, 46, pp. 83-87; Richter, M., Precipitation in the tropics (2016) Tropical forestry handbook, pp. 363-390. , Pancel, L. and M. Köhl (eds). Springer, Berlin; Rijswijk, K., Klerkx, L., Turner, J.A., Digitalisation in the New Zealand agricultural knowledge and innovation system: Initial understandings and emerging organisational responses to digital agriculture (2019) NJAS – Wagening. J. Life Sci, 90-91, p. 100313; Rodríguez, C., Francia, J.R., García, I.F., Gálvez, B., Franco, D., Durán, V.H., Avocado (Persea americana Mill.) trends in water-saving strategies and production potential in a Mediterranean climate, the study case of SE Spain: A review (2018) Water scarcity and sustainable agriculture in semiarid environment, pp. 317-346. , García, I.F. and V.H. Durán (eds). Elsevier, New York, NY; Román-Paoli, E., Román-Pérez, F.M., Zamora-Echevarría, J., Evaluation of microirrigation levels for growth and productivity of avocado trees (2009) J. Agric. Univ. P. R, 93 (3-4), pp. 173-186; Rose, D.C., Chilvers, J., Agriculture 4.0: Broadening responsible innovation in an Era of smart farming (2018) Front. Sustain. Food Syst, 2, p. 87; Salas, J.D., Govindaraju, R.S., Anderson, M., Arabi, M., Francés, F., Suarez, W., Lavado-Casimiro, W.S., Green, T.R., Introduction to hydrology (2014) Handbook of Environmental Engineering, 15, pp. 1-126. , Wang, L.K. and C.T. Yang (eds). Modern water resources engineering. Humana Press, Totowa, NJ; Sales Dantas, A., Vasconcelos da Gama Neto, M., Dimitry Zyrianoff, I., Kamienski, C.A., The SWAMP farmer App for IoT-based smart water status monitoring and irrigation control (2020) 2020 IEEE International Workshop on Metrology for Agriculture and Forestry (MetroAgriFor), pp. 109-113. , Trento, Italy; Scanlon, B.R., Andraski, B.J., Bilskie, J., 3.2.4 Miscellaneous methods for measuring matric or water potential (2002) Methods of soil analysis. Part 4: Physical methods, pp. 643-670. , Dane, J.H. and G.C. Topp (eds). Soil Science Society of America, Madison, WI; Schaffer, B., Gil, P.M., Mickelbart, M.V., Whiley, A.W., Ecophysiology (2013) The avocado: Botany, production and use, pp. 168-199. , Schaffer, B., B.N. Wolstenholme, and A.W. Whiley (eds). CAB International, Wallingford, UK; Schowengerdt, R.A., (2007) Remote sensing: Models and methods for image processing, , 3rd ed. Elsevier, Amsterdam; Schulz, S., Becker, R., Richard-Cerda, J.C., Usman, M., aus der Beek, T., Merz, R., Schüth, C., Estimating water balance components in irrigated agriculture using a combined approach of soil moisture and energy balance monitoring, and numerical modelling (2021) Hydrol. Process, 35 (3), p. e14077; (2019) IrriMAX software desktop, 10.1, , https://sentektechnologies.com/download/irrimax-desktop/, consulted: April, 2020; Sharma, R., Kamble, S.S., Gunasekaran, A., Kumar, V., Kumar, A., A systematic literature review on machine learning applications for sustainable agriculture supply chain performance (2020) Comput. Oper. Res, 119, p. 104926; Sigua, G.C., Stone, K.C., Bauer, P.J., Szogi, A.A., Shumaker, P.D., Impacts of irrigation scheduling on pore water nitrate and phosphate in coastal plain region of the United States (2017) Agric. Water Manag, 186, pp. 75-85; Silber, A., Israeli, Y., Levi, M., Keinan, A., Shapira, O., Chudi, G., Golan, A., Assouline, S., Response of ‘Hass’ avocado trees to irrigation management and root constraint (2012) Agric. Water Manag, 104, pp. 95-103; Silber, A., Naor, A., Cohen, H., Bar-Noy, Y., Yechieli, N., Levi, M., Noy, M., Assouline, S., Irrigation of ‘Hass’ avocado: Effects of constant vs. temporary water stress (2019) Irrig. Sci, 37 (4), pp. 451-460; Silber, A., Naor, A., Israeli, Y., Assouline, S., Combined effect of irrigation regime and fruit load on the patterns of trunk-diameter variation of ‘Hass’ avocado at different phenological periods (2013) Agric. Water Manag, 129, pp. 87-94; Silva, A.M., Silva, R.M., Santos, C.A.G., Automated surface energy balance algorithm for land (ASE-BAL) based on automating endmember pixel selection for evapotranspiration calculation in MODIS orbital images (2019) Int. J. Appl. Earth Obs. Geoinf, 79, pp. 1-11; Silva, A.O., Silva, B.A., Souza, C.F., Azevedo, B.M., Bassoi, L.H., Vasconcelos, D.V., Bonfim, G.V., Carneiro, F.M., Irrigation in the age of agriculture 4.0: management, monitoring and precision (2020) Rev. Cienc. Agron, 51. , (Spec. Agric. 4.0), e20207695; Simionesei, L., Ramos, T.B., Palma, J., Oliveira, A.R., Neves, R., IrrigaSys: A web-based irrigation decision support system based on open source data and technology (2020) Comput. Electron. Agric, 178, p. 105822; Singh, G., Singh, A., Kaur, G., Role of artificial intelligence and the internet of things in agriculture (2021) Artificial intelligence to solve pervasive internet of things issues, pp. 317-330. , Kaur, G., P. Tomar, and M. Tanque (eds), Elsevier, London; Singhroy, V., Operational applications of radar images (2017) Handbook of satellite applications, pp. 911-928. , Pelton, J.N., S. Madry, and S. Camacho-Lara (eds). Springer, Cham, Germany; Sinha, S., Santra, A., Sharma, L., Jeganathan, C., Nathawat, M.S., Das, A.K., Mohan, S., Multi-polarized Radarsat-2 satellite sensor in assessing forest vigor from above ground biomass (2018) J. For. Res, 29 (4), pp. 1139-1145; Sishodia, R.P., Ray, R.L., Singh, S.K., Applications of remote sensing in precision agriculture: A review (2020) Remote Sens, 12 (19), p. 3136; Smith, M., (1992) CROPWAT: A computer program for irrigation planning and management, , FAO Irrigation and Drainage Paper 46. Rome; Smith, M.J., Getting value from artificial intelligence in agriculture (2018) Anim. Prod. Sci, 60 (1), pp. 46-54; Taiz, L., Zeiger, E., (2002) Plant physiology, pp. 591-623. , 3rd ed. Sinauer Associates, Sunderland, UK; Tamiminia, H., Salehi, B., Mahdianpari, M., Quackenbush, L., Adeli, S., Brisco, B., Google earth engine for geo-big data applications: A meta-analysis and systematic review (2020) ISPRS J. Photogramm. Remote Sens, 164, pp. 152-170; Tempfli, K., Kerle, N., Huurneman, G.C., Janssen, L.L.F., (2009) Principles of remote sensing: An introductory textbook, , (eds). The International Institute for Geo-Information Science and Earth Observation (ITC), Enschede, The Netherlands; Turner, D., Neuhaus, A., Colmer, T., Blight, A., Whiley, B.A., Turner et al 1 Turning water into oil-physiology and efficiency (2001) Talking avocados, pp. 1-12. , Scotney, C. (ed). Australian Avocado Growers Federation, Bundaberg, Australia; Tzatzani, T.T., Kavroulakis, N., Doupis, G., Psarras, G., Papadakis, I.E., Nutritional status of ‘Hass’ and ‘Fuerte’ avocado (Persea americana Mill.) plants subjected to high soil moisture (2020) J. Plant Nutr, 43 (3), pp. 327-334; (2019) Crop Water App, , https://ianr.unl.edu/crop-water-app, consulted: August, 2019; Van Pelt, R.S., Wierenga, P.J., Temporal stability of spatially measured soil matric potential probability density function (2001) Soil Sci. Soc. Am. J, 65 (3), pp. 668-677; Vellidis, G., Liakos, V., Andreis, J.H., Perry, C.D., Porter, W.M., Barnes, E.M., Morgan, K.T., Migliaccio, K.W., Development and assessment of a smartphone application for irrigation scheduling in cotton (2016) Comput. Electron. Agric, 127, pp. 249-259; Veysi, S., Naseri, A.A., Hamzeh, S., Bartholomeus, H., A satellite based crop water stress index for irrigation scheduling in sugarcane fields (2017) Agric. Water Manag, 189, pp. 70-86; Vollrath, A., Mullissa, A., Reiche, J., Angular-based radiometric slope correction for Sentinel-1 on google earth engine (2020) Remote Sens, 12 (11), p. 1867; Vuthapanich, S., Hofman, P.J., Whiley, A.W., Klieber, A., Simons, D.H., Effects of irrigation and foliar Cultar® on fruit yield and quality of “Hass” avocado fruit (1995) Proc. Word Avocado Congress III, pp. 311-315. , Israel; Weiss, M., Jacob, F., Duveiller, G., Remote sensing for agricultural applications: A meta-review (2020) Remote Sens. Environ, 236, p. 111402; Whiley, A., (1994) Ecophysiological studies and tree manipulation for maximisation of yield potential in avocado (Persea americana Mill.), , PhD thesis. Department of Horticultural Science, University of Natal, Pietermaritzburg, South Africa; Winer, L., Zachs, I., Daily trunk contraction in relation to a base line as an improved criterion for irrigation in avocado (2007) Proc. VI World Avocado Congress, pp. 1-7. , Viña Del Mar, Chile; Xie, Y., Lark, T.J., Brown, J.F., Gibbs, H.K., Mapping irrigated cropland extent across the conterminous United States at 30 m resolution using a semi-automatic training approach on Google Earth Engine (2019) ISPRS J. Photogramm. Remote Sens, 155, pp. 136-149; Xue, J., Bali, K.M., Light, S., Hessels, T., Kisekka, I., Evaluation of remote sensing-based evapotranspirat</t>
  </si>
  <si>
    <t>Ferrer M.R.</t>
  </si>
  <si>
    <t>56714855700;</t>
  </si>
  <si>
    <t>Gertrudis Segovia: An Approach to her Figure [Gertrudis Segovia: una aproximación a su figura*]</t>
  </si>
  <si>
    <t>e14277</t>
  </si>
  <si>
    <t>10.19053/01218530.n44.2022.14277</t>
  </si>
  <si>
    <t>https://www.scopus.com/inward/record.uri?eid=2-s2.0-85143841189&amp;doi=10.19053%2f01218530.n44.2022.14277&amp;partnerID=40&amp;md5=75a7dda246701a20afc7092b958b0dd3</t>
  </si>
  <si>
    <t>Ferrer, M.R., Universidad de Murcia, Spain</t>
  </si>
  <si>
    <t>The main aim of this work is to raise awareness of the figure of Gertrudis Segovia, a Sevillian writer of the early 20th century. Her work had a notable impact, but throughout the years, it fell into oblivion, as happens with the legacy of many women writers. To bring her figure back, we propose to analyse the different sources from that period (especially journalistic ones, dedicated to her) and we will approach her poetic production mainly through her work Poesías (1911). An analysis of her verses allows us to establish the three fundamental axes around which her poetic universe revolves: family, patriotism and regionalism, and religion. The approach to her work involves highlighting the importance of her literary creation, which has been unjustly forgotten, and reconstructing part of the literary heritage of Andalusian women writers. © 2022, Universidad Pedagogica y Tecnologica de Colombia. All rights reserved.</t>
  </si>
  <si>
    <t>Gertrudis Segovia; homeland; poetry; regionalism; religion</t>
  </si>
  <si>
    <t>Este artículo de reflexión es parte del proyecto de inves-tigación en curso: Andaluzas ocultas. Medio siglo de muje-res intelectuales (1900-1950). Proyecto I+D+i FEDER Anda-lucía 2014-2020. Referencia: US-1381475. Este proyecto ha sido financiado por la Junta de Andalucía (Consejería de Eco-nomía, Conocimiento, Empre-sas y Universidad).</t>
  </si>
  <si>
    <t>Balbín de Unquera, Antonio, Poesías, por la Srta. Gertrudis Segovia. Madrid, Fernando Fe (1911) Revista Unión Ibero-Americana, 6, pp. 1-28. , https://hemerotecadigital.bne.es/issue.vm?id=0028346577&amp;search=&amp;lang=es, Web. 27 de enero de 2022; Ballesteros de la Torre, Rosendo, Desde la Argentina (1897) La época, , https://hemerotecadigital.bne.es/issue.vm?id=0000624496&amp;pa-ge=2&amp;search=gertrudis&amp;lang=es, 18 de junio de Web. 14 de enero de 2022; Benavente, Jacinto, Libros para niños (1933) La hormiga de oro, 16, pp. 61-66. , https://hemerotecadigital.bne.es/issue.vm?id=0012120280&amp;pa-ge=4, Web. 18 de enero de 2022; Cansinos Assens, Rafael, (1925) La Nueva Literatura, , Madrid, Editorial Páez, Impreso; De Segovia, Alberto, El niño (1912) La correspondencia de España, , https://hemerotecadigital.bne.es/issue.vm?id=0000644550&amp;pa-ge=6&amp;search=%22gertrudis+segovia%22&amp;lang=es, 22 de febrero de Web. 20 de enero de 2022; De Segovia, Alberto, La conquista del ensueño (1913) La correspondencia de España, , https://hemerotecadigital.bne.es/issue.vm?id=0000659213&amp;pa-ge=1&amp;search=%22Gertrudis+segovia%22&amp;lang=es, 8 de enero de Web. 1 de febrero de 2022; De Terán, Luis, Poesías, por Gertrudis Segovia (1911) Nuestro Tiempo, 151, pp. 139-140. , https://hemerotecadigital.bne.es/issue.vm?i-d=0002542561&amp;page=139&amp;search=%22gertrudis+segovia%22&amp;lang=es, Web. 15 de marzo de 2022; Duarte, Ángel, España en la Argentina. Una reflexión sobre el patriotismo español en el tránsito del siglo XIX al XX (2003) Anuario IEHS, (18), pp. 251-271. , Impreso; García Sanchiz, Federico, De cerca (1911) La Noche. Diario Ilustrado, 29, pp. 1-12. , https://hemerotecadigital.bne.es/issue.vm?i-d=0029677418&amp;page=10, Web. 2 de abril de 2022; García, Marcela, Emigración y Política. Los “no ciudadanos” en la Argentina quieren repre-sentación en el Parlamento de Madrid (2004) Violencia y legitimidad: política y revolucio-nes en España y América Latina, 1840-1910, pp. 197-227. , editado por Carlos Malamud y Carlos Dardé. Universidad de Cantabria, Impreso; Gertrudis Segovia traducida al inglés (1919) El Fígaro, , https://hemerotecadigital.bne.es/issue.vm?id=0026749832&amp;page=4, 4 de enero de Web. 16 de marzo de 2022; Gómez de Baquero, Eduardo, Revista Literaria (1912) El Imparcial, , https://hemerotecadigital.bne.es/issue.vm?id=0000292270&amp;pa-ge=3&amp;search=%22gertrudis+segovia%22&amp;lang=es, 25 de marzo de Web. 1 de marzo de 2022; Gómez de Baquero, Eduardo, Revista literaria (1913) El Imparcial, , https://hemerotecadigital.bne.es/hd/viewer?oid=0000309109&amp;page=4, 24 de marzo de Web. 1 de marzo de 2022; González-Blanco, Andrés, Una nueva poetisa La correspondencia de España, 12 de ju-lio de 1911, , https://hemerotecadigital.bne.es/issue.vm?i-d=0000634738&amp;page=1&amp;search=%22gertrudis+segovia%22&amp;lang=es, Web. 4 de marzo de 2022; González-Blanco, Andrés, Los libros (1912) La Noche. Diario Ilustrado, , https://hemerotecadigital.bne.es/issue.vm?id=0029677717&amp;page=10&amp;-search=%22gertrudis+segovia%22&amp;lang=es, 51, 18 de enero de Web. 3 de febre-ro de 2022; Miyares, Alicia, (2021) Distopías patriarcales. Análisis feminista del “generismo queer”, , Madrid, Ediciones Cátedra, Impreso; Méndez Bejarano, Mario, (1922) Diccionario de escritores, maestros y oradores naturales de Sevi-lla y su actual Provincia, , Sevilla, Tipografía Gironés, Impreso; Morales, María Luz, De la vida del niño. Los cuentos (1922) La Vanguardia, , http://hemeroteca.lavanguardia.com/pre-view/1922/03/07/pagina-16/33284119/pdf.html?search=De%20la%20vida%20del%20ni%C3%B1o.%20Los%20cuentos, 7 de marzo de Web. 27 de febrero de 2022; Plaza Agudo, Inmaculada, (2011) Imágenes femeninas en la poesía de las escritoras españolas de preguerra (1900-1936), , https://gredos.usal.es/handle/10366/83310, [Tesis doctoral, Universidad de Salamanca]. Reposi-torio documental Gredos. Web. 11 de abril de 2022; Rahola, Darío, Gertrudis Segovia (1914) El Autonomista. Suplemento literario, , http://calaix.gencat.cat/handle/10687/438846#pa-ge=1, 1 de diciembre de Web. 3 de marzo de 2022; Rahola, Carlos, Juan de Mendoza, por Gertrudis Segovia (1915) Nuestro Tiempo, 195, pp. 404-405. , https://hemerotecadigital.bne.es/issue.vm?id=0002564867&amp;pa-ge=132&amp;search=%22gertrudis+segovia%22&amp;lang=es; Rodríguez Marín, Francisco, Poesías, por Gertrudis Segovia (1911) Nuestro Tiempo, 151, pp. 139-140. , https://hemerotecadigital.bne.es/is-sue.vm?id=0002542561&amp;page=139&amp;search=%22gertrudis+segovia%22&amp;lang=es, 1911, Web. 4 de abril de 2022; Román, José María, Bibliografía. Poesías de Gertrudis Segovia, con prólogo de Rodríguez Marín El siglo futuro. Diario Católico, , https://hemerotecadigital.bne.es/issue.vm?id=0000299482&amp;page=3&amp;sear-ch=%22gertrudis+segovia%22&amp;lang=es, 5 de septiembre de 1911. Web. 20 de marzo de 2022; Sánchez Domínguez, José Luis, Cartas andaluzas: Andalucía en la correspondencia de Fer-nán Caballero y Valera (2009) Revista de Humanidades, (16), pp. 21-34. , Impre-so; Segovia, Gertrudis, (1911) Poesías, , Madrid, Fernando Fé, Impreso; Segovia, Gertrudis, (1912) Cuentos de hadas, , Madrid, Fernando Fé, Impreso; Segovia, Gertrudis, (1912) Mientras la nieve cae… Nuevos cuentos de hadas, , Madrid, Fernando Fé, Impreso; Segovia, Gertrudis, (1914) Juan de Mendoza, , Madrid, Sucesores de Rivadeneyra, Impreso; Segovia, Gertrudis, Un soneto. A la memoria de Menéndez y Pelayo (1912) Cultura Hispano-Americana, (3), p. 64. , http://hdl.handle.net/10334/744, Web. 22 de marzo de 2022; Segovia, Gertrudis, La Sardana (1914) El Autonomista. Suplemento literario, p. 16. , http://calaix.gencat.cat/handle/10687/438846#page=1, 1 de diciembre de Web. 3 de marzo de 2022; Urioste-Azcorra, Carmen, (1997) Narrativa andaluza, 1900-1936: erotismo, feminismo y regiona-lismo, , Sevilla, Universidad de Sevilla, Impreso; Vázquez de Aldana, Enrique, (1953) Safo en Castilla: Antología de más de doscientas poetisas espa-ñolas, en sonetos ortodoxos, , Madrid, Ediciones Studium de Cultura, Impreso</t>
  </si>
  <si>
    <t>Ferrer, M.R.; Universidad de MurciaSpain; email: maria.reyes1@um.es</t>
  </si>
  <si>
    <t>2-s2.0-85143841189</t>
  </si>
  <si>
    <t>Araméndiz-Tatis H., Cardona-Ayala C., Espitia-Camacho M., Peña-Salgado L., Doria-Pérez T.</t>
  </si>
  <si>
    <t>45560929900;56038004300;35762695900;58001727000;58001953900;</t>
  </si>
  <si>
    <t>Physiological quality of cowpea bean (Vigna unguiculata L. Walp.) seed by the electrical conductivity and germination testing [Calidad fisiológica de la semilla de fríjol caupí (Vigna unguiculata L. Walp.) por conductividad eléctrica y prueba de germinación]</t>
  </si>
  <si>
    <t>e13458</t>
  </si>
  <si>
    <t>10.17584/rcch.2022v16i1.13458</t>
  </si>
  <si>
    <t>https://www.scopus.com/inward/record.uri?eid=2-s2.0-85143840552&amp;doi=10.17584%2frcch.2022v16i1.13458&amp;partnerID=40&amp;md5=cfb26468993346c34301eaa836d425d4</t>
  </si>
  <si>
    <t>Universidad de Córdoba, Monteria, Colombia; Federación Nacional de Cereales y Leguminosas, Cerete, Colombia; Servicio Nacional de Aprendizaje (SENA), Regional Córdoba, Monteria, Colombia</t>
  </si>
  <si>
    <t>Araméndiz-Tatis, H., Universidad de Córdoba, Monteria, Colombia; Cardona-Ayala, C., Universidad de Córdoba, Monteria, Colombia; Espitia-Camacho, M., Universidad de Córdoba, Monteria, Colombia; Peña-Salgado, L., Federación Nacional de Cereales y Leguminosas, Cerete, Colombia; Doria-Pérez, T., Servicio Nacional de Aprendizaje (SENA), Regional Córdoba, Monteria, Colombia</t>
  </si>
  <si>
    <t>Cowpea is the main legume of the Colombian Caribbean. It is cultivated by small producers, who use seeds from their own crops, stored under uncontrolled environmental conditions. The objective of this research was to evaluate the physiological quality of the seeds of five cowpea cultivars stored for 8-10 years. For the electrical conductivity test, six treatments were carried out (0, 4, 8, 12, 16, and 20 hours of imbibition), using a completely randomized design with five replicates of 50 seeds each per treatment. For the germination test in the greenhouse, a randomized complete block design was used with four repetitions of 50 seeds each per treatment. The results indicate that both methods were efficient in identifying reduction of seed viability due to storage effects, with the differential response of cultivars being due to their genetics. The most affected genotypes were L-026 and C-Tierralta, because they showed a greater amount of leachate 107.19±11.81 and 108.87±8.57 µS cm-1 g-1, respectively at 16 h of imbibition, lower percentage of germination and rate of germination speed index. © 2022, Universidad Pedagogica y Tecnologica de Colombia. All rights reserved.</t>
  </si>
  <si>
    <t>Additional seed preservation; physiological potential; seed deterioration; seed viability; vigor</t>
  </si>
  <si>
    <t>Albuquerque, K.L., Guimaraes, R.M., Almeida, I.F., Clemente, A.C.S., Alterações fisiológicas e bioquímicas durante a embebição de sementes de sucupira-preta (Bowdichia virgilioides Kunth.) (2009) Rev. Bras. Sementes, 31 (1), pp. 12-19; Araméndiz-Tatis, H., Cardona-Ayala, C., Alzate-Ro-mán, K., Prueba de conductividad eléctrica en la evaluación de la calidad fisiológica de semillas en be-renjena (Solanum melongena L.) (2017) Sci. Agropecu, 8 (3), pp. 225-231; Araméndiz-Tatis, H., Espitia-Camacho, M., Cardo-na-Ayala, C., Adaptation and stability of cowpea (Vigna unguiculata (L.) Walp) bean cultivars in the tro-pical dry forest of Colombia (2019) Aust. J. Crop Sci, 13, pp. 1009-1016. , (06); Arun, M.N., Bhanuprakash, K., Shankar, S., Senthivel, T., Effects of seed priming on biochemical parameters and seed germination in cowpea [Vigna ungui-culata (L.) Walp] (2017) Legume Res, 40 (3), pp. 562-570; Bahry, C.A., Perboni, A.T., Nardino, M., Zimmer, P.D., Physiological quality and imbibitions of soy-bean seeds with contrasting coats (2017) Rev. Cienc. Agron, 48 (1), pp. 125-133; Batista, N.A.S., Luz, P.B., Sobrinho, S.P., Neves, L.G., Krause, W., Avaliação da qualidade fisiológica de sementes de feijão-caupi pelo teste de condutivida-de elétrica (2012) Rev. Ceres, 59 (4), pp. 550-554; Bortey, H.M., Sadia, A.O., Asibuo, J.Y., Influence of seed storage techniques on germinability and stora-bility of cowpea (Vigna unguiculata (L.) Walp) (2016) J. Agric. Sci, 8 (10), pp. 241-248; (2009) Regras para análise de sementes, , Brasil, Ministério da Agricultura, Pecuária e Abastecimento. Brasilia; Carvalho, E.R., Mavaieie, D.P.R., Oliveira, J.A., Carval-ho, M.V., Vieira, A.R., Alterações isoenzimáticas em sementes de cultivares de soja em diferentes con-dições de armazenamento (2014) Pesq. Agropec. Bras, 49 (12), pp. 967-976; Carvalho, N.M., Nakagawa, J., (2012) Sementes: ciên-cia, tecnologia e produção, , 5th ed. FUNEP, Jaboticabal, Brazil; Chagas, J.T.B., Farias, J.E.C., Souza, R.F., Freitas Júnior, S.P., Costa, M.G.S., Germinação e vigor de se-mentes crioulas de feijão-caupi (2018) Agrar. Acad, 5 (9), pp. 487-498; (2015) Re-solución 3168, por medio de la cual se reglamenta y controla la producción, importación y exportación de semillas producto del mejoramiento genético para la comercialización y siembra en el país, así como el re-gistro de las unidades de evaluación agronómica y/o unidades de investigación en fitomejoramiento y se dictan otras disposiciones, , Colombia, Instituto Colombiano Agropecuario. DO 49.632. Bogota; Dutra, A.S., Medeiros Filho, S., Teófilo, E.M., Con-dutividade elétrica em sementes de feijão caupí (2006) Rev. Cienc. Agron, 37 (2), pp. 166-170; Elli, E.F., Monteiro, G.C., Kulczynski, S.M., Caron, B.O., Souza, V.Q., Potencial fi-siológico de sementes de arroz tratadas com biorregu-lador vegetal (2016) Rev. Cienc. Agron, 47 (2), pp. 366-373; (2019) Materiales para capacitación em semillas. Control de calidad y certificación de semillas, , Roma; (2021) FAOSTAT-Producción, , http://www.fao.org/faostat/es/#data/QC, database, consulted: June, 2021; Ferreira, R.L., Novembre, A.D.L.C., Estimati-va do vigor das sementes e das plântulas de Bixa orellana L (2016) Rev. Cienc. Agron, 47 (1), pp. 101-107; Gonzales, J.L.S., Valeri, S.V., Prueba de la conducti-vidad eléctrica en la evaluación fisiológica de la calidad de semillas en Zeyheria tuberculosa (2011) Bosque, 32 (2), pp. 197-202; Kirigia, D., Winkelmann, T., Kasili, R., Mibus, H., Development stage, storage temperature and storage duration influence phytonutrient content in cowpea (Vigna unguiculata L. Walp.) (2018) Heliyon, 4 (6), p. e00656; Maguire, J.D., Speed of germination: Aid in selection and evaluation for seedling emergence and vigor (1962) Crop Sci, 2 (2), pp. 176-177; Marcos-Filho, J., (2015) Fisiología de sementes de plantas cul-tivadas, , 2nd ed. Abrates, Londrina, Brazil; Moura, M.L.S., Chagas, E.A., Smiderle, O.J., Vilaça, R., Chagas, P.C., Moura, E.A., Farias, E.E., Biometric characterization, water absorption curve and vigor on Araçá-Boi seeds (2016) Int. J. Plant Biol, 7 (1), p. 6265; Moura, M.C.F., Lima, L.K.S., Santos, C.C., Dutra, A.S., Teste da condutividade elétricana avaliação fisio-lógica em sementes de Vigna unguiculata (2017) Rev. Cienc. Agrar, 40 (4), pp. 714-721; Oliveira, D.L., Smiderle, O.J., Paulino, P.P.S., Sou-za, A.G., Water absorption and method improvement concerning electrical conductivity testing of Acacia mangium (Fabaceae) seeds (2016) Rev. Biol. Trop, 64 (4), pp. 1651-1660; Palencia Severiche, G., Mercado, T., Combatt, E.M., (2006) Estudio agroclimático del departamento de Cór-doba, , Universidad de Córdoba, Monteria, Colombia; Ruíz Pérez, P.A., Araméndiz Tatis, H., Cardona Ayala, C., Efecto del almacenamiento en la cali-dad fisiológica de semilla de moringa (Moringa oleífera Lam.) (2017) Rev. U.D.C.A Act. &amp; Div. Cient, 20 (1), pp. 79-89; Sarma, A.K., Devi, M.R., Nigam, A., Efficiency of storage device for long term storage of cowpea seeds (2014) Int. J. Agric. Environ. Biotechnol, 7 (2), pp. 233-240; Shaheen, R., Srinivasan, K., Anjum, N.A., Umar, S., Ageing-induced changes in nutritional and an-ti-nutritional factors in cowpea (Vigna unguiculata L.) (2019) J. Food Sci. Technol, 56 (4), pp. 1757-1765; Silva, M.B.O., Carvalho, A.J., Batista, P.S.C, Santos Jú-nior, P.V., Oliveira, S.M., Desempenho agronó-mico de genótipos de feijão-caupi (2019) Rev. Cienc. Agrar, 41 (4), pp. 1059-1066; Silva, F.E.A., Torres, S.B., Carvalho, S.M.C., Bai, M., Lopes, W.A.R., Physical and physiological attributes of saved cowpea seeds used in the brazilian semi-arid region (2019) Rev. Caatinga, 32 (1), pp. 113-120; Silva, S.S., Vieira, R.D., Grzybowski, C.R.S., Carvalho, T.C., Panobianco, M., Electrical conductivity of different common bean seeds genotypes (2013) J. Seed Sci, 35 (2), pp. 216-224; Smiderle, O.J., Souza, A.G., Alves, J.M.A., Bar-bosa, C.Z.R., Physiological quality of cowpea seeds for different periods of storage (2017) Rev. Ciênc. Agron, 48, pp. 817-823. , (Su-ppl. 5); Tavares, C.J., Ferreira, P.C., Jakelaitis, A., Sales, J.F., Resende, O., Physiological and sanitary quality of desiccated and stored azuki bean seeds (2016) Rev. Caatinga, 29 (1), pp. 66-75; Tesfay, S.Z., Modi, A.T., Mohammed, F., The effect of temperature in moringa seed phytochemical compounds and carbohydrate mobilization (2016) S. Afr. J. Bot, 102 (1), pp. 190-196; Xavier, F.M., Eberhardt, P.E.R., Almeida, A.S., Mar-tins, A.B.N., Carvalho, I.L., Tunes, L.M., Teste de condutividade elétrica em sementes de feijão miúdo (Vigna unguiculata) (2017) Rev. Verde Agroecologia Desen-volv. Sustent, 12 (2), pp. 204-209; Zucareli, C., Brzezinski, C.R., Abati, J., Werner, F., Ramos Júnior, E.U., Nakagama, J., Qualidade fisio-lógica de sementes de feijão carioca armazenadas em diferentes ambientes (2015) Rev. Bras. Eng. Agric. Ambient, 19 (8), pp. 803-809</t>
  </si>
  <si>
    <t>2-s2.0-85143840552</t>
  </si>
  <si>
    <t>Kondo T., Woolley J.B., Campos-Patiño Y.</t>
  </si>
  <si>
    <t>9841257300;35888045800;57245970000;</t>
  </si>
  <si>
    <t>Report and diagnoses of Hambletonia pseudococcina Compere (Hymenoptera: Encyrtidae) and Pseudiastata sp. (Diptera: Drosophilidae): Natural enemies of Dysmicoccus brevipes (Cockerell) (Hemiptera: Pseudococcidae) in Valle del Cauca, Colombia [Reporte y diagnosis de Hambletonia pseudococcina Compere (Hymenoptera: Encyrtidae) y Pseudiastata sp. (Diptera: Drosophilidae): Enemigos naturales de Dysmicoccus brevipes (Cockerell) (Hemiptera: Pseudococcidae) en el Valle del Cauca, Colombia]</t>
  </si>
  <si>
    <t>e13160</t>
  </si>
  <si>
    <t>10.17584/rcch.2022v16i1.13160</t>
  </si>
  <si>
    <t>https://www.scopus.com/inward/record.uri?eid=2-s2.0-85143837388&amp;doi=10.17584%2frcch.2022v16i1.13160&amp;partnerID=40&amp;md5=522808156ad971395e3a40868fa3a706</t>
  </si>
  <si>
    <t>Corporación Colombiana de Investigación Agropecuaria – Agrosavia, Centro de Investigación Palmira, Palmira, Colombia; Texas A&amp;M University, Department of Entomology, College Station, United States</t>
  </si>
  <si>
    <t>Kondo, T., Corporación Colombiana de Investigación Agropecuaria – Agrosavia, Centro de Investigación Palmira, Palmira, Colombia; Woolley, J.B., Texas A&amp;M University, Department of Entomology, College Station, United States; Campos-Patiño, Y., Corporación Colombiana de Investigación Agropecuaria – Agrosavia, Centro de Investigación Palmira, Palmira, Colombia</t>
  </si>
  <si>
    <t>During a study carried out to determine the prevalence of mealybugs in pineapple (Ananas comosus) orchards conducted in the department of Valle del Cauca, Colombia, the parasitoid wasp Hambletonia pseudococcina Compere, 1936 (Hymenoptera: Encyrtidae) and the predatory fly Pseudiastata sp. (Diptera: Drosophilidae) were found in association with the pineapple mealybug Dysmicoccus brevipes (Cockerell, 1893) (Hemiptera: Pseudococcidae). These two natural enemies are briefly diagnosed and illustrated. This is the first record of the genus Pseudiastata in Colombia. © 2022, Universidad Pedagogica y Tecnologica de Colombia. All rights reserved.</t>
  </si>
  <si>
    <t>Additional Ananas comosus; biological control; endoparasitoid; odoriferous secretions; species diagnosis; taxonomy</t>
  </si>
  <si>
    <t>The authors thank Dr. Penny J. Gullan (Australian National University, Canberra) and two anonymous reviewers for kindly reviewing the manuscript. This research Project was funded in part by the Colombian Corporation for Agricultural Research – Agrosavia, project: “Estrategias para el manejo integrado de las principales enfermedades y plagas que se presentan en el cultivo de piña (cultivar MD2) en los departa-mentos del Valle del Cauca y Santander”, Grant No. TV19.</t>
  </si>
  <si>
    <t>The authors thank Dr. Penny J. Gullan (Australian National University, Canberra) and two anonymous reviewers for kindly reviewing the manuscript. This research Project was funded in part by the Colombian Corporation for Agricultural Research – Agrosavia, project: “Estrategias para el manejo integrado de las principales enfermedades y plagas que se presentan en el cultivo de piña (cultivar MD2) en los departamentos del Valle del Cauca y Santander”, Grant No. TV19.</t>
  </si>
  <si>
    <t>Brake, I., Bächli, G., (2008) World catalogue of insects in Drosophilidae (Diptera), 9. , Apollo Books, Stenstrup, Denmark; Caballero, A., Ramos-Portilla, A.A., Kondo, T., Scale insects (Hemiptera: Coccomorpha) on sugarcane in Colombia, with description of a new species of Tillancoccus Ben-Dov (Coccidae) (2017) Zootaxa, 4258 (5), pp. 490-500; Ceballos, M.R., Granada, C., Hambletonia pseudococcina Compere (Hymenoptera: Chalcidoidea: Encyrtidae): New report in Cuba (2004) Rev. Prot. Veg, 19 (1), p. 70; (2016) Principales características del cultivo de la piña (Ananas comosus L.). Insumos y factores asociados a la producción agropecuaria, , ht-tps://www.dane.gov.co/files/investigaciones/agrope-cuario/sipsa/Bol_Insumos_dic_2016.pdf, DANE, Dirección Nacional de Estadística Colombia. Boletín Mensua 54. consulted: June 2021; (2021) FAOSTAT database, , http://www.fao.org/faostat/en/#data/QC/visualize, consulted: June, 2021; Gibson, G.A.P., Morphology and terminology (1997) Annotated keys to the genera of Nearctic Chalcidoidea, pp. 16-44. , Gibson, G.A.P., J.T. Huber, and J.B. Woolley (eds). NRC Research Press, Ottawa, Canada; Gil, P.Z.N., Benavides, M.P., Constantino, L.M., Hemiptera: Coccoidea de las raíces del café y sus parasitoides en el Valle del Cauca (2016) Rev. Cenicafe, 67 (1), pp. 73-80. , C; Hardy, D.E., A review of the genus Pseudiastata Coquillett (Drosophilidae, Diptera) (1959) Proc. Hawaii Entomol. Soc, 17 (1), pp. 76-82; Mesa-Cobo, N., Gómez, E.D., Huertas, C., Mena, Y.M., Hernandez, C.A., Henao, E.D., Cobo, M., (2014) Programa de manejo fitosanitario en piña en el departamento del Valle del Cauca, , Universidad Nacional de Colombia, Sede Palmira, Facultad de Ciencias Agropecuarias, Palmira, Colombia; Morton, J., Pineapple (1987) Fruits of warm climates, pp. 18-28. , https://hort.purdue.edu/newcrop/morton/pineapple.html, Julia F. Moton, Miami, FL consulted: June 2021; Mosquera Ramírez, S.Y., Identificación y caracterización de plagas y enfermedades asociadas con el cultivo tradicional de piña Ananas comosus (L. Merr) en comunidades del municipio de Lloró, departamento del Chocó, Colombia (2016) Rev. Bioetnia, 13 (1), pp. 78-86; Noyes, J.S., Collecting and preserving chalcid wasp (Hymenoptera: Chalcidoidea) (1982) J. Nat. Hist, 16 (3), pp. 315-334; Noyes, J.S., Encyrtidae of Costa Rica (Hymenopera: Chalcidoidea), 1, The Subfamily Tetracneminae, Parasitoids of Mealybugs (Homoptera: Pseudococcidae) (2000) Memoirs of the American Entomological Institute, 62, pp. 1-355. , Gainesville, FL; Noyes, J.S., (2019) Universal Chalcidoidea database, , http://www.nhm.ac.uk/chalcidoids, consulted: March, 2019; Pacheco da Silva, V.C., Kaydan, M.B., Basso, C., Pseudococcidae (Hemiptera: Coccomorpha) in Uruguay: morphological identification and molecular characterization, with descriptions of two new species (2020) Zootaxa, 4894 (4), pp. 501-520; Sabrosky, C.W., Two new species of Pseudiastata (Dipt., Drosophilidae) predacious on the pineapple mealybug (1951) Bull. Entomol. Res, 41 (3), pp. 623-627; Sharkov, A., Woolley, J.B., A revision of the genus Hambletonia Compere (Hymenoptera: Encyrtidae) (1997) J. Hymenopt. Res, 6 (2), pp. 191-218; Tanaka, H., Kamitani, S., Two new species of Coccomorpha (Hemiptera: Sternorrhyncha) collected from Japanese silver grass, Miscanthus sinensis (Poaceae) in Okinawa Island, Japan (2021) Zootaxa, 4941 (4), pp. 569-579; Villalobos-Moreno, A., Agudelo, J.C., Barajas-S., A.F., Herrera, S., Céspedes, J.C., Cambios morfológicos durante la ontogenia del estado pupal de Melanoloma viatrix (Diptera: Richardiidae) (2009) Rev. Colomb. Entomol, 35 (1), p. 98. , M., Q., and; Williams, D.J., Granara de Willink, M.C., (1992) Mealybugs of Central and South America, , CAB International, London</t>
  </si>
  <si>
    <t>Kondo, T.; Corporación Colombiana de Investigación Agropecuaria – Agrosavia, Colombia; email: tkondo@agrosavia.co</t>
  </si>
  <si>
    <t>2-s2.0-85143837388</t>
  </si>
  <si>
    <t>Gómez-Gutiérrez S.V., Beltrán-Acosta C.R., Gómez-Caro S.</t>
  </si>
  <si>
    <t>57560280100;57211452678;57208821585;</t>
  </si>
  <si>
    <t>In vitro effect of cocoa leachates on growth and development of Moniliophthora roreri ([Cif.] H.C. Evans et al.) isolated from Theobroma cacao (L.) [Evaluación in vitro de lixiviados de cacao sobre el crecimiento y desarrollo de Moniliophthora roreri ([Cif.] H.C. Evans et al.) aislado de Theobroma cacao (L.)]</t>
  </si>
  <si>
    <t>e13882</t>
  </si>
  <si>
    <t>10.17584/rcch.2022v16i2.13882</t>
  </si>
  <si>
    <t>https://www.scopus.com/inward/record.uri?eid=2-s2.0-85143835044&amp;doi=10.17584%2frcch.2022v16i2.13882&amp;partnerID=40&amp;md5=6d44c37384c50c039045c7016720d015</t>
  </si>
  <si>
    <t>Universidad Nacional de Colombia, Facultad de Ciencias Agrarias, Bogota, Colombia; Corporación Colombiana de Investigación Agropecuaria (AGROSAVIA), Centro de Investigación Tibaitatá, Mosquera, Colombia</t>
  </si>
  <si>
    <t>Gómez-Gutiérrez, S.V., Universidad Nacional de Colombia, Facultad de Ciencias Agrarias, Bogota, Colombia; Beltrán-Acosta, C.R., Corporación Colombiana de Investigación Agropecuaria (AGROSAVIA), Centro de Investigación Tibaitatá, Mosquera, Colombia; Gómez-Caro, S., Universidad Nacional de Colombia, Facultad de Ciencias Agrarias, Bogota, Colombia</t>
  </si>
  <si>
    <t>The cocoa crop is part of the peasant’s economic activity and agroforestry systems in many regions of Colombia and the world. Its yields are diminished by phytosanitary problems, being the frosty pod rot caused by the fungus Moniliophthora roreri, the most limiting disease with decreases in production of over 90%. In this study, samples of cocoa leachates from commercial producing farms were characterized and the antifungal activity of sterilized, non-sterilized, and filtered cocoa leachates against M. roreri was evaluated under in vitro conditions, at concentrations of 1, 2, 5, 10, and 15%. Monosporic isolates of the pathogen were obtained from diseased fruits collected from cocoa-producing farms in the municipality of Yacopi in Cundinamarca, Co-lombia. The effect of leachates on M. roreri conidial germination, mycelial growth, and inoculum production was evaluated. It was found that non-sterilized cocoa leachates at all concentrations caused 100% reduction on the three variables evaluated, while sterilized leachates generated the same effect at concentrations of 10 and 15%. Filtered leachates showed no inhibitory effect on the radial growth of the pathogen, but they caused a reduction of conidial germination of 89.9, 90.5 and 95.9% at concentrations of 5, 10, and 15%. The presence of malic, citric, and ascorbic acids, compounds such as NH4, PO4, and NO3, and elements such as Ca, K, Na, Mg, and Cl in the evaluated leachates was identified using high-efficiency liquid chromatography and physicochemical analysis. This research showed the potential of cocoa leachates, even at low concentrations, for the control of M. roreri, which can be attributed to the action of specific compounds such as those found in chromatographic tests. © 2022, Universidad Pedagogica y Tecnologica de Colombia. All rights reserved.</t>
  </si>
  <si>
    <t>Additional fungal mycelial growth; conidia germination; frosty pod rot disease; liquid products</t>
  </si>
  <si>
    <t>The authors would like to thank Universidad Nacio-nal de Colombia for providing the equipment and resources, and funding the research through the project “Mejoramiento de la tecnología de producción de cacao en las provincias de Rionegro y Alto Magdalena, Cundinamarca” within the frame of “Corredor Tecnológico Agroindustrial – Bogotá Cundinamarca. Derivado 2”. They are also grateful to “Federación Na-cional de Cacaoteros - FEDECACAO” for supporting the researchers in the study area, and all the farmers from the municipality of Yacopi for their cooperation.</t>
  </si>
  <si>
    <t>Aguilera Rodríguez, I., Pérez Silva, R.M., Marañón Reyes, A., Determinación de sulfato por el método turbidimétrico en aguas y aguas residuales (2010) Validación del método. Rev. Cuba. Quim, 22 (3), pp. 39-44; Álvarez, E., Cortés, J., Ceballos, G., Alternativas para el manejo de la Sigatoka negra en plátano Do-minico Hartón (AAB) mediante el uso de lixiviados y productos biológicos (2010) MusaLAC, 1 (2), pp. 3-5; Álvarez, E., Grajales, C., Villegas, J., Loke, J., (2001) CIAT informe anual. Control del mildeo polvoso (Sphaero-theca panosa var. rosae) en rosa, usando un lixiviado de compost del raquis de plátano (Musa AAB), , CIAT, Palmira, Colombia; Álvarez, E., Pantoja, A., Gañán, L., Ceballos, G., (2015) Current status of Moko disease and black sigatoka in Latin America and the Caribbean, and options for ma-naging them, , Publication 404. CIAT, Cali, Colombia; Arana-Sánchez, A., Segura-García, L.E., Kirchmayr, M., Orozco-Ávila, I., Lugo-Cervantes, E., Gschaed-ler-Mathis, A., Identification of predominant yeasts associated with artisan Mexican cocoa fermentations using culture-dependent and culture-independent approaches (2015) World J. Microbiol. Biotechnol, 31, pp. 359-369. , https://doi.org/10.1007/s11274-014-1788-8; Arenas, A., López, D., Álvarez, E., Llano, G., Loke, J., Efecto de prácticas ecológicas sobre la población de Ralstonia solanacearum Smith, causante de Moko de plátano (2004) Fitopatol. Colomb, 28 (2), pp. 76-80; Arcos-Méndez, M.C., Martínez-Bolaños, L., Ortíz-Gil, G., Martínez-Bolaños, M., Avendaño-Arrazate, C.H., Efecto in vitro de extractos vegetales contra la moniliasis (Moniliophthora roreri) del cacao (Theobroma cacao L.) (2019) Agric. Trop, 5 (1), pp. 19-24; Ardhana, M.M., Fleet, G.H., The microbial ecology of cocoa bean fermentations in Indonesia (2003) Int. J. Food Microbiol, 86 (1-2), pp. 87-99. , https://doi.org/10.1016/S0168-1605(03)00081-3; Barrera Necha, L.L., García Barrera, L.J., Actividad antifúngica de aceites esenciales y sus compuestos so-bre el crecimiento de Fusarium sp. aislado de papaya (Carica papaya) (2008) Rev. UDO Agrícola, 8 (1), pp. 33-41; Bailey, B.A., Evans, H.C., Phillips-Mora, W., Ali, S.S., Meinhardt, L.W., Moniliophthora roreri, causal agent of cacao frosty pod rot (2018) Mol. Plant Pathol, 19 (7), pp. 1580-1594. , https://doi.org/10.1111/mpp.12648; Bateman, R.P., Hidalgo, E., García, J., Arroyo, C., Ten Hoopen, G.M., Adonijah, V., Krauss, U., Application of chemical and biological agents for the management of frosty pod rot (Moniliophtho-ra roreri) in Costa Rican cocoa (Theobroma cacao) (2005) Ann. Appl. Biol, 147, pp. 129-138. , https://doi. org; Bele, L., Kra Kouamé, D., Patrice Assiri, K., Atta Dia-llo, H., Antifungal activity of banana rachis lea-chate on some fungi responsible for banana (Musa acuminate Colla) post-harvest diseases (2018) Int. J. Environ. Agric. Res, 4 (3), pp. 1-6. , https://doi.org/10.5281/zenodo.1213546; Boubakri, H., The role of ascorbic acid in plant–pa-thogen interactions (2017) Ascorbic acid in plant growth, development and stress toleran-ce, pp. 255-271. , https://doi.org/10.1007/978-3-319-74057-7_10, Anwar Hossain, M., S. Munné-Bosch, D.J. Burritt, P. Diaz-Vivan-cos, M. Fujita, and A. Lorence (eds). Springer, Cham, Switzerland; Bubici, G., Kaushal, M., Prigigallo, M.I., Gómez-Lama, C., Mercado-Blanco, J., Biological control agents against Fusarium wilt of banana (2019) Front. Microbiol, 10, p. 616. , https://doi.org/10.3389/fmicb.2019.00616; Camu, N., De Winter, T., Verbrugghe, K., Cleenwerck, I., Vandamme, P., Takrama, J.S., Vancanneyt, M., De Vuyst, L., Dynamics and biodiversity of popula-tions of lactic acid bacteria and acetic acid bacteria involved in spontaneous heap fermentation of cocoa beans in Ghana (2007) Appl. Environ. Microbiol, 73 (6), pp. 1809-1824. , https://doi.org/10.1128/AEM.02189-06; Carr, J.G., Davies, P.A., Dougan, J., (1979) Cocoa fermentation in Ghana and Malaysia: Further microbial methods and results, , University of Bristol Research Station, London; Carrasquero, D., Castillo, P., Determinación conductimétrica de cloruros en extractos de satura-ción de suelos (2002) Agron. Trop, 52 (4), pp. 555-563. , A. and; Carrera-Sánchez, K., Mosquera Paredes, L., Lei-va-Mora, M., Protocolo para el aislamiento de Mo-niliophthora roreri (Cif y Par) Evans et al. en frutos de cacao cv. ‘Nacional’ de la Amazonía ecuatoriana (2014) Bio-tecnol. Vegetal, 14 (3), pp. 147-150; Ceballos, I., Mosquera, S., Ángulo, M., Mira, J.J., Argel, L.E., Uribe-Velez, D., Romero-Tabarez, M., Villegas, V., Cultivable bacteria population associated with leaves of banana and plantain plants and their antagonistic activity against Mycosphaerella fijiensis (2012) Microb. Ecol, 64, pp. 641-653. , https://doi. org; Chang, H.-T., Cheng, Y.-H., Wu, C.-L., Chang, S.-T., Chang, T.-T., Su, Y.-C., Antifungal activity of essential oil and its constituents from Calocedrus macro-lepis var. formosana Florin leaf against plant pathogenic fungi (2008) Bioresour. Technol, 99, pp. 6266-6270. , https://doi.org/10.1016/j.biortech.2007.12.005; Chuah, T.S., Tan, Y.Y., Ismail, B.S., In vitro evaluation of the antifungal activity of some essential oils on post-harvest fungal pathogens of tropical fruits (2010) Plant Prot. Q, 25 (4), pp. 162-164; Correa Álvarez, J., Castro Martínez, S., Coy, J., Estado de la moniliasis del cacao causada por Moni-liophthora roreri en Colombia (2014) Acta Agron, 63 (4), pp. 388-399. , https://doi.org/10.15446/acag.v63n4.42747; D’Angelo, E., Crutchfield, J., Vandiviere, M., Ra-pid, sensitive, microscale determination of phosphate in water and soil (2001) J. Environ. Qual, 30 (6), pp. 2206-2209. , https://doi.org/10.2134/jeq2001.2206; Dorna, H., Rosińska, A., Szopińska, D., The effect of acetic acid treatments on the quality of stored ca-rrot (Daucus carota L.) seeds (2021) Agronomy, 11 (6), p. 1176. , https://doi.org/10.3390/agronomy11061176; Egan, M.J., Wang, Z.-Y., Jones, M.A., Smirnoff, N., Talbot, N.J., Generation of reactive oxygen species by fungal NADPH oxidases is required for rice blast disea-se (2007) Proc. Natl. Acad. Sci. USA, 104 (28), pp. 11772-11777. , https://doi.org/10.1073/pnas.0700574104; Evans, H.C., Holmes, K.A., Reid, A.P., Phylo-geny of the frosty pod rot pathogen of cocoa (2003) Plant Pathol, 52 (4), pp. 476-485. , https://doi.org/10.1046/j.1365-3059.2003.00867.x; (2021) Así se comportó la producción de cacao por departamentos en el 2020, , https://www.fede-cacao.com.co/post/copy-of-design-a-stunning-blog, consulted: March, 2021; Flood, J., Murphy, R., (2004) Cocoa futures—A source book of some important issues confronting the cocoa industry, , (eds). Commodities Press, Chinchina, Colombia; Fox, J., Weisberg, S., (2019) An R companion to applied regression, , https://social-sciences.mcmaster.ca/jfox/Books/Companion/, 3rd ed. Sage, Oaks, CA; Fromm, I., From small chocolatiers to multinationals to sustainable sourcing: a historical review of the Swiss chocolate industry (2016) The economics of chocola-te, pp. 71-87. , Squicciarini, M.P. and J. Swinnen (eds). Oxford University Press, Oxford, UK; Fujiwara, A., Shimura, H., Masuta, C., Sano, S., Inukai, T., Exogenous ascorbic acid derivatives and dehy-droascorbic acid are effective antiviral agents against Turnip mosaic virus in Brassica rapa (2013) J. Gen. Plant Pa-thol, 79, pp. 198-204. , https://doi.org/10.1007/s10327-013-0439-5; Garcia-Armisen, T., Papalexandratou, Z., Hendryckx, H., Camu, N., Vrancken, G., De Vuyst, L., Cornelis, P., Diversity of the total bacterial community associated with Ghanaian and Brazilian cocoa bean fermentation samples as revealed by a 16S rRNA gene clone library (2010) Appl. Microbiol. Biotechnol, 87, pp. 2281-2292. , ht-tps://doi.org; Huang, Y.H., Wang, R.C., Li, C.H., Zuo, C.W., Wei, Y.R., Zhang, L., Yi, G.J., Control of Fusarium wilt in banana with Chinese leek (2012) Eur. J. Plant Pathol, 134, pp. 87-95. , https://doi.org/10.1007/s10658-012-0024-3; Production of cocoa beans (2020) Quarterly Bulletin of Cocoa Sta-tistics, 46 (4). , https://www.icco.org/wp-content/uploads/Production-QBCS-XLVI-No-4.pdf, consul-ted: February, 2019; In, Y.-W., Kim, J.-J., Kim, H.-J., Oh, S.-W., Antimi-crobial activities of acetic acid, citric acid and lactic acid against Shigella species (2013) J. Food Saf, 33 (1), pp. 79-85. , https://doi.org/10.1111/jfs.12025; Jaimes, Y.Y., González, C., Rojas, J., Cornejo, O.E., Mi-deros, M.F., Restrepo, S., Cilas, C., Furtado, E.L., Geographic differentiation and population genetic structure of Moniliophthora roreri in the princi-pal cocoa production areas in Colombia (2016) Plant Dis, 100 (8), pp. 1548-1558. , https://doi.org/10.1094/PDIS-12-15-1498-RE; Jaimes Suárez, Y., Aranzazu Hernández, F., (2010) Mane-jo de las enfermedades del cacao (Theobroma cacao L.) en Colombia, con énfasis en monilia (Moniliophthora roreri), , Corpoica-La Suiza, Rionegro, Colombia; Jung, K.-H., Yoo, S.K., Moon, S.-K., Lee, U.-S., Furfural from pine needle extract inhibits the growth of a plant pathogenic fungus, Alternaria mali (2007) Mycobiology, 35 (1), pp. 39-43; Kamel, S.M., Afifi, M.M.I., El-shoraky, F.S., El-Sawy, M.M., Fulvic acid: A tool for controlling powdery and downy mildews in cucumber plants (2014) Int. J. Phyto-pathol, 3 (2), pp. 101-108. , https://doi.org; Kang, H.-C., Park, Y.-H., Go, S.-J., Growth inhi-bition of a phytopathogenic fungus, Colletotrichum species by acetic acid (2003) Microbiol. Res, 158 (4), pp. 321-326. , https://doi.org/10.1078/0944-5013-00211; Krauss, U., Hidalgo, E., Bateman, R., Adonijah, V., Arroyo, C., García, J., Crozier, J., Holmes, K.A., Improving the formulation and timing of application of endophytic biocontrol and chemical agents against frosty pod rot (Moni-liophthora roreri) in cocoa (Theobroma cacao) (2010) Biol. Control, 54 (3), pp. 230-240. , https://doi.org; Li, J., Trivedi, P., Wang, N., Field evaluation of plant defense inducers for the control of citrus Huanglong-bing (2016) Phytopathology, 106 (1), pp. 37-46. , https://doi.org/10.1094/PHYTO-08-15-0196-R; Lozada, B.S., Herrera, L.V., Perea, J.A., Stashenko, E., Escobar, P., Efecto in vitro de aceites esenciales de tres especies de Lippia sobre Moniliophthora roreri (Cif. y Par.) Evans et al., agente causante de la moniliasis del cacao (Theobroma cacao L.) (2012) Acta Agron, 61 (2), pp. 102-110; Mainer, Y., (2009) Control de la Sigatoka negra (Mycosphaere-lla fijiensis) del plátano con productos naturales (lixi-viado y antagonistas), , MSc. thesis. Institut National d’Horticulture et du Paysage, Université d’Angers, Angers, France; Marín Marín, P., Bustillo Parley, A.E., Pruebas microbiológicas y fisico-químicas para el control de calidad de los hongos entomopatógenos (2002) Mem. Curso Internacional Teórico-Práctico sobre Entomopatógenos, Parasitoides y otros Enemigos Naturales de la Broca del Café, pp. 72-89. , Cenicafé, Chinchiná, Colombia; Mogollón Ortiz, A.M., Castaño-Zapata, J., Evalua-ción in vitro de lixiviados del raquis del plátano sobre Paracercospora fijiensis (Morelet) Deighton (2010) Agronomía, 18 (2), pp. 17-23; Morgunov, I.G., Kamzolova, S.V., Dedyukhina, E.G., Chistyakova, T.I., Lunina, J.N., Mironov, A.A., Ste-panova, N.N., Vanshtein, M.B., Application of organic acids for plant protection against phytopathogens (2017) Appl. Microbiol. Biote-chnol, 101, pp. 921-932. , https://doi.org/10.1007/s00253-016-8067-6; Nielsen, D.S., Teniola, O.D., Ban-Koffi, L., Owusu, M., Anderson, T.S., Holzapfel, W.H., The microbio-logy of Ghanaian cocoa fermentations analyzed using culture-dependent and culture-independent methods (2007) Int. J. Food Microbiol, 114 (2), pp. 168-186. , https://doi.org; Okiyama, D.C.G., Navarro, S.L.B., Rodrigues, C.E.C., Cocoa shell and its compounds: applications in the food industry (2017) Trends Food Sci. Technol, 63, pp. 103-112. , https://doi.org; Osorio Gutiérrez, L.A., Castaño-Zapata, J., Gutiérrez Ríos, L.B., Eficacia in-vitro de lixiviados de pláta-no sobre Fusarium oxysporum Schlecht, causante de la pudrición de raíces de arveja (Pisum sativum Linneo) (2012) Agronomía, 20 (1), pp. 17-25; Ostovar, K., Keeney, P.G., Isolation and characterization of microorganisms involved in the fermentation of Trinidad’s cocoa beans (1973) J. Food Sci, 38 (4), pp. 611-617. , https://doi.org; Ouattara, H.G., Reverchon, S., Niamke, S.L., Nasser, W., Molecular identification and pectate lyase production by Bacillus strains involved in cocoa fermen-tation (2011) Food Microbiol, 28 (1), pp. 1-8. , https://doi.org/10.1016/j.fm.2010.07.020; Özer, N., Mirik, M., Citir, A., Effects of extracts from some medicinal plants and composts on pec-tolytic enzymes produced in liquid culture and on onion seeds by Aspergillus niger and Fusarium oxys-porum f. sp. cepae (2002) J. Turk. Phytopathol, 31 (3), pp. 137-154; Özer, N., Köycü, N.D., The ability of plant compost leachates to control black mold (Aspergillus ni-ger) and to induce the accumulation of antifungal compounds in onion following seed treatment (2006) Bio-Control, 51, pp. 229-243. , https://doi.org/10.1007/s10526-005-1035-1; Pacheco-Montealegre, M.E., Dávila-Mora, L.L., Bote-ro-Rute, L.M., Reyes, A., Caro-Quintero, A., Fine resolution analysis of microbial communities provides insights into the variability of cocoa bean fermen-tation (2020) Front. Microbiol, 11, p. 650. , https://doi. org; Papalexandratou, Z., Falony, G., Romanens, E., Jimenez, J.C., Amores, F., Daniel, H.-M., De Vuyst, L., Species diversity, community dynamics, and metabolite kinetics of the microbiota associated with traditional Ecuadorian spontaneous cocoa bean fermentations (2011) Appl. Environ. Microbiol, 77 (21), pp. 7698-7714. , ht-tps://doi.org/10.1128/AEM.05523-11; Papalexandratou, Z., Lefeber, T., Bahrim, B., Lee, O.S., Daniel, H.M., De Vuyst, L., Hanseniaspora opun-tiae, Saccharomyces cerevisiae, Lactobacillus fermentum, and Acetobacter pasteurianus predominate during we-ll-performed Malaysian cocoa bean box fermenta-tions, underlining the importance of these microbial species for a successful cocoa bean fermentation pro-cess (2013) Food Microbiol, 35 (2), pp. 73-85. , https://doi. org; Penagos Muñetón, A., Parra Coronado, A., Leguizamon García, A.L., Herrera Arévalo, A.O., Beltran Acosta, C.R., Pinilla Dativa, C.S., Sánchez Sáenz, C.M., Magnitskiy, S., Guía técnica para el cultivo de cacao en los municipios Nilo y Yacopí (Cundinamarca) (2019), Universidad Nacional de Colombia; Agrosavia. Bogota; Peña Hernández, Y., Santacruz de León, G., Char-cas Salazar, H., Calidad del agua en pozos de la red de monitoreo del acuífero del valle de San Luis Poto-sí, México (2012) Aqua-LAC, 4 (1), pp. 49-59. , https://doi.org/10.29104/phi-aqualac/2012-v4-1-06; Pereira, G.V.M., Soccol, V.T., Soccol, C.R., Current state of research on cocoa and coffee fermentations (2016) Curr. Opin. Food Sci, 7, pp. 50-57. , https://doi.or-g/10.1016/j.cofs.2015.11.001; Pérez-Vicente, L.F., Moniliophthora roreri H.C. Evans et al. and Moniliophthora perniciosa (Stahel) Aime: im-pact, symptoms, diagnosis, epidemiology and mana-gement (2018) Rev. Protec. Veg, 33 (1), pp. 1-13; Petlamul, W., Prasertsan, P., Evaluation of strains of Metarhizium anisophilae and Beauveria bassiana against Spodoptera litura in the basis of their virulence, germination rate, conidia production, radial growth and enzyme activity (2012) Mycobiology, 40 (2), pp. 111-116. , https://doi.org/10.5941/MYCO.2012.40.2.111; Phillips-Mora, W., Aime, M.C., Wilkinson, M.J., Biodiversity and biogeography of the cacao (Theobro-ma cacao) pathogen Moniliophthora roreri in tropical America (2007) Plant Pathol, 56 (6), pp. 911-922. , https://doi.org/10.1111/j.1365-3059.2007.01646.x; Phillips-Mora, W., Castillo, J., Krauss, U., Rodríguez, E., Wilkinson, M., Evaluation of cacao (Theo-broma cacao) clones against seven Colombian isolates of Moniliophthora roreri from four pathogen genetic groups (2005) Plant Pathol, 54 (4), pp. 483-490. , https://doi.org/10.1111/j.1365-3059.2005.01210.x; Phillips-Mora, W., Castillo, J., Coutiño, A., Or-tiz, C.F., López, A.P., Hernández, J., Aime, M.C., First report of Moniliophthora roreri causing frosty pod rot (moniliasis disease) of cocoa in Mex-ico (2006) Plant Pathol, 55 (4), pp. 584-584. , https://doi.org/10.1111/j.1365-3059.2006.01418.x, W., and; Phillips-Mora, W., Cawich, J., Garnett, W., Aime, M.C., First report of frosty pod rot (moniliasis di-sease) caused by Moniliophthora roreri on cacao in Belize (2006) Plant Pathol, 55 (4), pp. 584-584. , https://doi.org/10.1111/j.1365-3059.2006.01378.x; Phillips-Mora, W., Wilkinson, M.J., Frosty pod of cacao: A disease with a limited geographic ran-ge but unlimited potential for damage (2007) Phytopath, 97 (12), pp. 1644-1647. , https://doi.org/10.1094/PHYTO-97-12-1644; Pinzón Usuche, J.O., Rojas Ardila, J., Rojas, F., Ramírez, O.D., Moreno, F., Antolinez Castro, G., (2012) Guía técni-ca para el cultivo del cacao, , 5th ed. Fedecacao, Bogota; Pohl, P., Stecka, H., Jamroz, P., Fast and interfe-rence free determination of calcium and magnesium in honeys by solid phase extraction followed by fla-me atomic absorption spectrometry (2012) J. Braz. Chem. Soc, 23 (4), pp. 710-717. , https://doi.org/10.1590/S0103-50532012000400017; (2019) R: A language and en-vironment for statistical computing, , http://www.R-project.org/, R Founda-tion for Statistical Computing, Vienna; Ramírez, S., (2013) Efectividad de extractos vegetales en el manejo de la Moniliasis (Moniliophthora roreri) del cacao (Theobroma cacao L.) en México, , PhD thesis. Uni-versidad Nacional de Costa Rica, Heredia, Costa Rica; Ritz, C., Baty, F., Streibig, J.C., Gerhard, D., Do-se-response analysis using R (2015) PLos ONE, 10 (12), p. e0146021. , https://doi.org/10.1371/journal.pone.0146021; Roldán Pérez, G., Ramírez Restrepo, J.J., (2008) Funda-mentos de limnología neotropical, , 2nd ed. Editorial Universidad de Antioquia; Universidad Católica de Oriente; ACCEFYN, Medellin, Colombia; Sánchez Mora, F.D., Garcés Fiallos, F.R., Moni-liophthora roreri (Cif. y Par.) Evans et al. en el cultivo de cacao (2012) Sci. Agropecu, 3 (3), pp. 249-258. , https://doi. org; Sánchez-Mora, F., Zambrano Montufar, J., Vera Chang, J., Ramos Remache, R., Garcés Fiallos, F., Vásconez Montúfar, G., Productividad de clones de cacao tipo nacional en una zona del bosque húmedo tropical de la provincia de Los Ríos, Ecuador (2014) Cienc. Tecnol, 7 (1), pp. 33-41. , https://doi.org/10.18779/cyt.v7i1.134; Schwan, R.F., Vanetti, M.C.D., Silva, D.O., Lopez, A., Moraes, C.A., Characterization and distribution of aerobic, spore-forming bacteria from cacao fermentation in Bahia (1986) J. Food Sci, 51 (6), pp. 1583-1584. , ht-tps://doi.org/10.1111/j.1365-2621.1986.tb13872.x; Sikirou, R., Zannou, A., Gbèhounou, G., Tosso, F., Komlan, F.A., Fungicide effect of banana column juice on tomato southern blight caused by Sclerotium rolfsii: Technical and economic efficiency (2010) Afr. J. Agric. Res, 5 (23), pp. 3230-3238; Soumahoro, S., Ouattara, H.G., Droux, M., Nasser, W., Niamke, S.L., Reverchon, S., Acetic acid bacteria (AAB) involved in cocoa fermentation from Ivory Coast: species diversity and performance in acetic acid production (2020) J. Food Sci. Technol, 57 (5), pp. 1904-1916. , https://doi.org/10.1007/s13197-019-04226-2; Suárez Contreras, L.Y., Rangel Riaño, A.L., Aisla-miento de microorganismos para control biológico de Moniliophthora roreri (2013) Acta Agron, 62 (4), pp. 370-378; Tello Espinoza, P., Fernández Villagómez, G., Evaluación de la generación de lixiviados en pacas impermeabilizadas de residuos sólidos urbanos. Ex-perimento a gran escala (2012) Rev. Int. Contam. Ambie, 28, pp. 83-87. , (Suppl. 1); Viesser, J.A., Melo Pereira, G.V., Carvalho Neto, D.P., Favero, G.R., Carvalho, J.C., Goés-Neto, A., Rogez, H., Soccol, C.R., Global cocoa fermentation micro-biome: revealing new taxa and microbial functions by next generation sequencing technologies (2021) World. J. Microbiol. Biotechnol, 37, p. 118. , https://doi. org; Wacher Rodarte, M.C., Microorganismos y chocolate (2011) Revista Digital Universitaria, 12 (4), pp. 3-9; Weltzien, H., Biocontrol of foliar fungal diseases with compost extracts (1991) Microbial ecology of lea-ves, pp. 430-450. , https://doi.org/10.1007/978-1-4612-3168-4_22, Andrews, J.H. and S.S. Hirano (eds). Springer Verlag, New York; Wickham, H., (2009) ggplot2: Elegant graphics for data analysis, , Springer-Verlag, New York; Wickham, H., François, R., Henry, L., Müller, K., (2021) dplyr: A grammar of data manipulation, , https://CRAN.R-project.org/package=dplyr, R pac-kage version 1.0.6; Yang, J., Huang, J., Wang, C., Feng, Y., Effects of Allium tuberosum juice on the activities of two cell wall degrading enzymes produced by Fusarium oxysporum f. sp. cubense (2015) J. Zhongkai Univ. Agric. Eng, 28, pp. 64-66; Yin, X., Chen, K., Cheng, H., Chen, X., Feng, S., Song, Y., Liang, L., Chemical stability of ascorbic acid inte-grated into commercial products: A review on bioacti-vity and delivery technology (2022) Antioxidants, 11 (1), p. 153. , https://doi.org/10.3390/antiox11010153; Zeitsch, K., Applications of furfural (2000) Sugar series, 13, pp. 98-103. , https://doi.org/10.1016/S0167-7675(00)80014-7, Zeitsch, K.J. (ed) Else-vier, Amsterdam; Zheng, H., Zhang, Q., Quan, J., Zheng, Q., Xi, W., Determination of sugars, organic acids, aroma com-ponents, and carotenoids in grapefruit pulps (2016) Food Chem, 205, pp. 112-121. , https://doi.org</t>
  </si>
  <si>
    <t>Gómez-Gutiérrez, S.V.; Universidad Nacional de Colombia, Colombia; email: svgomezg@unal.edu.co</t>
  </si>
  <si>
    <t>2-s2.0-85143835044</t>
  </si>
  <si>
    <t>Fiorin T.T., Menegaes J.F., Rodrigues A.M., Swarowsky A.</t>
  </si>
  <si>
    <t>58002174200;57194174756;58000872400;15046117400;</t>
  </si>
  <si>
    <t>Broccoli and cauliflower seedling emergence and production in different substrates [Emergencia y producción de plántulas de brócoli y coliflor en diferentes sustratos]</t>
  </si>
  <si>
    <t>e14339</t>
  </si>
  <si>
    <t>10.17584/rcch.2022v16i2.14339</t>
  </si>
  <si>
    <t>https://www.scopus.com/inward/record.uri?eid=2-s2.0-85143816884&amp;doi=10.17584%2frcch.2022v16i2.14339&amp;partnerID=40&amp;md5=be0dad1d293d2da4e723c1ab9b18470d</t>
  </si>
  <si>
    <t>Universidade Federal de Santa Maria (UFSM), Santa Maria, Brazil; Universidade Estadual do Centro-Oeste (UNICENTRO), Guarapuava, Brazil</t>
  </si>
  <si>
    <t>Fiorin, T.T., Universidade Federal de Santa Maria (UFSM), Santa Maria, Brazil; Menegaes, J.F., Universidade Estadual do Centro-Oeste (UNICENTRO), Guarapuava, Brazil; Rodrigues, A.M., Universidade Federal de Santa Maria (UFSM), Santa Maria, Brazil; Swarowsky, A., Universidade Federal de Santa Maria (UFSM), Santa Maria, Brazil</t>
  </si>
  <si>
    <t>Inflorescence brassicas, such as broccoli and cauliflower, rich in fiber and vitamins, are widely consumed in Brazil, and present an average production of 23 t ha-1. Despite this demand, the quality of seedlings of both species is one of the main factors that limit production. Thus, the objective of this study was to evaluate broccoli and cauliflower seedling emergence and production in different substrates, using the irrigation method named Deep Film Technique (DFT) on a table. The experiment was carried out in a completely randomized design, 7×2: substrate compositions (volumetric proportions of 1:0:0; 0:1:0; 0:0:1; 1:1:1; 1:1:0; 1:0:1 and 0:1:1, containing commercial substrate Carolina Soil®, carbonized rice husk and medium textured sand) and inflorescence brassicas (broccoli and cauliflower), with four replications. Each experimental unit consisted of 50 seeds/seedlings. At 21 days after sowing (DAS), it was evaluated the percentage, index, time, speed and frequency of emergence, and, at 35 DAS, clod stability, number of leaves and seedling length. It was observed that there was good seed germination and seedling formation for both species in all substrate compositions and with the aid of the DFT irrigation method on a table. Under these conditions, for both species, substrate compositions of 1:0:0; 1:1:1 and 1:1:0 are recommended. © 2022, Universidad Pedagogica y Tecnologica de Colombia. All rights reserved.</t>
  </si>
  <si>
    <t>Brassica oleracea L. var. botrytis; Brassica oleracea L. var. italica; hydroponics; inflorescence brassicas; soilless culture</t>
  </si>
  <si>
    <t>Alvares, C.A., Stape, J.L., Sentelhas, P.C., deMoraesGonçal-ves, J.L., Sparovek, G., Koppen’s climate classi-fication map for Brazil (2013) Meteorol. Z, 22 (6), pp. 711-728. , https://doi.org/10.1127/0941-2948/2013/0507; Barros, G.S.C., Boteon, M., (2021) Anuário Brasileiro de Horti &amp; Fruti 2021, , Editora Gazeta, Santa Cruz do Sul, Brazil; Bezerra Neto, E., Barreto, L.P., As técnicas de hi-droponia (2011) An. Acad. Pern. Cienc. Agron, 8 (1), pp. 107-137; (2012) Portaria nº. 111, de 4 de setembro de 2012, , D.O.U. 05/09/2012. Brasília; Ferreira, D.F., Sisvar: A guide for its bootstrap pro-cedures in multiple comparisons (2014) Ciênc. Agro-tec, 38 (2), pp. 109-112. , https://doi.org/10.1590/S1413-70542014000200001; Filgueira, F.A.R., (2013) Novo manual de olericultura: agro-tecnologia moderna na produção e comercialização de hortaliças, , Ed. UFV, Viçosa, Brazil; Fiorin, T.T., Menegaes, J.F., Nunes, U.R., Substra-tos para testes de emergência de plântulas de alface sob sistema semi-hidropônico (2021) Olericultura: foco em pesquisa da produção de mudas ao processamento, pp. 74-83. , Mene-gaes, J.F. and T.T. Fiorin (Org). E-Publicar, Rio de Janeiro, Brazil; Franzen, F.L., Oliveira, M.S.R., Lidóriao, H.F., Menegaes, J.F., Fries, L.L.M., Chemical composition of rose, sunflower and calendula flower petals for human food use (2019) Cienc. Tecnol. Agropec, 20 (1), pp. 159-168. , Doi:ht-tps://doi.org/10.21930/rcta.vol20_num1_art:1252; Furbeck, S.M., Bourland, F.M., Watson, C.E., Relationship of seed and germination measurements with resistance to seed weathering cotton (1993) Seed Sci. Tech-nol, 21 (3), pp. 505-512; Kämpf, A.N., Takane, R.J., Siqueira, P.T.V., Flori-cultura-técnicas de preparo de substratos (2006), Tecnologia Fácil 19. LK Editora, Brasilia; Labouriau, L.G., Valadares, M.E.B., On the germination of seeds Calotropis procera (Ait.) Ait.f (1976) An. Acad. Bras. Ciênc, 48 (2), pp. 263-284; Maguire, J.D., Speed of germination—aid in selection and evaluation for seedling emergence and vigor (1962) Crop Sci, 2 (2), pp. 176-177. , https://doi.org/10.2135/cropsci1962.0011183X000200020033x; Marcos Filho, J., (2015) Fisiologia de sementes de plantas cul-tivadas, , Abrates, Londrina, Brazil; Marouelli, W.A., Braga, M.B., Lucini, M.A., Resende, F.V., (2014) Irrigação na cultura do alho, , Circular Técnica 136. Embrapa, Brasilia; May, A., Tivelli, S.W., Vargas, P.F., Samra, A.G., Sacconi, L.V., Pinheiro, M.Q., (2007) A cultura da couve-flor, , Bo-letim Técnico IAC 200. Instituto Agronômico, Cam-pinas, Brazil; Menegaes, J.F., Fiorin, T.T., Rodrigues, A.M., Emer-gência de plântulas e produção de mudas de couve-flor em diferentes substratos e regime de irrigação (2020) Acta Igu, 9 (4), pp. 109-117. , https://doi.org/10.48075/ac-taiguaz.v9i4.25881; Menegaes, J. F., Fiorin, T. T., Rodrigues, A. M., Emergência de plântulas e produção de mudas de bró-colis em diferentes substratos e regime de irrigação (2021) Acta Igu, 10 (2), pp. 67-76; Menegaes, J.F., Zago, A.P., Bellé, R.A., Bac-kes, F.A.A.L., Enraizamento de estacas de forrações ornamentais em diferentes concentrações de ácido indolbutírico (2017) Nativa, 5 (5), pp. 311-315. , https://doi.org/10.5935/2318-7670.v05n05a02; Rodrigues, L.R.F., (2002) Técnicas de cultivo hidropônico e de controle ambiental no manejo de pragas, doenças e nutrição vegetal em ambiente protegido, , Funep, Jabo-ticabal, Brazil; Rodrigues, R.S.S., (2019) Olericultura, , Educacional, Londri-na, Brazil; Santos, O.S., (2012) Cultivo hidropônico, , Facos; Editora UFSM. Santa Maria, Brazil; Takane, R.J., Yanagisawa, S.S., Góis, E.A., (2013) Técnicas em substratos para a floricultura, , Expressão Gráfica, Fortaleza, Brazil</t>
  </si>
  <si>
    <t>Menegaes, J.F.; Universidade Estadual do Centro-Oeste (UNICENTRO)Brazil; email: janine_rs@hotmail.com</t>
  </si>
  <si>
    <t>2-s2.0-85143816884</t>
  </si>
  <si>
    <t>López-Candelo J.E., Viáfara-Vega R.A., Cárdenas-Henao H.</t>
  </si>
  <si>
    <t>58001086100;57218551575;8633018500;</t>
  </si>
  <si>
    <t>SSR-HRM molecular characterization of the Colombian cultivated germplasm of Capsicum chinense Jacq. (Solanaceae) [Caracterización molecular por SSR-HRM de germoplasma colombiano cultivado de Capsicum chinense Jacq. (Solanaceae)]</t>
  </si>
  <si>
    <t>e13363</t>
  </si>
  <si>
    <t>10.17584/rcch.2022v16i2.13363</t>
  </si>
  <si>
    <t>https://www.scopus.com/inward/record.uri?eid=2-s2.0-85143811192&amp;doi=10.17584%2frcch.2022v16i2.13363&amp;partnerID=40&amp;md5=53d2827a1bec6c0c096ef3418f8d02f2</t>
  </si>
  <si>
    <t>Universidad del Valle, Departamento de Biología, Grupo de Estudios Ecogenéticos y de Biología Molecular, Santiago de Cali, Colombia</t>
  </si>
  <si>
    <t>López-Candelo, J.E., Universidad del Valle, Departamento de Biología, Grupo de Estudios Ecogenéticos y de Biología Molecular, Santiago de Cali, Colombia; Viáfara-Vega, R.A., Universidad del Valle, Departamento de Biología, Grupo de Estudios Ecogenéticos y de Biología Molecular, Santiago de Cali, Colombia; Cárdenas-Henao, H., Universidad del Valle, Departamento de Biología, Grupo de Estudios Ecogenéticos y de Biología Molecular, Santiago de Cali, Colombia</t>
  </si>
  <si>
    <t>This study was the first evaluation of the genetic diversity of cultivated populations of habanero pepper (Capsicum chinense) in Colombia using SSR-HRM. Three habanero pepper lines were characterized with eight microsatellite markers using the High-Resolution Melt (HRM) technique. Twenty-seven individuals from the HL-original line and 30 individuals each from derived lines HL-70 and HL67 were genotyped. Three microsa-tellites were monomorphic, and five were polymorphic; however, a high allelic diversity was detected in the homozygous state in the 87 individuals. The Ng8 marker differentiated the HL-original and HL-67 lines from the HL-70 line with HRM profiles. The analysis of molecular variance (AMOVA) revelated that 52% of the genetic variation existed within lines. The HL-67 line was more similar to the HL-original line than to the HL-70 line. HL-70 recorded the highest genetic diversity for the derived lines and, therefore, could be used in a new breeding program. In contrast, the HL-67 line, because of its high genetic homogeneity, could potentially be used to evaluate different environmental conditions to find optimal conditions that increase productivity and pungency. Finally, comparing the HRM profiles with the monomorphic markers (Ng 33, Ng 18 and Ng 10) differentiated the C. chinense and C. frutescens species, which was difficult because of high morphologic similarity between these two species and is usually evaluated at the flowering stage, while HRM profiles can be done at any plant stage. © 2022, Universidad Pedagogica y Tecnologica de Colombia. All rights reserved.</t>
  </si>
  <si>
    <t>artificial selection; crop genetic diversity; crop species identification and discrimination; usefulness of single nucleotide polymorphisms</t>
  </si>
  <si>
    <t>BPIN 2013000100007</t>
  </si>
  <si>
    <t>This work was supported by Fondo CTeI-Sistema General de Regalías ((Colombian Science, Technology and Innovation Fund-General Royalties System, contract BPIN 2013000100007) and Centre for Bio-informatics and Photonics, CIBioFi. We thank the private company Hugo Restrepo and Cía. for their management in the delivering of the individuals evaluated for each line. We are grateful to Nelson Toro Perea for allowing the performing of the entire experiment and analysis in the Molecular Biological Laboratory. We express our gratitude to Mauricio Peñuela for his advice in writing the manuscript, and to Alexander Ramírez for his support and advice concerning the experimental phase. Finally, we thank the anonymous reviewers for their valuable comments and suggestions to this paper.</t>
  </si>
  <si>
    <t>This work was supported by Fondo CTeI-Sistema General de Regalías ((Colombian Science, Technol-ogy and Innovation Fund-General Royalties System, contract BPIN 2013000100007) and Centre for Bio-informatics and Photonics, CIBioFi. We thank the private company Hugo Restrepo and Cía. for their management in the delivering of the individuals evaluated for each line. We are grateful to Nelson Toro Perea for allowing the performing of the entire experiment and analysis in the Molecular Biological Labo-ratory. We express our gratitude to Mauricio Peñuela for his advice in writing the manuscript, and to Alex-ander Ramírez for his support and advice concerning the experimental phase. Finally, we thank the anony-mous reviewers for their valuable comments and sug-gestions to this paper.</t>
  </si>
  <si>
    <t>Barboza, G.E., Carrizo García, C., Scaldaferro, M., Bohs, L., An amazing new Capsicum (Solanaceae) species from the Andean-Amazonian Piedmont (2020) PhytoKeys, 167, pp. 13-29. , https://doi.org/10.3897/phytokeys.167.57751; Botstein, D., White, R.L., Skolnick, M., Davis, R.W., Construction of a genetic linkage map in man using restriction fragment length polymorphisms (1980) Am. J. Hum. Genet, 32 (3), pp. 314-331; Contreras-Toledo, A.R., López-Sánchez, H., Santacruz-Va-rela, A., Valadez-Moctezuma, E., Aguilar-Rincón, V.H., Corona-Torres, T., López, P.A., Diversidad gené-tica en México de variedades nativas de chile ‘poblano’ mediante microsatélites (2011) Rev. Fitotec. Mex, 34 (4), pp. 225-232. , https://doi.org/10.35196/rfm.2011.4.225; Crow, J. F., Kimura, M., (2009) An introduction to population genetics theory, , Blackburn Press, Caldwell, NJ; Doyle, J.J., Doyle, J.L., A rapid DNA isolation procedure for small quantities of fresh leaf tissue (1987) Phytochem. Bull, 19 (1), pp. 11-15. , https://doi.org/10.1007/978-3-642-60441-6_4; Estrada, S., Baena, R., (2012) Mejoramiento de la produc-tividad del ají, cultivares Cayena, Tabasco y Habanero, mediante la estabilización genética y fenotípica de un núcleo de semillas fundamental, , Universidad Nacio-nal de Colombia, Palmira, Bogota; Excoffier, L., Lischer, H.E.L., Arlequin Suite ver 3.5: a new series of programs to perform population genetics analyses under Linux and Windows (2010) Mol. Ecol. Resour, 10 (3), pp. 564-567. , https://doi. org; Falconer, D.S., Mackay, T.F.C., (2001) Introducción a la genética cuantitativa, , Editorial Acribia, Zaragoza, Spain; González-Pérez, S., Garcés-Claver, A., Mallor, C., Sáenz de Miera, L.E., Fayos, O., Pomar, F., Merino, F., Sil-var, C., New insights into Capsicum spp relatedness and the diversification process of Capsicum annuum in Spain (2014) PloS ONE, 9 (12), p. e116276. , https://doi.org/10.1371/journal.pone.0116276; Guzmán, F.A., Moore, S., Carmen de Vicente, M., Jahn, M.M., Microsatellites to enhance characteriza-tion, conservation and breeding value of Capsicum germplasm (2020) Genet. Resour. Crop Evol, 67 (3), pp. 569-585. , https://doi.org/10.1007/s10722-019-00801-w; Justino, E.V., Fonseca, M.E.N., Ferreira, M.E., Boiteux, L.S., Silva, P.P., Nascimiento, W.M., Estimate of natural cross-pollination rate of Capsicum annuum using a codominant molecular marker associated with fruit pungency (2018) Genet. Mol. Res, 17 (1), p. gmr16039887. , https://doi.org/10.4238/gmr16039887; Lee, J.M., Nahm, S.H., Kim, Y.M., Kim, B.D., Characterization and molecular genetic mapping of microsatellite loci in pepper (2004) Theor. Appl. Ge-net, 108, pp. 619-627. , https://doi.org/10.1007/s00122-003-1467-x; Lee, H.-Y., Ro, N.-Y., Jeong, H.-J., Kwon, J.-K., Jo, J., Ha, Y., Jung, A., Kang, B.-C., Genetic diversity and population structure analysis to construct a core collection from a large Capsicum germplasm (2016) BMC Genet, 17, p. 142. , https://doi. org; Marcos Pérez, D., (2013) Caracterización molecular y análisis de diversidad genética en variedades de pimiento au-tóctonas de Galicia, , MSc thesis. Facultade de Ciencias, Universidade da Coruña, La Coruña, Spain; Nagy, I., Stágel, A., Sasvári, Z., Röder, M., Ganal, M., Development, characterization, and transfera-bility to other Solanaceae of microsatellite markers in pepper (Capsicum annuum L.) (2007) Genome, 50 (7), pp. 668-688. , https://doi.org/10.1139/g07-047; Nei, M., Genetic distance between populations (1972) The American Naturalist, 106 (949), pp. 283-292. , https://doi.org/10.1086/282771; Nicolaï, M., Cantet, M., Lefebvre, V., Sage-Palloix, A.-M., Palloix, A., Genotyping a large collection of pepper (Capsicum spp.) with SSR loci brings new eviden-ce for the wild origin of cultivated C. annuum and the structuring of genetic diversity by human selection of cultivar types (2013) Genet. Resour. Crop Evol, 60, pp. 2375-2390. , https://doi.org/10.1007/s10722-013-0006-0; Odland, M.L., Porter, A.W., A study of natural crossing in pepper (Capsicum frutescens L.) (1941) J. Am. Soc. Hort. Sci, 38, pp. 585-588; Oyama, K., Hernández-Verdugo, S., Sánchez, C., Gonzá-lez-Rodríguez, A., Sánchez-Peña, P., Garzón-Tiznado, J.A., Casas, A., Genetic structure of wild and domesticated populations of Capsicum annuum (Sola-naceae) from northwestern Mexico analyzed by RA-PDs (2006) Genet. Resour. Crop Evol, 53 (3), pp. 553-562. , https://doi.org/10.1007/s10722-004-2363-1; Peakall, R., Smouse, P.E., GenAlEx 6.5: Genetic analysis in Excel. Population genetic sof-tware for teaching and research-an update (2012) Bioinformatics, 28 (19), pp. 2537-2539. , https://doi.org/10.1093/bioinformatics/bts460; Ramírez, J.G., Avilés, B.W., Dzib, E.R., Áreas con potencial productivo para Chile Habanero (Capsicum chinense, Jacq) en el estado de Yucatán (2006) Memoria Primera Reunión Nacional de Innovación Agrícola y Forestal (RENIAF), pp. 66-67. , COFUPRO; SAGAR-PA-INIFAP; UACH, Merida, Mexico; Rivera, A., Monteagudo, A.B., Igartua, E., Taboada, A., García-Ulloa, A., Pomar, F., Riveiro-Leira, M., Sil-var, C., Assessing genetic and phenotypic diversity in pepper (Capsicum annuum L.) landraces from Nor-th-West Spain (2016) Sci. Hortic, 203, pp. 1-11. , https://doi. org; Shannon, C.E., A mathematical theory of commu-nication (1948) The Bell Syst. Tech. J, 27 (3), pp. 379-423. , 623-656. https://doi.org; Silva Aguilar, F., (2011) Estimación de parámetros genéticos en el contenido de capsaicina y rendimiento en una cruza de pimentón cultivar serrano y ají cayenne (Capsicum annuum) por medio del análisis de medias generacionales, , MSc thesis. Universidad Nacional de Colombia, Sede Palmira Facultad de Ciencias Agrope-cuarias, Palmira, Colombia; Stewart, C.N., Via, L.E., A rapid CTAB DNA isolation technique useful for RAPD fingerprinting and other PCR applications (1993) Biotechniques, 14 (5), pp. 748-751. , https://doi.org/10.1007/978-3-642-60441-6_4; Tanksley, S.D., Molecular markers in plant bree-ding (1983) Plant Mol. Biol. Rep, 1 (1), pp. 3-8. , https://doi.org/10.1007/BF02680255; Viafara-Vega, R.A., Cárdenas-Henao, H., Carac-terización molecular de líneas de interés comercial de Capsicum frutescens (Solanaceae) presentes en un ban-co de semillas (2018) XII Congreso Latinoamericano de Botánica, , Asociación Latinoamericana de Botánica; Quito; Wahyuni, Y., Ballester, A.-R., Sudarmonowati, E., Bino, R.J., Bovy, A.G., Metabolite biodiversity in pepper (Capsicum) fruits of thirty-two diverse acces-sions: Variation in health-related compounds and implications for breeding (2011) Phytochemistry, 72 (11-12), pp. 1358-1370. , https://doi.org; Wright, S., Evolution in Mendelian populations (1931) Genetics, 16 (2), pp. 97-159. , https://doi.org/10.1093/genetics/16.2.97; Xanthopoulou, A., Ganopoulos, I., Koubouris, G., Tsaf-taris, A., Sergendani, C., Kalivas, A., Madesis, P., Microsatellite high-resolution melting (SSR-HRM) analysis for genotyping and molecular characterization of an Olea europaea germplasm collection (2014) Plant Genet. Resour, 12 (3), pp. 273-277. , https://doi.org/10.1017/S147926211400001X; Yumnam, J.S., Tyagi, W., Pandey, A., Meetei, N.T., Rai, M., Evaluation of genetic diversity of chilli lan-draces from North Eastern India based on morpholo-gy, SSR markers and the Pun1 locus (2012) Plant Mol. Biol. Rep, 30 (6), pp. 1470-1479. , https://doi.org/10.1007/s11105-012-0466-y; Zhang, X.-M, Zhang, Z.H., Gu, X.-Z., L-Mao, S.-, Xiang, X.-X., Chadoeuf, J., Palloix, A., Zhang, B.-X., Genetic diversity of pepper (Capsicum spp.) germplasm resources in China reflects selection for cultivar types and spatial distribution (2016) J. Integr. Agric, 15 (9), pp. 1991-2001. , https://doi.org</t>
  </si>
  <si>
    <t>Viáfara-Vega, R.A.; Universidad del Valle, Colombia; email: ronald.viafara@correounivalle.edu.co</t>
  </si>
  <si>
    <t>2-s2.0-85143811192</t>
  </si>
  <si>
    <t>Martínez-Reina A.M., Tordecilla-Zumaqué L., Rodríguez-Pinto M.D.V., Grandett-Martínez L.M., Cordero-Cordero C.C., Correa-álvarez E.M.</t>
  </si>
  <si>
    <t>57194018181;57217108356;57217104408;57217106878;57217101723;57211292480;</t>
  </si>
  <si>
    <t>Study of the technical efficiency of the sweet chili (Capsicum chinense) in the producing regions of the Colombian Caribbean [Estudio de la eficiencia técnica del ají dulce (Capsicum chinense) en las regiones productoras del Caribe Colombiano]</t>
  </si>
  <si>
    <t>e13056</t>
  </si>
  <si>
    <t>10.17584/rcch.2022v16i1.13056</t>
  </si>
  <si>
    <t>https://www.scopus.com/inward/record.uri?eid=2-s2.0-85143807011&amp;doi=10.17584%2frcch.2022v16i1.13056&amp;partnerID=40&amp;md5=ababd6714f28cb03f0fe317c78be817c</t>
  </si>
  <si>
    <t>Corporación Colombiana de Investigación Agropecuaria-Agrosavia, Centro de Investigación Turipaná, Cerete, Colombia</t>
  </si>
  <si>
    <t>Martínez-Reina, A.M., Corporación Colombiana de Investigación Agropecuaria-Agrosavia, Centro de Investigación Turipaná, Cerete, Colombia; Tordecilla-Zumaqué, L., Corporación Colombiana de Investigación Agropecuaria-Agrosavia, Centro de Investigación Turipaná, Cerete, Colombia; Rodríguez-Pinto, M.D.V., Corporación Colombiana de Investigación Agropecuaria-Agrosavia, Centro de Investigación Turipaná, Cerete, Colombia; Grandett-Martínez, L.M., Corporación Colombiana de Investigación Agropecuaria-Agrosavia, Centro de Investigación Turipaná, Cerete, Colombia; Cordero-Cordero, C.C., Corporación Colombiana de Investigación Agropecuaria-Agrosavia, Centro de Investigación Turipaná, Cerete, Colombia; Correa-álvarez, E.M., Corporación Colombiana de Investigación Agropecuaria-Agrosavia, Centro de Investigación Turipaná, Cerete, Colombia</t>
  </si>
  <si>
    <t>Sweet pepper cultivation is one of the more important activities in the Caribbean region, cultivated by approximately 4,284 farmers with the family farming system, in areas ranging from 0.25 to 2.0 ha. In the literature for this region, there is no evidence of a study that has investigated the technical efficiency of this production system. For this reason, this study aimed to evaluate the technical efficiency of the use of resources by sweet chili farmers in the Caribbean producing areas of Colombia. The sample was 62 farmers, surveyed via simple random sampling from the use of statistics from the Ministry of Agriculture of Colom-bia. A Cobb Douglas-type functional model was formulated. The contribution of the variables seed, labor, fertilizer, weeds and yields in the productive units was determined. The results showed that labor and weed management had a positive effect on production increases. There was inefficiency with production gaps of 0.18% and efficiency of 82%; a production deficit of 1 t ha-1 was observed. There were returns on an increasing scale that was explained by the direct relationship between the inputs of labor and weed management. © 2022, Universidad Pedagogica y Tecnologica de Colombia. All rights reserved.</t>
  </si>
  <si>
    <t>agriculture; inputs; physical returns; productivity; products; response technologies; technology</t>
  </si>
  <si>
    <t>Abate, T.M., Dessie, A.B., Mekie, T.M., Technical efficiency of smallholder farmers in red pepper production in North Gondar zone Amhara regional state, Ethiopia (2019) J. Econ. Struct, 8, p. 18; (2018), Ají Evaluaciones Agropecuarias Muni-cipales, Ministerio dde Agricultura y Desarrollo Rural Colombia, shorturl.at/wATV8; November, 2021; (2019) Área cosechada, producción y rendimiento de ají dulce 2006-2018, , https://www.agronet.gov.co/estadistica/Paginas/home.aspx, November, 2021; Asravor, J., Onumah, E.E., Osei-Asare, Y.B., Efficiency of chili pepper production in the volta region of Ghana (2016) J. Agric. Ext. Rural Dev, 8 (6), pp. 99-110; Cárdenas, G., Vedenov, D.V., Houston, J.E., Analysis of production efficiency of Mexican coffee-produ-cing districts. ID 19470 (2005) Annual meeting, , American Agricultural Economics Association, Providence, RI; Carvalho, S.I.C., Bianchetti, L.B., Botanica e re-cursos genéticos (2008) Pimentas Capsicum, pp. 39-54. , Ribeiro, C.S.C., C.A. Lopes, S.I.C. Carvalho, G.P. Henz, and F.J.B. Reifsch-neider (eds). Embrapa, Brasilia, DF; Carvalho, S.I.C., Bianchetti, L.B., Ragassi, C.F., Ribei-ro, C.S.C., Reifschneider, F.J.B., Buso, G.S.C., Faleiro, F.G., Genetic variability of a Brazilian Capsicum fru-tescens germplasm collection using morphological characteristics and SSR markers (2017) Genet. Mol. Res, 16 (3), p. gmr16039689; Colque Tancara, J., Evaluación económica de la pro-ducción de pequeños productores de cebollas (Allium cepa L.) en municipios de Achacachi y Ancoraimes del departamento de La Paz (2019) Rev. Investig. Innov. Agrope-cu. Recur. Nat, 6 (1), pp. 70-78; Correa-Álvarez, E., León-Pacheco, R., Lobato-Ureche, M., García-Davila, M., Muñoz-Perez, C., Aramendiz-Ta-tis, H., Caracterización morfoagronómica de la co-lección de germoplasma de ají dulce (Capsicum spp.) del caribe colombiano (2019) Temas Agrarios, 24 (2), pp. 81-95; Costa, G.N., Da Silva, B.M.P., Lopes, A.C.A., Carval-ho, L.C.B., Gomes, R.L.F., Selection of pepper acces-sions with ornamental potential (2019) Rev. Caatinga, 32 (2), pp. 566-574; De los Ríos, C., La eficiencia técnica en la agricultu-ra peruana. El caso del algodón Tangüis en los valles de Huaral, Cañete y Chincha (2006) Debate Agrario, 40 (41), pp. 141-168; Douglas, P.H., The Cobb-Douglas production function once again: Its history, its testing, and some new empirical values (1976) J. Political Econ, 84 (5), pp. 903-915; Duran Ramírez, F., (2013) Cultivo de pimientos, chiles y ajíes, , Grupo Latino Editores, Bogota; (2014) El estado mundial de la agricultura y la alimen-tación, 2014 Resumen, , http://www.fao.org/3/a-i4036s.pdf, consulted: November, 2021; (2021) FAOSTAT-Data-Production, , http://www.fao.org/faostat/en/#data/QC, consulted: November, 2021; Fonseca-Carreño, N., Salamanca-Merchan, J., Ve-ga-Baquero, Z., La agricultura familiar agroecológi-ca, una estrategía de desarrollo rural incluyente. Una revisión (2019) Temas Agrarios, 24 (2), pp. 96-107; Ismail, S.M., Influence of deficit irrigation on water use efficiency and bird pepper production (Capsicum annuum L.) (2010) J. King Abdulaziz Univ. Mar. Sci, 21 (2), pp. 29-43; Joshua, T., Zalkuwi, J., Audu, M., Analysis of cost and return in cowpea production: A case study Mubi south local government area of Adamawa State (2019) Nige-ria. Agric. Sci. Technol, 11 (2), pp. 144-147; Márquez Contreras, T.E., Velasquez González, A.R., Flores Gutiérrez, J.O., Flores Márquez, S.L., Garzón Martínez, H.J., Factores determinantes en la eficien-cia técnica de explotaciones de frijol (2015) Rev. Mex. Cienc. Agríc, 11, pp. 2067-2073. , (Pub. Esp); Martínez-Reina, A.M., Tordecilla-Zumaqué, L., Gran-dett-Martínez, L.M., Regino-Hernández, S.M., Lu-na-Castellanos, L.L., Pérez-Cantero, S.P., Analysis of the technical efficiency of the cultivation of yam (Dioscorea spp.) in the Caribbean Region of Colom-bia (2021) Rev. Colomb. Cienc. Hortic, 15 (2), p. e12445; Martínez-Reina, A.M., Tordecilla-Zumaqué, L., Gran-dett-Martínez, L.M., Rodríguez-Pinto, M.V., Corde-ro-Cordero, C.C., Silva-Acosta, G.E., Romero-Ferrer, J.L., Orozco-Guerrero, A.R., Análisis económico de la producción de beren-jena (Solanum melongena L.) en dos zonas producto-ras del Caribe colombiano: Sabanas de Sucre y Valle del Sinú en Córdoba (2019) Cienc. Agric, 16 (3), pp. 17-34; Moses, M., Umaharan, P., Genetic structure and phylogenetic relationships of Capsicum chinense (2012) J. Am. Soc. Hort. Sci, 137 (4), pp. 250-262; Orewa, S.I., Izekor, O.B., Technical efficiency analysis of yam production in Edo state: A stochastic frontier approach (2012) Int. J. Dev. Sustain, 1 (2), pp. 516-526; Perdomo Calvo, J.A., Hueth, D.L., Funciones de producción, análisis de economías a escala y eficien-cia técnica en el eje cafetero colombiano: una aproxi-mación con frontera estocástica (2011) Rev. Colomb. Estad, 34 (2), pp. 377-402; Quevedo, M., Laurentin, H., Caracterización feno-típica de tres cultivares de ají dulce (Capsicum chinense Jacq.) venezolano (2020) Agron. Mesoam, 31 (3), pp. 729-741; Rahman, K.M.M., Mia, M.I.A., Bhuiyan, M.K.J., A stochastic frontier approach to model technical efficiency of rice farmers in Bangladesh: An empirical analysis (2012) Agriculturists, 10 (2), pp. 9-19; Rodríguez Osuna, J., (2005) Métodos de muestreos, casos prácticos, , Centro de Investigaciones Sociológicas, Madrid; Rugeles Chacón, L.E., Agenda prospectiva de inves-tigación en la cadena hortícola del ají en Colombia: éxitos e incertidumbres (2011) Proc. VI Congreso Inter-nacional de Sistemas de Innovación para la Compe-titividad 2011: Agentes de la Innovación: hacia una economía sostenible en I+D+i, , Leon, Mexico; Saravia, S., A stochastic frontier model of the Nicara-guan coffee sector: Analyzing efficiency and performance under changing political environment (2007) II International Symposium on Economic Theory, Policy and Application, , Athens; Srivastava, A., Mangal, M., Capsicum breeding: history and development (2019) The Capsicum genome: Compen-dium of plant genomes, pp. 25-55. , Ramchiary, N. and C. Kole (eds). Springer, Cham, Switzerland; Toro, P., García, A., Aguilar, C., Acero, R., Perea, J., Vera, R., (2010) Modelos econométricos para el desarrollo de funciones de producción, , Universidad de Cordoba. Documentos de Trabajo Producción Animal y Gestión 1, DT 13; Urbina, J., (2017) Technical efficiency in coffee production: a stochastic frontier analysis for Nicaragua, , MPRA Pa-per No. 82690. Banco Central de Nicaragua, Managua; Wahid, U., Ali, S., Hadi, N.A., On the estima-tion of technical efficiency of tomato growers in Malakand, Pakistan (2017) Sarhad J. Agric, 33 (3), pp. 357-365</t>
  </si>
  <si>
    <t>Martínez-Reina, A.M.; Corporación Colombiana de Investigación Agropecuaria-Agrosavia, Colombia; email: amartinezr@agrosavia.co</t>
  </si>
  <si>
    <t>2-s2.0-85143807011</t>
  </si>
  <si>
    <t>Pinzón-Sandoval E.H., Almanza-Merchán P.J., Cely-Reyes G.E., Serrano-Cely P.A., Ayala-Martínez G.A.</t>
  </si>
  <si>
    <t>57194001932;55387192600;57195578694;56366688600;58000871100;</t>
  </si>
  <si>
    <t>Correlation between SPAD and chlorophylls a, b and total in leaves from Vaccinium corymbosum L. cv. Biloxi, Legacy and Victoria in the high tropics [Correlación del SPAD y las clorofilas a, b y total en hojas de Vaccinium corymbosum L. cv. Biloxi, Legacy y Victoria en trópico alto]</t>
  </si>
  <si>
    <t>e14693</t>
  </si>
  <si>
    <t>10.17584/rcch.2022v16i2.14693</t>
  </si>
  <si>
    <t>https://www.scopus.com/inward/record.uri?eid=2-s2.0-85143795516&amp;doi=10.17584%2frcch.2022v16i2.14693&amp;partnerID=40&amp;md5=dde5d7d30bce9a3d7fb0c868ce2540d2</t>
  </si>
  <si>
    <t>Universidad Pedagógica y Tecnológica de Colombia, Facultad de Ciencias Agropecuarias, Grupo de Investigación en Desarrollo y Producción Agraria Sostenible, Tunja, Colombia</t>
  </si>
  <si>
    <t>Pinzón-Sandoval, E.H., Universidad Pedagógica y Tecnológica de Colombia, Facultad de Ciencias Agropecuarias, Grupo de Investigación en Desarrollo y Producción Agraria Sostenible, Tunja, Colombia; Almanza-Merchán, P.J., Universidad Pedagógica y Tecnológica de Colombia, Facultad de Ciencias Agropecuarias, Grupo de Investigación en Desarrollo y Producción Agraria Sostenible, Tunja, Colombia; Cely-Reyes, G.E., Universidad Pedagógica y Tecnológica de Colombia, Facultad de Ciencias Agropecuarias, Grupo de Investigación en Desarrollo y Producción Agraria Sostenible, Tunja, Colombia; Serrano-Cely, P.A., Universidad Pedagógica y Tecnológica de Colombia, Facultad de Ciencias Agropecuarias, Grupo de Investigación en Desarrollo y Producción Agraria Sostenible, Tunja, Colombia; Ayala-Martínez, G.A., Universidad Pedagógica y Tecnológica de Colombia, Facultad de Ciencias Agropecuarias, Grupo de Investigación en Desarrollo y Producción Agraria Sostenible, Tunja, Colombia</t>
  </si>
  <si>
    <t>Blueberries in the Ericaceae family are important, cultivable species for commercial and industrial purposes. Critical parameters for evaluating the nutritional and physiological status of plants include estimates of photosynthetic pigments such as chlorophylls; however, this is a destructive, expensive and time-consu-ming method that is not easily accessible for agricultural producers. For this reason, in recent years, several technological solutions have been made available, such as the SPAD-502 chlorophyll index meter, which has demonstrated efficiency in terms of rapid estimates of total chlorophyll content in the field. Therefore, the objective of this research was to evaluate the contents of chlorophylls a, b and total obtained with spectro-photometry and to determine the correlation with the non-destructive method (SPAD) in blueberry plant (Vaccinium corymbosum L.) cultivares Biloxi, Legacy and Victoria, in the vegetative phase under conditions of the municipality of Paipa-Boyaca (Colombia). The data obtained with the SPAD-502 ranged from 57.4 to 62.8 SPAD in the ‘Victoria’, 61.2 to 68.3 in the ‘Biloxi’, and 68.2 to 73.1 in the ‘Legacy’. The content of chloro-phylls a, b and total presented a positive and significant correlation with the SPAD index, with a correlation coefficient (r) greater than 0.91 and adjustment to simple linear regression models with a coefficient of determination (R2) greater than 0.90 in the three cultivars. This confirms the usefulness and importance of using SPAD for non-destructive estimation of chlorophyll content under field conditions. © 2022, Universidad Pedagogica y Tecnologica de Colombia. All rights reserved.</t>
  </si>
  <si>
    <t>blueberry; cultivars; photosynthetic pigments; physiological status</t>
  </si>
  <si>
    <t>The authors thank the Government of Boyacá, Convocatoria 865 de 2019, for funding this research through the project “Patrimonio Autónomo Fondo Nacional de Financiamiento para la Ciencia, la Tec-nología y la Innovación Francisco José de Caldas”, contract No. 80740-690-2020, and the Asociación de productores de arándanos de Boyacá-ASOBLU for its contributions and support.</t>
  </si>
  <si>
    <t>Aldana, F., García, P.N., Fischer, G., Effect of water-logging stress on the growth, development and symp-tomatology of cape gooseberry (Physalis peruviana L.) plants (2014) Rev. Acad. Colomb. Cienc, 38 (149), pp. 393-400; Amarante, C.V.T., Zanardi, O.Z., Miqueloto, A., Ste-ffens, C.A., Erhart, J., de Almeida, J.A., Quan-tificação da área e do teor de clorofilas em folhas de plantas jovens de videira “Cabernet sauvignon” mediante métodos não destrutivos (2009) Rev. Bras. Fru-tic, 31 (3), pp. 680-686. , https://doi.org/10.1590/S0100-29452009000300009; Ates, F., Kaya, O., The relationship between iron and nitrogen concentrations based on Kjeldahl method and SPAD-502 readings in grapevine (Vitis vinifera L. cv. ‘Sultana Seedless’) (2021) Erwerbs-Obstbau, 63, pp. 53-59. , https://doi.org/10.1007/s10341-021-00580-8; Castañeda, C.S., Almanza-Merchán, P.J., Pinzón, E.H., Cely, G.E., Serrano, P.A., Estimación de la concen-tración de clorofila mediante métodos no destructivos en vid (Vitis vinifera L.) cv. Riesling Becker (2018) Rev. Co-lomb. Cienc. Hortic, 12 (2), pp. 329-337. , https://doi.org/10.17584/rcch.2018v12i2.7566; Castillo, Á.R., Ligarreto, G.A., Relación entre nitró-geno foliar y el contenido de clorofila, en maíz asocia-do con pastos en el Piedemonte Llanero colombiano (2016) Corpoica Cienc. Tecnol. Agropecu, 11 (2), p. 122. , https://doi.org/10.21930/rcta.vol11_num2_art:202; Cortés-Rojas, M.E., Mesa-Torres, P.A., Grijalba-Rativa, C.M., Pérez-Trujillo, M.M., Rendimiento y calidad de frutos de los cultivares de arándano Biloxi y Sha-rpblue en Guasca, Colombia (2016) Agron. Colomb, 34 (1), pp. 33-41. , https://doi.org; Deok Han, G., Heo, S., Chio, J.M., Chung, Y.S., SPAD: potential phenotyping method for characteri-zation of blueberry (2022) Mol. Biol. Rep, 49 (6), pp. 5505-5510. , https://doi.org/10.1007/s11033-022-07430-0; Deok Han, G., Ho Jung, D., Heo, S., Suk Chung, Y., SPAD value difference between blueberry cultivar ‘STAR’ by planted ground and pot (2022) Phyton, 91 (11), pp. 2583-2590. , https://doi.org/10.32604/phyton.2022.022866; Donnelly, A., Yu, R., Rehberg, C., Meyer, G., Young, E.B., Leaf chlorophyll estimates of temperate de-ciduous shrubs during autumn senescence using a SPAD-502 meter and calibration with extracted chlo-rophyll (2020) Ann. For. Scie, 77 (2), p. 30. , https://doi.org/10.1007/s13595-020-00940-6; Edalat, M., Naderi, R., Egan, T.P., Corn nitrogen management using NDVI and SPAD sensor-based data under conventional vs. reduced tillage systems (2019) J. Plant Nutr, 42 (18), pp. 2310-2322. , https://doi.org/10.1080/01904167.2019.1648686; Fernández-Vargas, Y., Puentes, G.A., Sanabria, N.C., Planificación del sistema de producción-Re-colección del agraz (Vaccinium meridionale Swartz) en el municipio de Ráquira, Boyacá-Colombia (2020) Rev. Es-pacios, 41 (41), p. 8. , M., and, N; Fritschi, F.B., Ray, J.D., Soybean leaf nitrogen, chlorophyll content, and chlorophyll a/b ratio (2007) Photosyn-thetica, 45 (1), pp. 92-98. , https://doi.org/10.1007/s11099-007-0014-4; Ghosh, M., Swain, D.K., Jha, M.K., Tewari, V.K., Chlorophyll meter-based nitrogen management in a rice–wheat cropping system in Eastern India (2020) Int. J. Plant Prod, 14 (2), pp. 355-371. , https://doi.org/10.1007/s42106-020-00089-2; Gianquinto, G., Sambo, P., Borsato, D., Determination of SPAD threshold values for the optimisa-tion of nitrogen supply in processing tomato (2006) Acta Hortic, 700, pp. 159-166. , https://doi.org/10.17660/ActaHortic.2006.700.26; Güiza-Castillo, L.-L., Pinzón-Sandoval, E.-H., Serra-no-Reyes, P.-A., Cely-Reyes, G.-E., Serrano-Agude-lo, P.-C., Estimation and correlation of chlorophyll and nitrogen contents in Psidium guajava L. with destructive and non-destructive methods (2020) Rev. Colomb. Cienc. Hortic, 14 (1), pp. 462-470. , https://doi.org/10.17584/rcch.2020v14i1.11341; Hirzel, J., Fertilización en arándano (2013) Manual de arándano, pp. 31-42. , Un-durraga, P. and S. Vargas (eds), INIA, Chillán, Chile; Kim, S.J., Yu, D.J., Kim, T.C., Lee, H.J., Growth and photosynthetic characteristics of blueberry (Vac-cinium corymbosum cv. Bluecrop) under various shade levels (2011) Sci. Hort, 129 (3), pp. 486-492. , https://doi.or-g/10.1016/j.scienta.2011.04.022; Lee, Y., Kweon, H.J., Park, M.-Y., Lee, D., Field assessment of macronutrients and nitrogen in apple leaves using a chlorophyll meter (2019) HortTechnolo-gy, 29 (3), pp. 300-307. , https://doi.org/10.21273/HORTTECH04217-18; Li, R., Chen, J., Qin, Y., Fan, M., Possibility of using a SPAD chlorophyll meter to establish a normalized threshold index of nitrogen status in different potato cultivars (2019) J. Plant Nutr, 42 (8), pp. 834-841. , https://doi.org/10.1080/01904167.2019.1584215; Lichtenthaler, H.K., Chlorophylls and carote-noids: pigments of photosynthetic biomembranes (1987) Meth. Enzymol, 148 (C), pp. 350-382. , https://doi.org/10.1016/0076-6879(87)48036-1; Lim, T.K., Vaccinium corymbosum (2012) Edible medicinal and non-medicinal plants, 2, pp. 452-464. , https://doi.org/10.1007/978-94-007-1764-0_60, Springer, Amsterdam; Mehrabi, F., Sepaskhah, A.R., Leaf nitrogen, based on spad chlorophyll reading can determine agronomic parameters of winter wheat (2022) Int. J. Plant Prod, 16 (1), pp. 77-91. , https://doi.org/10.1007/s42106-021-00172-2; Miao, X.R., Chen, Q.X., Niu, J.Q., Guo, Y.P., The complete chloroplast genome of highbush blueberry (Vaccinium corymbosum) (2022) Mitochondrial DNA B: Re-sour, 7 (1), pp. 87-88. , https://doi.org; Netto, A.T., Campostrini, E., de Oliveira, J.G., Bres-san-Smith, R.E., Photosynthetic pigments, nitrogen, chlorophyll a fluorescence and SPAD-502 readings in coffee leaves (2005) Sci. Hort, 104 (2), pp. 199-209. , https://doi.org; Padilla, F.M., de Souza, R., Peña-Fleitas, M.T., Gallardo, M., Giménez, C., Thompson, R.B., Different responses of various chlorophyll meters to increasing nitrogen supply in sweet pepper (2018) Front. Plant Sci, 871, p. 1752. , https://doi.org/10.3389/fpls.2018.01752; Padilla, F.M., de Souza, R., Peña-Fleitas, M.T., Grasso, R., Gallardo, M., Thompson, R.B., Influence of time of day on measurement with chlorophyll meters and canopy reflectance sensors of different crop N sta-tus (2019) Precis. Agric, 20 (6), pp. 1087-1106. , https://doi.org/10.1007/s11119-019-09641-1; Parry, C., Blonquist, J.M., Bugbee, B., In situ measurement of leaf chlorophyll concentration: Analysis of the optical/absolute relationship (2014) Plant Cell Envi-ron, 37 (11), pp. 2508-2520. , https://doi.org/10.1111/pce.12324; Porra, R.J., Thompson, W.A., Kriedemann, P.E., Determination of accurate extinction coefficients and simultaneous equations for assaying chlorophylls a and b extracted with four different solvents: verifi-cation of the concentration of chlorophyll standards by atomic absorption spectroscopy (1989) Biochim. Biophy. Acta (BBA)-Bioenerg, 975 (3), pp. 384-394. , https://doi.org/10.1016/S0005-2728(89)80347-0; (2022) R: A language and environment for statistical computing, , https://www.R-project.org/, R Foundation for Statistical Computing, Vienna; San Martín, J., Situación varietal en arándano (2013) Manual de arándano, pp. 15-21. , Undurraga, P. and S. Vargas (eds), INIA, Chillán, Chile; Solarte, M., Moreno, L., Melgarejo, L., Fotosíntesis y pigmentos vegetales (2010) Experimentos en fisiología y bioquímica vegetal, pp. 107-122. , Melgarejo, L. (ed). Universidad Nacional de Colombia, Bogota; Stevenson, D., Scalzo, J., Anthocyanin composition and content of blueberries from around the world (2012) J. Berry Res, 2 (4), pp. 179-189. , https://doi.org/10.3233/JBR-2012-038; Uddling, J., Gelang-Alfredsson, J., Piikki, K., Pleijel, H., Evaluating the relationship between leaf chlorophyll concentration and SPAD-502 chlorophyll meter readings (2007) Photosynth. Res, 91 (1), pp. 37-46. , https://doi.org/10.1007/s11120-006-9077-5; Yokoyama, A.H., Ribeiro, R.H., Balbinot Junior, A.A., Franchini, J.C., Debiasi, H., Zucareli, C., Índices de área foliar e SPAD da soja em função de culturas de entressafra e nitrogênio e sua relação com a produtivi-dade (2018) Rev. Cienc. Agrar, 41 (4), pp. 81-90. , https://doi.org/10.19084/RCA18153; You, Q., Wang, B., Chen, F., Huang, Z., Wang, X., Luo, P.G., Comparison of anthocyanins and phenolics in organically and conventionally grown blueberries in selected cultivars (2011) Food Chem, 125 (1), pp. 201-208. , https://doi.org; Yu, D.J., Rho, H., Kim, S.J., Lee, H.J., Photosynthetic characteristics of highbush blueberry (Vaccinium corymbosum cv. Bluecrop) leaves in response to water stress and subsequent re-irrigation (2015) J. Hort. Sci. Bio-technol, 90 (5), pp. 550-556. , https://doi.org/10.1080/14620316.2015.11668713; Zhang, K., Yuan, Z., Yang, T., Lu, Z., Cao, Q., Tian, Y., Zhu, Y., Liu, X., Chlorophyll meter–based nitrogen fertilizer optimization algorithm and nitrogen nutrition index for in-season fertilization of pa-ddy rice (2020) Agron. J, 112 (1), pp. 288-300. , https://doi.org/10.1002/agj2.20036</t>
  </si>
  <si>
    <t>Pinzón-Sandoval, E.H.; Universidad Pedagógica y Tecnológica de Colombia, Colombia; email: elberth.pinzon@uptc.edu.co</t>
  </si>
  <si>
    <t>2-s2.0-85143795516</t>
  </si>
  <si>
    <t>Miranda D.</t>
  </si>
  <si>
    <t>58001514400;</t>
  </si>
  <si>
    <t>EDITORIAL NOTE</t>
  </si>
  <si>
    <t>https://www.scopus.com/inward/record.uri?eid=2-s2.0-85143794995&amp;partnerID=40&amp;md5=7b997d322b82665a47900a55e3c2ce46</t>
  </si>
  <si>
    <t>Colombian Journal of Horticultural Science, Colombia</t>
  </si>
  <si>
    <t>Miranda, D., Colombian Journal of Horticultural Science, Colombia</t>
  </si>
  <si>
    <t>Miranda, D.; Colombian Journal of Horticultural ScienceColombia</t>
  </si>
  <si>
    <t>2-s2.0-85143794995</t>
  </si>
  <si>
    <t>Chaves-Bedoya G.</t>
  </si>
  <si>
    <t>56013734600;</t>
  </si>
  <si>
    <t>Study on Croton sp. genetic diversity in the Department of Norte de Santander using the internal transcribed spacer (ITS) region of ribosomal DNA (rDNA) [Estudio de la diversidad genética de Croton sp. en el departamento de Norte de Santander utilizando la región espaciadora transcrita interna (ITS) del ADN ribosómico (rDNA)]</t>
  </si>
  <si>
    <t>e13592</t>
  </si>
  <si>
    <t>10.17584/rcch.2022v16i1.13592</t>
  </si>
  <si>
    <t>https://www.scopus.com/inward/record.uri?eid=2-s2.0-85143794102&amp;doi=10.17584%2frcch.2022v16i1.13592&amp;partnerID=40&amp;md5=ca6120fc006cd7a2d05af7669579b2f9</t>
  </si>
  <si>
    <t>Universidad Francisco de Paula Santander, Grupo de Investigación en Fitobioquímica y Biología Molecular (FITOBIO-MOL), San Jose de Cucuta, Colombia</t>
  </si>
  <si>
    <t>Chaves-Bedoya, G., Universidad Francisco de Paula Santander, Grupo de Investigación en Fitobioquímica y Biología Molecular (FITOBIO-MOL), San Jose de Cucuta, Colombia</t>
  </si>
  <si>
    <t>Genetic variability studies on species with a pharmacological potential are essential for conserving genetic resources. A genetic characterization of a species can guide efforts to collect and conserve germplasm for future breeding programs. The Croton genus belongs to the Euphorbiaceae family, which has approximately 1,300 species, is widely distributed in tropical and subtropical regions of the world, and has a wide range of ethnobotanical and medicinal uses. The aim of this research was to study genetic variability by analyzing sequences of the internal transcribed spacer (ITS) region (ITS1 5’-TCCGTAGGGAACCTGCGGC-3’ and ITS4 5’-TCCTCCGCTTATGC-3’) of ribosomal DNA (rDNA) of a Croton population from forested areas in the Department of Norte de Santander in the municipalities of Chinacota, Pamplona and El Zulia (Colombia). The results indicated considerable genetic variability in the Croton population, with a nucleotide similarity ranging from 54 to 99% and phylogenetical grouping according to the place of origin. The information gained from the ITS region can be a useful parameter for diversity evaluations and phylogenetic studies since there are no similar studies on Croton in this department in northeastern Colombia. © 2022, Universidad Pedagogica y Tecnologica de Colombia. All rights reserved.</t>
  </si>
  <si>
    <t>Drago’s blood; Euphorbiaceae; medicinal plants; molecular systematics; Neotropics</t>
  </si>
  <si>
    <t>Berry, P.E., Hipp, A.L., Wurdack, K.J., Van Ee, B., Riina, R., Molecular phylogenetics of the giant genus Cro-ton and tribe Crotoneae (Euphorbiaceae sensu stricto) using ITS and TRNL-TRNF DNA sequence data (2005) Am. J. Bot, 92 (9), pp. 1520-1534; Block, S., Baccelli, C., Tinant, B., Van Meervelt, L., Rozen-berg, R., Habib Jiwan, J.-L., Llabrès, G., Quetin-Leclercq, J., Diterpenes from the leaves of Croton zambesicus (2004) Phytochemistry, 65 (8), pp. 1165-1171; Caruzo, M.B.R., Van Ee, B.W., Cordeiro, I., Berry, P.E., Riina, R., Molecular phylogenetics and charac-ter evolution of the “sacaca” clade: Novel relationships of Croton section Cleodora (Euphorbiaceae) (2011) Mol. Phylogenet. Evol, 60 (2), pp. 193-206; Clark, K., Karsch-Mizrachi, I., Lipman, D.J., Ostell, J., Sayers, E.W., GenBank (2016) Nucleic Acids Res, 44 (D1), pp. 67-72; Costa, R.B., Martin de Moraes, P., Skowronski, L., Oliveira, C.E., Nogueira, M.L., Yui, R.M.S., Lorenz, A.P., Fava, W.S., Genetic diversity and population structure of Croton urucurana Baill. (Euphorbiaceae) in Central Brazil by ISSR markers (2020) Braz. J. Bot, (43), pp. 831-838; Coy Barrera, C.A., Gomez, D.C., Castiblanco, F.A., Importancia medicinal del género Croton (Euphorbia-ceae) (2016) Rev. Cubana Plant. Med, 21 (2), pp. 234-247; Farias, F.R., Williamson, J.S., Rodriguez, S.V., Angeles, G., Portugal, V.O., Bark anatomy in Croton draco var. draco (Euphorbiaceae) (2009) Am. J. Bot, 96 (12), pp. 2155-2167; Forough, J.F., Shivaji, T.A., Mallikarjun, D.R., Assessment of genetic diversity among different sugarcane genotypes using internal transcribed spacer (ITS) region of the ribosomal DNA (rDNA) (2018) GSC Biol. Pharm. Sci, 5 (2), pp. 17-25; Godoy, G., Ojeda, L.E., Leon, V., Escalona, F., Mansilla, D., Brewer, M., Machado, N.N., Antimicrobial potential of Croton gossypiifolius (Euphorbiaceae) latex on species associated with human infections (2020) Arnaldoa, 27 (1), pp. 247-255; Kumar, S., Stecher, G., Li, M., Knyaz, C., Tamura, K., MEGA X: Molecular Evolutionary Genetics Analysis across computing platforms (2018) Mol. Biol. Evol, 35 (6), pp. 1547-1549; Li, W., Cowley, A., Uludag, M., Gur, T., McWilliam, H., Squizzato, S., Park, Y.M., Lopez, R., The EMBL-EBI bioinformatics web and programmatic tools framework (2015) Nucleic Acids Res, 43 (W1), pp. W580-W584; Luján, M., León, Y., Riina, R., Sinopsis de Cro-ton (Euphorbiaceae) en los Andes de Mérida, Ven-ezuela (2015) Caldasia, 37 (1), pp. 73-90; Mäder, G., Zamberlan, P.M., Fagundes, N.J.R., Mag-nus, T., Salzano, F.M., Bonatto, S.L., Freitas, L.B., The use and limits of ITS data in the analysis of intraspecific variation in Passiflora L. (Passiflora-ceae) (2010) Genet. Mol. Biol, 33 (1), pp. 99-108; Masa-Iranzo, I., Sanmartin, I., Caruzo, M.B.R., Riina, R., Skipping the dry diagonal: Spatio-temporal evolution of Croton section Cleodora (Euphorbiaceae) in the Neotropics (2021) Bot. J. Linn. Soc, 197 (1), pp. 61-84; Milanowski, D.J., Winter, R.E.K., Elvin-Lewis, M.P.F., Lewis, W.H., Geographic distribution of three alkaloid chemotypes of Croton lechleri (2002) J. Nat. Prod, 65 (6), pp. 814-819; Murillo Aldana, J.C., Composición y distribución del genero Croton (Euphorbiaceae) en Colombia, con cu-atro especies nuevas (1999) Caldasia, 21 (2), pp. 141-166; Perdue, G.P., Blomster, R.N., Blake, D.A., Farn-sworth, N.R., South American plants II: taspine isolation and anti-inflammatory activity (1979) J. Pharm. Sci, 68 (1), pp. 124-126; Riina, R., Berry, P., Van Ee, B., Molecular phy-logenetics of the Dragon’s Blood Croton Section Cy-clostigma (Euphorbiaceae): A polyphyletic assemblage unraveled (2009) Syst. Bot, 34 (2), pp. 360-374; Salatino, A., Salatino, M.L.F., Negri, G., Traditional uses, chemistry and pharmacology of Croton species (Euphorbiaceae) (2007) J. Braz. Chem. Soc, 18 (1), pp. 11-33; Stöver, B.C., Müller, K.F., TreeGraph 2: Combin-ing and visualizing evidence from different phylogenetic analyses (2010) BMC Bioinformatics, 11, p. 7; Van Ee, B.W., Berry, P.E., Taxonomy and phylogeny of Croton section Heptallon (Euphorbiaceae) (2010) Syst. Bot, 35 (1), pp. 151-167; Van Ee, B.W., Berry, P.E., Croton section Pedi-cellati (Euphorbiaceae), a novel new world group, and a new subsectional classification of Croton section Lamprocroton (2011) Syst. Bot, 36 (1), pp. 88-98; White, T.J., Bruns, T., Lee, S., Taylor, J., Ampli-fication and direct sequencing of fungal ribosomal RNA genes for phylogenetics (1990) PCR protocols. A guide to methods and applica-tions, pp. 315-322. , Innis, M.A., D.H. Gelfand, J.J. Sninsky, and T.J. White (eds). Academic Press, San Diego, CA; Yang, S., Li, X., Huang, F., Huang, Y., Liu, X., Wu, J., Wang, Q., Zhang, M., A new meth-od based on SNP of nrDNA-ITS to identify Saccharum spontaneum and its progeny in the genus Saccharum (2018) PLoS One, 13 (5), p. e0197458</t>
  </si>
  <si>
    <t>Chaves-Bedoya, G.; Universidad Francisco de Paula Santander, Colombia; email: gchavesb@ufps.edu.co</t>
  </si>
  <si>
    <t>2-s2.0-85143794102</t>
  </si>
  <si>
    <t>Menegaes J.F., Nunes U.R., Fiorin T.T., Swarowsky A., Munareto J.D.</t>
  </si>
  <si>
    <t>57194174756;14523360200;58002174200;15046117400;36998877500;</t>
  </si>
  <si>
    <t>Physiological and sanitary quality of black bean seeds dependent on storage time and initial seed moisture content [Calidad fisiológica y sanitaria de semillas de frijol negro dependiente del tiempo de almacenamiento y de la humedad inicial de la semilla]</t>
  </si>
  <si>
    <t>e13898</t>
  </si>
  <si>
    <t>10.17584/rcch.2022v16i2.13898</t>
  </si>
  <si>
    <t>https://www.scopus.com/inward/record.uri?eid=2-s2.0-85143791375&amp;doi=10.17584%2frcch.2022v16i2.13898&amp;partnerID=40&amp;md5=a541538233fbd1ceb2078d0e8c2d077f</t>
  </si>
  <si>
    <t>Universidade Estadual do Centro-Oeste (UNICENTRO), Guarapuava, Brazil; Universidade Federal de Santa Maria (UFSM), Santa Maria, Brazil</t>
  </si>
  <si>
    <t>Menegaes, J.F., Universidade Estadual do Centro-Oeste (UNICENTRO), Guarapuava, Brazil; Nunes, U.R., Universidade Federal de Santa Maria (UFSM), Santa Maria, Brazil; Fiorin, T.T., Universidade Federal de Santa Maria (UFSM), Santa Maria, Brazil; Swarowsky, A., Universidade Federal de Santa Maria (UFSM), Santa Maria, Brazil; Munareto, J.D., Universidade Federal de Santa Maria (UFSM), Santa Maria, Brazil</t>
  </si>
  <si>
    <t>Black beans (Phaseolus vulgaris L.) are a species of great importance for family farming, both for food security and socioeconomic activity. The objective of this work was to assess the physiological and sanitary viability of black bean seeds stored with different initial moisture contents and cold storage periods. It was used a completely randomized design, 3×5 (seed moisture levels: 10, 13 and 16%, and storage periods: 0, 3, 6, 9 and 12 months in cold rooms, with four repetitions). Black bean seeds belonging to variety IPR88 Uirapuru were grown in the municipality of Santa Maria, Brazil, harvested in March 2020, and stored in a cold room (15ºC and 40% RH) in Kraft paper bags (brown type, 1.0 kg). Physiological variables and sanitary quality were assessed through laboratory tests. According to the results, it was possible to verify that the physiological and sanitary quality of black beans were negatively affected with the increase of storage period, in all grades. However, it is possible to store these seeds with moisture contents of 10 or 13% for a period of up to nine months in a cold room, with a 70% germination quality. © 2022, Universidad Pedagogica y Tecnologica de Colombia. All rights reserved.</t>
  </si>
  <si>
    <t>conservation environment; Phaseolus vulgaris; seed moisture content; seed storage</t>
  </si>
  <si>
    <t>Alvares, C.A., Stape, J.L., Sentelhas, P.C., Gonçalves, J.L.M., Sparovek, G., Koppen’s climate classifica-tion map for Brazil (2013) Meteorol. Z, 22 (6), pp. 711-728. , http://doi.org/10.1127/0941-2948/2013/0507; Boiago, N.P., Fortes, A.M.T., Kulzer, S.R., Koelln, F.T.S., Potencial fisiológico de sementes armazenadas de cultivares de feijão-caupi produzidas no estado do Paraná (2013) Varia Sci. Agrar, 3 (2), pp. 21-32; (2009) Regras para análise de sementes, , Brasilia; (2009) Manual de análise sanitária de sementes, , Brasilia; (2013) Instrução Normativa MAPA 45, , DOU 18/09/2013. Brasilia; Carvalho, N.M., Nakagawa, J., (2012) Sementes: ciên-cia, tecnologia e produção, , 5th ed. FUNEP, Jaboticabal, Brazil; Fernandes, T.S., Nunes, U.R., Roso, R., Ludwig, E.J., Zini, P.B., Menegaes, J.F., Barbieri, G.F., Santos, C.V., Physiological quality of common bean seeds subjected to different concentrations of salicylic acid (2019) J. Agric. Sci, 11 (1), pp. 448-458. , http://doi.org/10.5539/jas.v11n1p448; Ferreira, D.F., Sisvar: A guide for its bootstrap procedures in multiple comparisons (2014) Ciênc. Agro-tec, 38 (2), pp. 109-112. , http://doi.org/10.1590/S1413-70542014000200001; Gomes, R.S.S., Nunes, M.C., Nascimento, L.C., Sou-za, J.O., Porcino, M.M., Eficiência de óleos essenciais na qualidade sanitária e fisiológica em se-mentesde feijão-fava (Phaseolus lunatus L.) (2016) Rev. Bras. Plantas Med, 18, pp. 279-287. , http://doi.org/10.1590/1983-084X/15_117, (Suppl. 1); Kryzanowski, F.C., Vieira, R.D., França Neto, J.B., Nakagawa, J., Testes de vigor baseados no desempenho das plântulas (2020) Vigor de sementes: conceitos e testes, pp. 80-140. , Krzyza-noswki, F.C., R.D. Vieira, and J.B. França Neto, and J. Marcos-Filho (eds). Abrates, Londrina, Brazil; Maia, L.G.S., Silva, C.A., Ramalho, M.A.P., Abreu, A.F.B., Variabilidade genética associada à germinação e vigor de sementes de linhagens de feijoeiro comum (2011) Cienc. Agrotecn, 35 (1), pp. 361-367. , http://dx.doi.org/10.1590/S1413-70542011000200018; Marcos-Filho, J., (2015) Fisiologia de sementes de plantas cul-tivadas, , Abrates, Londrina, Brazil; Marino, R.H., Mesquita, J.B., Andrade, K.V.S., Costa, N.A., Amaral, L.A., Incidência de fungos em se-mentes de Phaseolus vulgaris L. provenientes do Estado de Sergipe (2008) Rev. Bras. Cienc. Agrar, 3 (1), pp. 26-30. , http://doi.org/10.5039/agraria.v3i1a289; Menegaes, J.F., Bellé, R.A., Nunes, U.R., Potencial fitossanitário de sementes de cártamo armazenadas em diferentes condições de conservação e períodos (2021) Acta Ambient. Catarin, 18 (1), pp. 169-179. , http://doi.org/10.24021/raac.v18i1.5378; Menegaes, J.F., Nunes, U.R., Bellé, R.A., Roso, R., Armazenamento de sementes de cártamo tratadas por termoterapia (2021) Rev. Bras. Multidiscip, 24 (2), pp. 120-129. , http://doi.org/10.25061/2527-2675/Re-BraM/2021.v24i2.948; Santos, C.M.R., Menezes, N.L., Villela, F.A., Modificações fisiológicas e bioquímicas em semen-tes de feijão no armazenamento (2005) Rev. Bras. Semen, 27 (1), pp. 104-114. , http://dx.doi.org/10.1590/S0101-31222005000100013; Scariot, M.A., Radünz, L.L., Dionello, R.G., Müller, I., Almeida, P.M., Desempenho fisiológico de se-mentes de trigo em função do teor de água na colhei-ta e sistema de armazenamento (2017) Pesq. Agropec. Trop, 47 (4), pp. 456-464; Silva, M., Souza, H.R.Y., David, H.M.S.S., Santos, L.M., Silva, R.F., Amaro, H.T.R., Qualidade fisiológica e armazenamento de sementes de feijão-comum pro-duzidas no norte de Minas Gerais (2014) Rev. Agro-Amb, 8 (1), pp. 97-103; Sousa, R.S., Wander, A.E., Aspectos econômicos da produção de feijão no Brasil (2014) Rev. Pol. Agr, 23 (3), pp. 44-54; Walters, C., Berjak, P., Pammenter, N.W., Kennedy, K., Raven, P., Preservation of recalcitrant seeds (2013) Science, 339 (6122), pp. 915-916. , http://doi.org/10.1126/science.1230935; Zucareli, C., Brzezinski, C.R., Abati, J., Werner, F., Ra-mos Júnior, E.U., Nakagawa, J., Qualidade fisio-lógica de sementes de feijão carioca armazenadas em diferentes ambientes (2015) Rev. Bras. Eng. Agric. Ambient, 19 (8), pp. 803-809. , http://doi.org/10.1590/1807-1929/agriambi.v19n8p803-809</t>
  </si>
  <si>
    <t>2-s2.0-85143791375</t>
  </si>
  <si>
    <t>Amado-Rodríguez J.L., Humeje-Pan N.P., Blanco-Valbuena J.O., Torres-Merchán N.Y., García-Parra M.A.</t>
  </si>
  <si>
    <t>58001082700;58001510900;58001299300;57201655608;57205122211;</t>
  </si>
  <si>
    <t>Effect of plant growth promoting bacteria on the phenology of the Amarilla Maranganí quinoa cultivar [Efecto de las bacterias promotoras del crecimiento vegetal sobre la fenología del cultivar de quinua Amarilla Marangani]</t>
  </si>
  <si>
    <t>e13440</t>
  </si>
  <si>
    <t>10.17584/rcch.2022v16i1.13440</t>
  </si>
  <si>
    <t>https://www.scopus.com/inward/record.uri?eid=2-s2.0-85143788311&amp;doi=10.17584%2frcch.2022v16i1.13440&amp;partnerID=40&amp;md5=663166ed6a44aaf99ca4dae2d5f9fddc</t>
  </si>
  <si>
    <t>Universidad Pontificia Bolivariana, Medellin, Colombia; Institución Educativa Colegio Luis Carlos Galán Sarmiento, Bogota, Colombia; Universidad Pedagógica y Tecnológica de Colombia, Tunja, Colombia; Universidad Francisco de Paula Santander, Ocaña, Colombia</t>
  </si>
  <si>
    <t>Amado-Rodríguez, J.L., Universidad Pontificia Bolivariana, Medellin, Colombia; Humeje-Pan, N.P., Institución Educativa Colegio Luis Carlos Galán Sarmiento, Bogota, Colombia; Blanco-Valbuena, J.O., Universidad Pedagógica y Tecnológica de Colombia, Tunja, Colombia; Torres-Merchán, N.Y., Universidad Pedagógica y Tecnológica de Colombia, Tunja, Colombia; García-Parra, M.A., Universidad Francisco de Paula Santander, Ocaña, Colombia</t>
  </si>
  <si>
    <t>Bacteria associated with plant roots can generate different responses on the growth and development of plants which affect yield. For this reason, a test was conducted and aimed at evaluating the effects of plant growth promoting bacteria’s inoculation on the yield of the Amarilla Maranganí quinoa cultivar, using bacterial strains such as Bacillus macerans, Bacillus laterosporus, Bacillus licheniformis, Bacillus cereus, Actinobacillus, Pseudomonas aeruginosa, Consortia (a combination of the characterized bacterias), and DIPEL® (Bacillus thu-ringensis subsp. Kurstaki). The study included the evaluation of the length of the plants and panicles as well as the number of inflorescences and seed production using a completely randomized experimental design. The results showed that the microorganisms had a large impact on plant growth. Actinobacillus increased the number of panicles while P. aeruginosa improved grain production. These results allowed us to confirm that the use of microorganisms favors the growth parameters of quinoa and allowed us to recognize the biological potential of growth promoting bacteria in this crop under conditions of poor water and nutrient availability. © 2022, Universidad Pedagogica y Tecnologica de Colombia. All rights reserved.</t>
  </si>
  <si>
    <t>soil bacteria; inoculation; vegetable performance; yield; Andean cultivars</t>
  </si>
  <si>
    <t>Ávila-Martínez, E., Lizarazo-Forero, L., Cortés-Pérez, F., Promoción del crecimiento de Baccharis macran-tha (Asteraceae) con bacterias solubilizadoras de fosfa-tos asociadas a su rizósfera (2015) Acta Biol. Colomb, 20 (3), pp. 121-131; Baldi, E., Toselli, M., Mineralization dynamics of different commercial organic fertilizers from agro-industry organic waste recycling: An incubation experiment (2014) Plant Soil Environ, 60 (3), pp. 93-99; Bazile, D., Jacobsen, S.-E., Verniau, A., The global expansion of quinoa: Trends and limits (2016) Front. Plant Sci, 7, p. 622; Bello, O.F., García, J.F., Cuervo, W.J., Cuantifica-ción de diazótrofos en la rizósfera del olivo (Olea euro-paea L.) cultivado en Boyacá, Colombia (2016) Acta Agron, 65 (2), pp. 109-115; Cameron, K.A., Hodson, A.J., Osborn, A.M., Car-bon and nitrogen biogeochemical cycling potentials of supraglacial cryoconite communities (2012) Polar Biol, 35 (9), pp. 1375-1393; Christiansen, J.L., Jacobsen, S-E., Jørgensen, S.T., Photoperiodic effect on flowering and seed development in quinoa (Chenopodium quinoa Willd.) (2010) Acta Agric. Scand. B Soil Plant Sci, 60 (6), pp. 539-544; García-Parra, M.A., Cuellar-Rodríguez, L.A., Bala-guera-López, H.E., Arbuscular mycorrhiza symbiosis in quinoa (Chenopodium quinoa Willd.): A systematic review (2022) Rev. Fac. Nac. Agron. Medellín, 75 (1); García-Parra, M., Garcia-Molano, J., Deaquiz-Oyola, Y., Physiological perfomance of quinoa (Chenopo-dium quinoa Willd.) under agricultural climatic conditions in Boyaca, Colombia (2019) Agron. Colomb, 37 (2), pp. 144-152; García-Parra, M.A., Plazas-Leguizamón, N.Z., La quinua (Chenopodium quinoa Willd.) en los sistemas de producción agraria (2018) Rev. P + L, 13 (1), pp. 112-119; García, J.F., (2006) Principios generales de la agricultura or-gánica, , Fundación Universitaria Juan de Castellanos, Tunja, Colombia; Geren, H., Effects of different nitrogen levels on the grain yield and some yield components of quinoa (Chenopodium quinoa Willd.) under mediterranean climatic conditions (2015) Turk. J. Field Crops, 20 (1), pp. 59-64; Gholamalizadeh, R., Khodakaramian, G., Ebadi, A.A., Assessment of rice associated bacterial abili-ty to enhance rice seed germination and rice growth promotion (2017) Braz. Arch. Biol. Technol, 60, pp. 1-13; Glick, B., Plant growth-promoting bacteria: Mechanisms and applications (2012) Scientifica, 2012, p. 963401; Gómez, L., Aguilar, E., (2016) Guía de cultivo de la quinua, , FAO; Universidad Nacional Agraria La Molina, Lima; Hinojosa, L., González, J.A., Barrios-Masias, F.H., Fuen-tes, F., Murphy, K.M., Quinoa abiotic stress responses: A review (2018) Plants, 7 (4), p. 106; Hussain, M.I., Al-Dakheel, A.J., Reigosa, M.J., Ge-notypic differences in agro-physiological, biochemical and isotopic responses to salinity stress in quinoa (Che-nopodium quinoa Willd.) plants: Prospects for salinity tolerance and yield stability (2018) Plant Physiol. Biochem, 129, pp. 411-420; Issa-Ali, O., Fghire, R., Anaya, F., Benlhabib, O., Wah-bi, S., Physiological and morphological responses of two quinoa cultivars (Chenopodium quinoa Willd.) to drought stress (2019) Gesunde Pflanzen, 71 (2), pp. 123-133; Jacobsen, S-E., The worldwide potential for quinoa (Chenopodium quinoa Willd.) (2003) Food Rev. Int, 19 (1-2), pp. 167-177; Kansomjet, P., Thobunluepop, P., Lertmongkol, S., Saro-bol, E., Kaewsuwan, P., Junhaeng, P., Pipattanawong, N., Ivan, M.T., Response of physiological cha-racteristics, seed yield and seed quality of quinoa under difference of nitrogen fertilizer management (2017) Am. J. Plant Physiol, 12 (1), pp. 20-27; Ku, Y., Xu, G., Tian, X., Xie, H., Yang, X., Cao, C., Chen, Y., Root colonization and growth promotion of soybean, wheat and Chinese cabbage by Bacillus cereus YL6 (2018) PLoS ONE, 13 (11), p. e0210035; Lesjak, J., Calderini, D.F., Increased night temperature negatively affects grain yield, biomass and grain number in Chilean quinoa (2017) Front. Plant Sci, 8, p. 352; Linu, M., Asok, A., Thampi, M., Sreekumar, J., Jisha, M., Plant Growth Promoting Traits of Indige-nous Phosphate Solubilizing Pseudomonas aeruginosa Isolates from Chilli (Capsicumannuum L.) Rhizosphe-re (2019) Comm. Soil Sci. Plant Anal, 50 (4), pp. 444-457; Mehnaz, S., Kowalik, T., Reynolds, B., Lazarovits, G., Growth promoting effects of corn (Zea mays) bacterial isolates under greenhouse and field con-ditions (2010) Soil Biol. Biochem, 42 (10), pp. 1848-1856; Melo, D.I., (2016) Studio di adattabilità colturale della qui-noa (Chenopodium quinoa Willd.) in Italia Settentrio-nale, , PhD thesis. Università Cattolica del Sacro Cuore di Piacenza, Milan, Italia; (2012) Manual de nutrición y fertilización de la quinua, , Editorial Funart, Lima; Ortuño, N., Castillo, J.A., Claros, M., Navia, O., Angulo, M., Barja, D., Angulo, V., Enhancing the sustaina-bility of quinoa production and soil resilience by using bioproducts made with native microorganisms (2013) Agro-nomy, 3 (4), pp. 732-746; Pérez-Moncada, U.A., Ramírez-Gómez, M., Zapa-ta-Narváez, Y.A., Córdoba-Sánchez, J.M., Efecto de la inoculación simple y combinada con Hongos Formadores de Micorriza Arbuscular (HFMA) y Rizo-bacterias Promotoras de Crecimiento Vegetal (BPCV) en plántulas micropropagadas de mora (Rubus glaucus L.) (2015) Corpoica Cienc. Tecnol. Agropecu, 16 (1), pp. 95-103; Sanabria, K.M., Lazo, H., Aclimatación a la alta temperatura y tolerancia al calor (TL 50) en 6 varieda-des de Chenopodium quinoa (2018) Rev. Peru. Biol, 25 (2), pp. 147-152; Schindler, D.W., Hecky, R.E., Findlay, D.L., Stainton, M.P., Parker, B.R., Paterson, M.J., Beaty, K.G., Kasian, S.E.M., Eutrophication of lakes cannot be controlled by reducing nitrogen input: Results of a 37-year whole-ecosystem experiment (2008) Proc. Natl. Acad. Sci, 105 (32), pp. 11254-11258; Sharifi, R., Ryu, C.M., Revisiting bacterial vola-tile-mediated plant growth promotion: Lessons from the past and objectives for the future (2018) Ann. Bot, 122 (3), pp. 349-358; Singh, R.P., Jha, P.N., A halotolerant bacterium Bacillus licheniformis HSW-16 augments induced sys-temic tolerance to salt stress in wheat plant (Triticum aestivum) (2016) Front. Plant Sci, 7, p. 1890; Steindler, L., Bertani, I., De Sordi, L., Schwager, S., Eberli, L., Venturi, V., LasI/R and RhlI/R quorum sensing in a strain of Pseudomonas aeruginosa beneficial to plants (2009) Appl. Environ. Microb, 75 (15); Sousa, A.M., Pereira, M.O., Lourenço, A., Mor-phoCol: An ontology-based knowledgebase for the characterization of clinically significant bacterial co-lony morphologies (2015) J. Biomed. Infor, 55, pp. 55-63; Taiz, L., Zeiger, E., (2006) Fisiología vegetal, , Universitat Jaume I, Castellon de la Plana, Spain; Torres, J., Vargas, H., Corredor, G., Reyes, L.M., Ca-racterización morfo agronómica de diecinueve cultiva-res de quinua (Chenopodium quinoa Willd.) en la sabana de Bogotá (2000) Agron. Colomb, 17, pp. 60-68; Yang, A., Akhtar, S.S., Iqbal, S., Amjad, M., Naveed, M., Zahir, Z.A., Jacobsen, S-E., Enhancing salt tolerance in quinoa by halotolerant bacterial inoculation (2016) Funt. Plant Biol, 43 (7), pp. 632-642</t>
  </si>
  <si>
    <t>Amado-Rodríguez, J.L.; Universidad Pontificia BolivarianaColombia; email: jeimmililiana.amado@upb.edu.co</t>
  </si>
  <si>
    <t>2-s2.0-85143788311</t>
  </si>
  <si>
    <t>Feria-Gómez D.F., Londoño-Puerta D.A., Córdoba-Gaona O.J.</t>
  </si>
  <si>
    <t>58001940300;58000853900;57200326430;</t>
  </si>
  <si>
    <t>Relationship between chlorophyll a fluorescence and yield in banana (Musa AAA Simmonds cv. Cavendish) [Relación entre la fluorescencia de la clorofila a y el rendimiento en el banano (Musa AAA Simmonds cv. Cavendish)]</t>
  </si>
  <si>
    <t>e13313</t>
  </si>
  <si>
    <t>10.17584/rcch.2022v16i1.13313</t>
  </si>
  <si>
    <t>https://www.scopus.com/inward/record.uri?eid=2-s2.0-85143780770&amp;doi=10.17584%2frcch.2022v16i1.13313&amp;partnerID=40&amp;md5=c507f2365c193cf7af5f0712b715832e</t>
  </si>
  <si>
    <t>Universidad Nacional de Colombia, Sede Medellín, Facultad de Ciencias Agrarias, Medellin, Colombia; Asociación de Bananeros de Colombia (AUGURA), Centro de Investigaciones del Banano (Cenibanano), Carepa, Colombia</t>
  </si>
  <si>
    <t>Feria-Gómez, D.F., Universidad Nacional de Colombia, Sede Medellín, Facultad de Ciencias Agrarias, Medellin, Colombia; Londoño-Puerta, D.A., Asociación de Bananeros de Colombia (AUGURA), Centro de Investigaciones del Banano (Cenibanano), Carepa, Colombia; Córdoba-Gaona, O.J., Universidad Nacional de Colombia, Sede Medellín, Facultad de Ciencias Agrarias, Medellin, Colombia</t>
  </si>
  <si>
    <t>Chlorophyll a fluorescence is used to characterize plant responses to natural environments or stress conditions. This study aimed to identify correlations between the maximum quantum efficiency of PSII (Qy) with climatic and soil variables associated with bunch weight. The experiment design used in the field included an observational and longitudinal study, where 72 production units in the independent vegetative stage were randomly selected, of which 36 units were from a low production area, and 36 were from a high production area. In each unit, the quantum yield (Qy: Fv/Fm) was measured and correlated with climatic and soil variables, the nutrient content in the leaves, and the average weight of the cluster in each sampled batch. The results indicated a correlation between a Qy of-0.703 for temperature and-0.583 for radiation. On the other hand, pH and resistance to soil penetration were directly related to the Qy to a lesser extent, with r² values of 12.77 and 24.28%, respectively. Rainfall, wind, gusts, dew point, atmospheric pressure, and texture composition of the soil did not significantly affect Qy variation; when attacks by leaf pests (mites) occurred, significant reductions were also observed. Qy is a variable that responds to the stress generated by factors external to a plant that can significantly affect production, with a reduction of up to 2 kg per cluster and a bias of three to four weeks when a loss of 0.04 points occurs in the Qy value. © 2022, Universidad Pedagogica y Tecnologica de Colombia. All rights reserved.</t>
  </si>
  <si>
    <t>abiotic stress; Musaceae; photosystem II; plant phenology; plant response</t>
  </si>
  <si>
    <t>This study was carried out thanks to the support of the Asociación de Bananeros de Colombia (AUGURA), the Colombian Banana Research Center (CENIBANANO), and the Universidad Nacional de Colombia. The authors thank CENIBANANO for their assistance in this experiment. Thanks to the Experimental Field Staff, who provided resources for this study.</t>
  </si>
  <si>
    <t>This study was carried out thanks to the support of the Asociación de Bananeros de Colombia</t>
  </si>
  <si>
    <t>Adak, M.K., Analysis of chlorophyll fluorescence: A reliable technique in determination of stress on plants (2018) Eco-friendly agro-biological techniques for enhancing crop productivity, pp. 63-88. , Sengar R. and A. Singh (eds). Springer, Singapur; Adams, W.W., Díaz, M., Winter, K., Diurnal changes in photochemical efficiency, the reduction state of Q, radiationless energy dissipation, and non-photochemical fluorescence quenching in cacti exposed to natural sunlight in northern Venezuela (1989) Oecologia, 80 (4), pp. 553-561; (2021) Coyuntura bananera 2020, , https://augura.com.co/wp-content/uploads/2021/04/Coyuntura-Banane-ra-2020.pdf, consulted: May, 2021; Barrera Violet, J.L., Cartagena Valenzuela, J.R., Nanclares Gómez, O.A., Influence of high planting densities and arrangements on yield and fruit development of Musa AAA Simmonds (2020) Acta Agron, 69 (1), pp. 46-53; Bouyoucos, G.J., Directions for making mechanical analyses of soils by the hydrometer method (1936) Soil Sci, 42 (3), pp. 225-230; Buffon, G., Blasi, E.A.R., Lamb, T.I., Adamski, J.M., Schwambach, J., Ricachenevsky, F.K., Bertolazi, A., Sperotto, R., Nipponbare and wild rice species as unexpected tolerance and susceptibility sources against Schizotetranychus oryzae (Acari: Tetranychidae) mite infestation (2020) Front. Plant Sci, 12, p. 613568; Bukhov, N.G., Carpentier, R., Effects of water stress on the photosynthetic efficiency of plants (2004) Chlorophyll a fluorescence. Advances in photosynthesis and respiration, 19, pp. 623-635. , Papageorgiou G.C. and Govindjee (eds). Springer, Dordrecht, The Netherlands; Catalina Tomás, A., (2015) Utilización de medidas de fluorescencia de la clorofila para monitorizar el estado nutricional y estimar el potencial enológico en viñedos afectados por clorosis férrica, , PhD thesis. Escuela Técnica Superior de Ingenierías Agrias, Universidad de Valladolid, Palencia, Spain; Chacón-Hernández, J.C., Camacho-Aguilar, I., Cerna-Chavez, E., Ordaz-Silva, S., Ochoa-Fuentes, Y.M., Landeros-Flores, J., Efectos de Tetranychus urticae y Phytoseiulus persimilis (Acari: Tetranychidae: Phytoseiidae) en la clorofila de plantas de rosal (Rosa sp.) (2018) Agrociencia, 52 (6), pp. 895-909; Cheng, L., Fuchigami, L.H., Breen, P.J., Light absorption and partitioning in relation to nitrogen content in `Fuji’ apple leaves (2000) J. Amer. Soc. Hort. Sci, 125 (5), pp. 581-587; Da Silva, J.M., Arrabaça, M.C., Photosynthesis in the water-stressed C4 grass Setaria sphacelata is mainly limited by stomata with both rapidly and slowly imposed water deficits (2004) Physiol. Planta, 121 (3), pp. 409-420; De Mendiburu, F., (2021) Agricolae: Statistical procedures for agricultural research, 1, pp. 3-5. , http://cran.r-project.org/package=agricolae, R consulted: May, 2021; Donato, S.L.R., Arantes, A.M., Coelho, E.F., Rodrigues, M.G.V., Considerações ecofisiológicas e estratégias de manejo da bananeira (2015) VIII Simposio Brasileiro sobre Bananicultura – SIBANANA, Embrapa Mandioca e Fruticultura, , Montes Claros, Brazil; (2021) FAOSTAT – Food and agriculture data, , https://www.fao.org/faostat/en/#home, consulted: May, 2021; Gross, J., Ligges, U., (2015) Package ‘nortest’: Tests for normality. R v. 1.0-4, , https://cran.r-project.org/web/packages/nortest/index.html, consulted: May, 2021; Grossiord, C., Buckley, T.N., Cernusak, L.A., Novick, K.A., Poulter, B., Siegwolf, R.T.W., Sperry, J.S., Mc-Dowell, N.G., Plant responses to rising vapor pressure deficit (2020) New Phytol, 226 (6), pp. 1550-1566; Haldimann, P., Feller, U., Inhibition of photosynthesis by high temperature in oak (Quercus pubescens L.) leaves grown under natural conditions closely correlates with a reversible heat-dependent reduction of the activation state of ribulose-1,5-bisphosphate carboxylase/oxygenase (2004) Plant Cell Environ, 27 (9), pp. 1169-1183; Havaux, M., Rapid photosynthetic adaptation to heat stress triggered in potato leaves by moderately elevated temperatures (1993) Plant Cell Environ, 16 (4), pp. 461-467; (2019) Delegación China busca aumentar, en más de un millón de toneladas, las importaciones de banano colombiano, , https://www.ica.gov.co/noticias/ica-china-expor-tacion-banano, consulted: May, 2021; Jiang, Y., Li, Y., Zeng, Q., Wei, J., Yu, H., The effect of soil pH on plant growth, leaf chlorophyll fluorescence and mineral element content of two blueberries (2017) Acta Hortic, 1180, pp. 269-276; Kim, J.H., Bhandari, S.R., Chae, S.Y., Cho, M.C., Lee, J.G., Application of maximum quantum yield, a parameter of chlorophyll fluorescence, for early determination of bacterial wilt in tomato seedlings (2019) Hortic. Environ. Biotechnol, 60 (6), pp. 821-829; Lobo, M.G., Fernández Rojas, F.J., Biology and postharvest physiology of banana (2020) Handbook of banana production, postharvest science, processing technology, and nutrition, pp. 19-44. , Siddiq, M., J. Ahmed, and M.G. Lobo (eds). Wiley, Hoboken, NJ; Manterola, D., Cómo interpretar los “Niveles de Evidencia” en los diferentes escenarios clínicos (2009) Rev. Chil. Cir, 61 (6), pp. 582-595. , C. and D. Zavando M; Maxwell, K., Johnson, G.N., Chlorophyll fluorescence — a practical guide (2000) J. Exp. Bot, 51 (345), pp. 659-668; Osorio, N.W., (2014) Manejo de los nutrientes en suelos del trópico, , 2nd ed. Universidad Nacional de Colombia. Editorial LA Vieco, Medellin, Colombia; Pérez Asseff, J.M., Peña Salamanca, E.J., Torres González, C., Efecto del nitrógeno y la irradianza en la eficiencia fotosintética del anamú Petiveria alliacea (Phytolaccaceae) (2017) Rev. Acad. Colomb. Cienc. Fis. Nat, 31 (118), pp. 49-55; Pérez, W.A., Torres-Bazurto, J., Carbon-nitrogen ratio in soils with fertilizer applications and nutrient absorption in banana (Musa spp.) cv (2020) Williams. Agron. Colomb, 38 (2), pp. 253-260; Ravi, I., Uma, S., Vaganan, M.M., Mustaffa, M.M., Phenotyping bananas for drought resistance (2013) Front. Physio, 4, p. 9; Robinson, J.C., Bower, J.P., Transpiration from banana leaves in the subtropics in response to diurnal and seasonal factors and high evaporative demand (1988) Sci. Hortic, 37 (1-2), pp. 129-143; Robinson, J.C., Galán, V., Bananas and plantains (2010) Serie Crop Production Science in Horticulture, 19. , S. (eds). 2nd ed. Cabi, Wallingford, UK; Sánchez-Reinoso, A.D., Jiménez-Pulido, Y., Martínez-Pérez, J.P., Pinilla, C.S., Fischer, G., Chlorophyll fluorescence and other physiological parameters as indicators of waterlogging and shadow stress in lulo (Solanum quitoense var. septentrionale) seedlings (2019) Rev. Colomb. Cienc. Hortíc, 13 (3), pp. 325-335; Sanz Miguel, M.A., Blanco Braña, A., Monje, E., Val Falcón, J., Caracterización de la deficiencia de calcio en plantas de tomate utilizando parámetros fisiológicos (2001) Revista ITEA, 97V (1), pp. 26-38; Schloerke, B., Di Cook, J. Larmarange, F. Briatte, M. Marbach, E. Thoen, A. Elberg, O. Toomet, J. Crowley, H. Hofmann, and H. Wickham. 2021. GGally: Extension to ‘ggplot2’. R v. 2.1.1, , https://CRAN.R-project.org/package=GGally, consulted: May, 2021; Thomas, D.S., Turner, D.W., Banana (Musa sp.) leaf gas exchange and chlorophyll fluorescence in response to soil drought, shading and lamina folding (2001) Sci. Hortic, 90 (1-2), pp. 93-108; Wickham, H., (2016) ggplot2: Elegant graphics for data analysis, , Springer-Verlag, New York; Zhang, J.Z., Zhang, Q., Chen, Y.J., Sun, L.L., Song, L.Y., Peng, C.L., Improved tolerance toward low temperature in banana (Musa AAA Group Cavendish Williams) (2012) S. Afr. J. Bot, 78, pp. 290-294; Živčák, M., Brestič, M., Olšovská, K., Slamka, P., Performance index as a sensitive indicator of water stress in Triticum aestivum L (2008) Plant Soil Environ, 54 (4), pp. 133-139</t>
  </si>
  <si>
    <t>Feria-Gómez, D.F.; Universidad Nacional de Colombia, Colombia; email: dfferiag@unal.edu.co</t>
  </si>
  <si>
    <t>2-s2.0-85143780770</t>
  </si>
  <si>
    <t>Jaramillo-Colorado B.E., Vega-Díaz R., Pino-Benítez C.N.</t>
  </si>
  <si>
    <t>36608267100;58000657200;56951342000;</t>
  </si>
  <si>
    <t>Volatile chemical composition of Colombian Plectranthus amboinicus (Lour.) Spreng. essential oil and its biocidal action against Tribolium castaneum (Herbst) [Composición química volátil del aceite esencial colombiano de Plectranthus amboinicus (Lour.) Spreng. y su acción biocida contra el Tribolium castaneum (Herbst)]</t>
  </si>
  <si>
    <t>e13413</t>
  </si>
  <si>
    <t>10.17584/rcch.2022v16i1.13413</t>
  </si>
  <si>
    <t>https://www.scopus.com/inward/record.uri?eid=2-s2.0-85143779559&amp;doi=10.17584%2frcch.2022v16i1.13413&amp;partnerID=40&amp;md5=da445ba029c8de7305256f5166f9b008</t>
  </si>
  <si>
    <t>Universidad de Cartagena, Faculty of Exact and Natural Sciences, Cartagena de Indias, Colombia; Universidad Tecnológica del Chocó Diego Luis Córdoba, Faculty of Education Sciences, Quibdo, Colombia</t>
  </si>
  <si>
    <t>Jaramillo-Colorado, B.E., Universidad de Cartagena, Faculty of Exact and Natural Sciences, Cartagena de Indias, Colombia; Vega-Díaz, R., Universidad de Cartagena, Faculty of Exact and Natural Sciences, Cartagena de Indias, Colombia; Pino-Benítez, C.N., Universidad Tecnológica del Chocó Diego Luis Córdoba, Faculty of Education Sciences, Quibdo, Colombia</t>
  </si>
  <si>
    <t>Plectranthus amboinicus (Lour.) Spreng. is an herbaceous and aromatic plant that belongs to the Lamiaceae family. In this research work, the repellent and insecticidal activity of the essential oil (EO) of P. amboinicus from the Condoto township in the department of Choco (Colombia) against the flour weevil Tribolium castaneum (Herbst) was studied. EO was isolated by the hydrodistillation technique. The identification of the volatile metabolites of P. amboinicus EO was done through gas chromatography coupled to mass spectrometry (GC / MS). The contact method was used for the bioassay of the essential oil’s repellent and fumigant activities. In the Plectranthus amboinicus EO, fifteen compounds were found. The major compound was carvacrol (75.9%) followed by α-bergamotene, p-cymene, α-humulene, 4-terpineol, caryophyllene oxi-de, β-guaiene, 1-octen-3-ol, α-muurolene, caryophyllene, 3-hexen-2-ol, g-terpinene, isothymol, 2-carene and β-bisabolene, respectively. The highest repellent activity obtained was 83.33 and 9.67% at a concentration of 0,1% with exposure times of 2 and 4 hours, respectively. The fumigant activity was 100% at a concentration of EO 250 μL L-1. The results indicated that the natural compounds tested may be useful alternatives to control T. castaneum infestation. © 2022, Universidad Pedagogica y Tecnologica de Colombia. All rights reserved.</t>
  </si>
  <si>
    <t>essential oils; insecticidal activity, bioprospecting; repellent activity</t>
  </si>
  <si>
    <t>Ministerio de Comercio, Industria y Turismo, MCIT; Ministerio de Ciencia, Tecnología e Innovación Productiva, MINCyT; Ministerul Educaţiei Naţionale, MEN; Instituto Colombiano de Crédito Educativo y Estudios Técnicos en el Exterior, ICETEX: RC-FP44842-212-2018</t>
  </si>
  <si>
    <t>Authors thank funding from Ministerio de Ciencia, Tecnología e Innovación, Ministerio de Educación Nacional, Ministerio de Industria, Comercio y Turismo, and ICETEX, Programa Ecosistema Científico-Colombia Científica from Fondo Francisco José de Caldas; Grant RC-FP44842-212-2018. Universidad Tecnológica del Chocó, Natural Products Group, and Dr. Yuber Pala-cios; Research Groups Support Program Research Vicepresidency at Universidad de Cartagena (2016-2020).</t>
  </si>
  <si>
    <t>Authors thank funding from Ministerio de Ciencia,</t>
  </si>
  <si>
    <t>Adams, R.P., (2007) Identification of essential oil components by gas chromatography/mass spectroscopy, , 4th ed. Allured Publishing, Carol Stream, IL; Aguiar, J.J.S., Sousa, C.P.B., Araruna, M.K.A., Sil-va, M.K.N., Portelo, A.C., Lopes, J.C., Carvalho, V.R.A., Matias, E.F.F., Antibacterial and modifying-antibiotic activities of the essential oils of Ocimum gratissimum L. and Plectranthus amboinicus L (2015) Eur. J. Integr. Med, 7 (2), pp. 151-156; Ajitha, B., Reddy, Y.A.K., Reddy, P.S., Biosynthe-sis of silver nanoparticles using Plectranthus amboinicus leaf extract and its antimicrobial activity (2014) Spectro-chim. Acta A Mol. Biomol. Spectrosc, 128, pp. 257-262; Arumugam, G., Sinniah, U.R., Swamy, M.K., Ly-nch, P.T., Micropropagation and essential oil characterization of Plectranthus amboinicus (Lour.) Sprengel, an aromatic medicinal plant (2020) Vitro Cell. Dev. Biol.-Plant, 56, pp. 491-503; Bernal, R., Gradstein, S.R., Celis, M., (2019) Catá-logo de plantas y líquenes de Colombia, , http://catalogoplantasdecolombia.unal.edu.co, (eds) database Universidad Nacional de Colombia, Instituto de Cien-cias Naturales, consulted: 10-06-2021; Chen, Y.-S., Yu, H.-M., Shie, J.-J., Cheng, T.-J., Wu, C.-Y., Fang, J.-M., Wong, C.-H., Chemical constituents of Plectranthus amboinicus and the synthetic analogs pos-sess anti-inflammatory activity (2014) Bioorg. Med. Chem, 22 (5), pp. 1766-1772; Cossetin, L.F., Santi, E.M.T., Cossetin, J.F., Dillmann, J.B., Baldissera, M.D., Garlet, Q.I., Souza, T.P., Mon-teiro, S.G., In vitro safety and efficacy of lavender essential oil (Lamiales: Lamiaceae) as an insecticide against houseflies (Diptera: Muscidae) and blowflies (Diptera: Calliphoridae) (2018) J. Econ. Entomol, 111 (4), pp. 1974-1982; Dehsheikh, A.B., Sourestani, M.M., Dehsheikh, P.B., Mot-taghipisheh, J., Vitalini, S., Iriti, M., Mono-terpenes: Essential oil components with valuable features (2020) Mini. Rev. Med. Chem, 20 (11), pp. 958-974; Gaire, S., Scharf, M.E., Gondhalekar, Toxicity and neurophysiological impacts of plant essential oil components on bed bugs (Cimicidae: Hemiptera) (2019) Sci. Rep, 9 (1), p. 3961; Gupta, S.K., Negi, P.S., Antibacterial activity of indian borage (Plectranthus amboinicus Benth) leaf extracts in food systems and against natural microflora in chicken. meat (2016) Food Technol. Biotechnol, 54 (1), pp. 90-96; Huang, H.-T., Lin, C.-C., Kuo, T.-C., Chen, S.-J., Huang, R.-N., Phytochemical composition and larvici-dal activity of essential oils from herbal plants (2019) Planta, 250, pp. 59-68; Jankowska, M., Rogalska, J., Wyszkowska, J., Stankiewicz, M., Molecular targets for components of essential oils in the insect nervous system. A review (2018) Molecules, 23 (1), p. 34; Jaramillo-Colorado, B.E., Martelo, I.P., Duarte, E., Antioxidant and repellent activities of the essential oil from Colombian Triphasia trifolia (Burm. f.) P. Wilson (2012) J. Agric. Food Chem, 60 (25), pp. 6364-6368; Jaramillo-Colorado, B.E., Palacio-Herrera, F.M., Pino-Benitez, C.N., Volatile chemical composition of Colombian Piper gorgonillense Trel. &amp; Yunck. essential oil and its repellent and fumigant activity against Tri-bolium castaneum Herbst (2020) Rev. Colomb. Cienc. Hortic, 14 (3), pp. 424-433; Lalthazuali, Mathew, N., Mosquito repellent activity of volatile oils from selected aromatic plants (2017) Parasitol. Res, 116 (2), pp. 821-825; Lima, S.C.G., Teixeira, M.J., Lopes Júnior, J.E.G., Mo-rais, S.M., Torres, A.F., Braga, M.A., Rodrigues, R.O., Nagao-Dias, A.T., In vitro and in vivo leishmanicidal activity of Astro-nium fraxinifolium (Schott) and Plectranthus amboin-icus (Lour.) Spreng against Leishmania (Viannia) braziliensis (2014) BioMed. Res. Int, 2014, p. 848293; Lopes, P.Q., Carneiro, F.B., Souza, A.L.B., Santos, S.G., Oliveira, E.E., Soarez, L.A.L., Technological evaluation of emulsions containing the volatile oil from leaves of Plectranthus amboinicus Lour (2017) Pharmacogn. Mag, 13 (49), pp. 159-167; Luz, T.R.S.A., Mesquita, L.S.S., Amaral, F.M.M., Coutinho, D.F., Essential oils and their chemical constituents against Aedes aegypti L. (Diptera: Culi-cidae) larvae (2020) Acta Trop, 212, p. 105705; Ma, W.-B., Feng, J.-T., Jiang, Z.-L., Wu, H., Ma, Z.-Q., Zhang, X., Fumigant activity of eleven essential oil compounds and their selected binary mixtu-res against Culex pipiens pallens (Diptera: Culicidae) (2014) Parasitol. Res, 113 (10), pp. 3631-3637; Nieves, E., Fernández Méndez, J., Lias, J., Rondón, M., Briceño, B., Actividad repelente de aceites esen-ciales contra las picaduras de Lutzomyia migonei (Dip-tera: Psychodidae) (2010) Rev. Biol. Trop, 58 (4), pp. 1549-1560; Ramadan, G.R.M., Abdelgaleil, S.A.S., Shawir, M.S., El-Bakary, A.S., Kun, K.Y., Phillips, T.W., Terpenoids, DEET and short-chain fatty acids as toxicants and repellents for Rhyzopertha dominica (Coleoptera: Bo-strichidae) and Lasioderma serricorne (Coleoptera: Ptinidae) (2020) J. Stored. Prod. Res, 87, p. 101610; Ramli, N., Ahamed, P.O.S., Elhady, H.M., Taher, M., Antimalarial activity of Malaysian Plectranthus amboinicus against Plasmodium berghei (2014) Pharmacogn. Res, 6 (4), pp. 280-284; Santos, F.A.V., Serra, C.G., Bezerra, R.J.A.C., Figueredo, F.G., Edinardo, Matias, F.F., Menezes, I.R.A., Coutinho, H.D.M., Antibacterial activity of Plectranthus amboinicus Lour (Lamiaceae) essential oil against Streptococcus mutans (2016) Eur. J. Integr. Med, 8 (3), pp. 293-297; Sharifi-Rad, M., Varoni, E.M., Iriti, M., Martorell, M., Setzer, W.N., Del Mar Contreras, M., Salehi, B., Shar-ifi-Rad, J., Carvacrol and human health: A com-prehensive review (2018) Phytother. Res, 32 (9), pp. 1675-1687; Shubha, J.R., Bhatt, P., Plectranthus amboinicus leaves stimulate growth of probiotic L. plantarum: Evi-dence for ethnobotanical use in diarrhea (2015) J. Ethnophar-macol, 166, pp. 220-227; Swamy, M.K., Arumugam, G., Kaur, R., Ghasemza-deh, A., Yusoff, M.M., Sinniah, U.R., GC-MS based metabolite profiling, antioxidant and antimicrobial properties of different solvent extracts of Malaysian Plectranthus amboinicus leaves (2017) Evid. Based Complement. Altern. Med, 2017, p. 1517683; Tabari, M.A., Youssefi, M.R., Barimani, A., Araghi, A., Carvacrol as a potent natural acaricide against Dermanyssus gallinae (2015) Parasitol. Res, 114 (10), pp. 3801-3806; Tabari, M.A., Youssefi, M.R., Maggi, F., Benelli, G., Toxic and repellent activity of selected monoterpe-noids (thymol, carvacrol and linalool) against the castor bean tick, Ixodes ricinus (Acari: Ixodidae) (2017) Vet. Pa-rasitol, 245, pp. 86-91; (2013), http://www.theplantlist.org/, Version 1.1 database, consulted: May, 2021; Plectranthus amboinicus (2017) Framacopedia, , http://www.tramil.net/es/plant/plectranthus-amboi-nicus, consulted: July, 2021; Ultee, A., Bennik, M.H.J., Moezelaar, R., The phenolic hydroxyl group of carvacrol is essential for action against the food-borne pathogen Bacillus ce-reus (2002) Appl. Environ. Microbiol, 68 (4), pp. 1561-1568; Vishnu Priya, N., Vinitha, U.G., Sundaram, MM., Preparation of chitosan-based antimicrobial active food packaging film incorporated with Plectranthus amboinicus essential oil (2021) Biocatal. Agric. Biotechnol, 34, p. 102021; Viswanathaswamy, A.H.M., Koti, B.C., Gore, A., Thippeswamy, A.H.M., Kulkarni, R.V., Antihyperglycemic and antihyperlipidemic activity of Plectranthus amboinicus on normal and alloxan-induced diabetic rats (2011) Indian J. Pharm. Sci, 73 (2), pp. 139-145; Youssefi, M.R., Tabari, M.A., Esfandiari, A., Kazemi, S., Moghadamnia, A.A., Sut, S., Dall’Acqua, S., Maggi, F., Efficacy of two monoterpenoids, carva-crol and thymol, and their combinations against eggs and larvae of the West Nile Vector Culex pipiens (2019) Molecules, 24 (10), p. 1867; Yulianto, W., Andarwulan, N., Giriwono, P.E., Pa-mungkas, J., HPLC-based metabolomics to identify cytotoxic compounds from Plectranthus amboinicus (Lour.) Spreng against human breast cancer MCF-7Cells (2016) J. Chromatogr. B Analyt. Te-chnol. Biomed. Life Sci, 1039, pp. 28-34</t>
  </si>
  <si>
    <t>Jaramillo-Colorado, B.E.; Universidad de Cartagena, Colombia; email: bjaramilloc@unicartagena.edu.co</t>
  </si>
  <si>
    <t>2-s2.0-85143779559</t>
  </si>
  <si>
    <t>Cely-Reyes G.E., Fernández-Pérez C.J., Walteros-Torres I.Y., Camargo-Guerrero F.D.R., Serrano-Cely P.A.</t>
  </si>
  <si>
    <t>57195578694;57208753619;57884556900;58001953800;56366688600;</t>
  </si>
  <si>
    <t>Determination of salt dynamics in leached water from cultivated onions (Allium cepa L.) under two irrigation systems in the Samaca-Boyaca Valley [Determinación de la dinámica de sales en agua lixiviada en el cultivo de cebolla (Allium cepa L.) bajo dos sistemas de riego en el Valle de Samacá-Boyacá]</t>
  </si>
  <si>
    <t>e13654</t>
  </si>
  <si>
    <t>10.17584/rcch.2022v16i1.13564</t>
  </si>
  <si>
    <t>https://www.scopus.com/inward/record.uri?eid=2-s2.0-85143778608&amp;doi=10.17584%2frcch.2022v16i1.13564&amp;partnerID=40&amp;md5=424c677eeeb59593a4712eaae83e58ab</t>
  </si>
  <si>
    <t>Universidad Pedagógica y Tecnológica de Colombia, Faculta de Ciencias Agropecuarias, Grupo de investigación GIPSO, Tunja, Colombia</t>
  </si>
  <si>
    <t>Cely-Reyes, G.E., Universidad Pedagógica y Tecnológica de Colombia, Faculta de Ciencias Agropecuarias, Grupo de investigación GIPSO, Tunja, Colombia; Fernández-Pérez, C.J., Universidad Pedagógica y Tecnológica de Colombia, Faculta de Ciencias Agropecuarias, Grupo de investigación GIPSO, Tunja, Colombia; Walteros-Torres, I.Y., Universidad Pedagógica y Tecnológica de Colombia, Faculta de Ciencias Agropecuarias, Grupo de investigación GIPSO, Tunja, Colombia; Camargo-Guerrero, F.D.R., Universidad Pedagógica y Tecnológica de Colombia, Faculta de Ciencias Agropecuarias, Grupo de investigación GIPSO, Tunja, Colombia; Serrano-Cely, P.A., Universidad Pedagógica y Tecnológica de Colombia, Faculta de Ciencias Agropecuarias, Grupo de investigación GIPSO, Tunja, Colombia</t>
  </si>
  <si>
    <t>The water used for agricultural irrigation has significant effects on crop production, along with chemical degradation of soil and water. This study determined the salt dynamics in two irrigation systems for bulb onion cultivation in the Samaca Valley, Colombia. Water samples were taken from the irrigation (reservoir) and the crop with lysimeters. The pH, sodium, potassium, calcium, magnesium, sulfates, chlorides, electrical conductivity (EC), and sodium adsorption ratio (RAS) index were measured. The T-student test was applied to independent samples for the response variables. Significant differences were found between the irrigation systems for EC and SO4 2-at 100 dat. The irrigation water (reservoir) was classified as C3-S1. The leached water in the two irrigation systems, according to the relative concentration of Na+ with respect to Ca2+ and Mg2+ (RAS) and CE, was C4-S1. Therefore, the water had a high probability of salinization, not suitable for irrigation, meaning that management plans must be carried out to prevent soil and water degradation. These results can be used to develop a sustainable management plan for water and soil resources in the Samaca Valley to prevent loss of productive land. © 2022, Universidad Pedagogica y Tecnologica de Colombia. All rights reserved.</t>
  </si>
  <si>
    <t>Additional electrical conductivity; irrigation management; pH; salinization</t>
  </si>
  <si>
    <t>This article is part of the results of the research project: “Desarrollo de una estrategia de adaptación que conduzca a reducir la vulnerabilidad de los sistemas agrícolas al cambio climático en algunos municipios de la zona centro del departamento de Boyacá”, identified with code BPIN: 2018000100046, financed by the Sistema General de Regalías, and carried out by the Facultad de Ciencias Agropecuarias of the Univer-sidad Pedagógica y Tecnológica de Colombia.</t>
  </si>
  <si>
    <t>Reporte: área, producción y rendimiento na-cional por cultivo: Cebolla de bulbo (2021), https://www.agronet.gov.co/estadistica/paginas/home.aspx?cod=1, Ministerio de Agricultura y Desarrollo Rural, con-sulted: May, 2020; Alarcón, A., (2004) Diagnóstico agrícola, , Escuela Técnica Su-perior de Ingeniería Agronómica, Universidad Politéc-nica de Cartagena, Cartagena, Spain; Arévalo, D., Lozano, J.G., Martínez, J.S., (2012) Una mi-rada a la agricultura de Colombia desde su huella hídri-ca, , WWF Reporte Colombia, Bogota; Ayers, R.S., Westcot, D.W., (1985) Water quality for agri-culture, , FAO Irrigation and Drainag 29. Rome; Ben Ahmed, C., Magdich, S., Ben Rouina, B., Boukhris, M., Ben Abdullah, F., Saline water irrigation effects on soil salinity distribution and some physiological responses of field grown Chemlali olive (2012) J. Environ. Manage, 113, pp. 538-544; Bonet, C., Ricardo, M.P., Calidad del agua de rie-go y su posible efecto en los rendimientos agrícolas en la Empresa de Cultivos Varios Sierra de Cubitas (2011) Rev. Cie. Téc. Agr, 20 (3), pp. 36-38; Can, A., Ramírez, C., Ortega, M., Trejo, C., Cruz, J., Evaluación de la relación de adsorción de sodio en las aguas del río Tulancingo, Estado de Hidalgo, México (2008) Terra Latinoam, 26 (3), pp. 243-252; Castellón, J.J., Bernal, R., Hernández, M.L., Cali-dad del agua para riego en la agricultura protegida en Tlaxcala (2015) Ingeniería, 19 (1), pp. 39-50; Castro, H.E., Cely, G.E., Vásquez, S.N., (2009) Criterios técnicos para un manejo eficiente del riego en cebolla de bulbo: Distrito de Riego del Alto Chicamocha – Bo-yacá, , Universidad Pedagógica y Tecnológica de Colom-bia, Tunja, Colombia; Castro, H.E., Gómez, M.I., Fertilidad de suelos y fertilizantes (2010) Ciencia del suelo. Principios básicos, pp. 217-303. , Burbano H. and F. Silva M. (eds). Socie-dad Colombiana de la Ciencia del Suelo, Bogota; (2020) Plan de desarrollo Municipal 2020-2023, , http://www.samaca-boyaca.gov.co/planes/plan-de-desarrollo-se-guimos-comprometidos-con-samaca, consulted: May, 2020; (2005) Estudio general de suelos y zonificación de tie-rras del departamento de Boyacá, , Colombia IGAC, Instituto Geográfico Agustín Codazzi. Tomo I. Bogota; (2019) Protocolo para la identificación y evaluación de la, , Colombia IDEAM, Instituto de Hidrología, Meteorología y Estudios Ambientales; Ministerio de Ambiente y Desarrollo Sostenible (MADS), Corporación Autóno-ma Regional de Cundinamarca (CAR); Universidad de Ciencias Aplicadas y Ambientales (UDCA); degradación de suelos por desertificación (IDEAM), , Bogota; (2017) Protocolo para la identificación y evaluación de la degradación de suelos por salinización, , Colombia IDEAM, Instituto de Hidrología, Meteorología y Estudios Ambientales; Corporación Autónoma Regional de Cundinamarca (CAR); Universidad de Cien-cias Aplicadas y Ambientales (UDCA) Bogota; (2019) Estrategia de ordenamiento de la pro-ducción: Cadena productiva de la cebolla de bulbo, , Colombia MADR, Ministerio de Agricultura y Desarrollo Rural. Bogota; Delgado-González, C.R., Rodríguez-Laguna, R., Capu-lín-Grande, J., Madariaga-Navarrete, A., Islas-Pel-castre, M., Caracterización fisicoquímica de suelos salinos agrícolas, en la localidad de Chicavasco, estado de Hidalgo, México (2022) South Fla. J. Dev, 3 (1), pp. 335-344; Devkota, M., Gupta, R.K., Martius, C., Lamers, J.P.A., De-vkota, K.P., Sayre, K.D., Vlek, P.L.G., Soil salinity management on raised beds with different furrow irrigation modes in salt-affected lands (2015) Agric. Water Ma-nag, 152, pp. 243-250; Duncan, R.A., Bethune, M.G., Thayalakumaran, T., Christen, E.W., McMahon, T.A., Management of salt mobilisation in the irrigated landscape – A review of selected irrigation regions (2008) J. Hydrol, 351, pp. 238-252; (2010) Proc. Global Forum on Salinization and Climate Change (GFSCC2010). Saliniza-tion: An environmental concern under climate change scenarios, , FAO. Rhodri, P.T. (ed). FAO, Valencia; Flórez-Tuta, N., Zution-Gonçalves, I., Rodrigues-Calva-cante Feitosa, D., Agnellos-Barbosa, E.A., Ponciano-de Deus, F., Diego-Ribeiro, M., Eiji-Matsura, E., Eficiencia de aplicación de agua en la superficie y en el perfil del suelo en un sistema de riego por aspersión (2013) Agrociencia, 47 (2), pp. 107-119; García, Y., Calidad del agua con fines de riego (2015) Ojeando La Agenda, 35. , https://ojeandolaagenda.com/2015/05/24/calidad-del-agua-con-fines-de-riego-quality-of-the-water-with-ends-of-watering/, consul-ted: May, 2020; Gómez, D., (2004) Recuperación de espacios degradados, , Edi-ciones Mundiprensa, Madrid; Gómez, C.E., Ojeda, E., Álvarez, C.M., Sánchez, R., Otero, J., Carrillo, H., Castro, C.E., Camacho, M.A., (2010) Protocolo para la identificación y evaluación de los procesos de degradación de suelos y tierras por de-sertificación, , IGAC; IDEAM; MAVDT, Bogota; Guerrero-Domínguez, L., Mesa-Pérez, M.A., Hernán-dez-Rodríguez, D., Díaz-Rizo, O., Sánchez-Pérez, J.M., Aptitud para el riego agrícola del agua superficial de la subcuenca Mampostón, Mayabeque, Cuba (2021) Cult. Trop, 42 (3), p. e11; Herrera, V.H., Gutiérrez, N., Córdoba, S., Luque, J., Idel-fonso, M., Flores, A., Romero, L., Calidad del agua subterránea para el riego en el Oasis de Pica, norte de Chile (2018) Idesia, 36 (2), pp. 181-191; Loera-Alvarado, L.A., Torres-Aquino, M., Martínez-Mon-toya, J.F., Cisneros-Almazán, R., Martínez-Hernán-dez, J.J., Calidad del agua de escorrentía para uso agrícola captada en bordos de almacenamiento (2019) Eco-sist. Recur. Agropec, 6 (17), pp. 283-295; Medina, E.K., Mancilla, O.R., Larios, M.M., Guevara, R.D., Olguín, J.L., Barreto, O.A., Calidad del agua para riego y suelos agrícolas en Tuxcacuesco, Jalisco (2016) Idesia, 34 (6), pp. 51-60; Mercado, T., Ortega, M., Arenas, A., Combatt, E., Dinámica de sales en el distrito de riego La Doctri-na, Colombia (2011) Idesia, 29 (1), pp. 83-90; Minhas, P.S., Qadir, M., Yadav, R.K., Groundwater irrigation induced soil sodification and response op-tions (2019) Agric. Water Manag, 215, pp. 74-85; Minhas, P.S., Ramos, T.B., Ben-gal, A., Pereira, L.S., Coping with salinity in irrigated agriculture: Crop evapotranspiration and water management issues (2020) Agric. Water Manag, 227, p. 105832; Nishanthiny, S.C., Thushyanthy, M., Barathithasan, T., Saravanan, S., Irrigation water quality based on hydro chemical analysis, Jaffna, Sri Lanka (2010) Ameri-can-Eurasian J. Agric. Environ. Sci, 7 (1), pp. 100-102; Olías, M., Cerón, J.C., Fernández, I., Sobre la utili-zación de la clasificación de las aguas de riego del U.S. Laboratory Salinity (USLS) (2004) Geogaceta, 37, pp. 111-113; Pla Sentís, I., Nuevas experiencias en la evaluación y diagnóstico de procesos de salinización y sodifica-ción de suelos en América Latina (2014) Suelos Ecuat, 44 (2), pp. 125-137; Quinteros, J.A., Gómez-García, J., Solano, M., Llumiquin-ga, G., Burgos, C., Carrera-Villacrés, D., Evalua-ción de la calidad de agua para riego y aprovechamiento del recurso hídrico de la quebrada Togllahuayco (2019) Siem-bra, 6 (2), pp. 46-57; Romero, M.P., Santamiaría, D.M., Zafra, C.A., Bioingeniería y suelo: Abundancia microbiológica, pH y conductividad eléctrica bajo tres estratos de erosión (2009) Umbral Científico, 15, pp. 67-74; Walteros, I., Cely, G.E., Moreno, D., Determination of predominant soluble salts in soils of the irrigation district Alto Chicamocha of Boyacá (2018) Rev. Fac. Nac. Agron. Medellín, 71 (3), pp. 8581-8592</t>
  </si>
  <si>
    <t>Cely-Reyes, G.E.; Universidad Pedagógica y Tecnológica de Colombia, Colombia; email: german.cely@uptc.edu.co</t>
  </si>
  <si>
    <t>2-s2.0-85143778608</t>
  </si>
  <si>
    <t>Forero-Pineda N., Serrano-Cely P.-A., Forero-Ulloa F.-E., Gómez-Palacio A.M., Acero-Cristancho J.L.</t>
  </si>
  <si>
    <t>57223424070;56366688600;56366519500;24070234600;58000870900;</t>
  </si>
  <si>
    <t>Effect of the physicochemical characteristics of soil and irrigation water on the quality of the bulb onion (Allium cepa L.) crop in the Usochicamocha irrigation and drainage district in Boyaca, Colombia [Efecto de las características fisicoquímicas del suelo y agua para riego con la calidad del cultivo de cebolla de bulbo (Allium cepa L.) del distrito de riego y drenaje Usochicamocha en Boyacá, Colombia]</t>
  </si>
  <si>
    <t>e14046</t>
  </si>
  <si>
    <t>10.17584/rcch.2022v16i1.14046</t>
  </si>
  <si>
    <t>https://www.scopus.com/inward/record.uri?eid=2-s2.0-85143777125&amp;doi=10.17584%2frcch.2022v16i1.14046&amp;partnerID=40&amp;md5=7d22d802d3111e261b69ee26e922caa2</t>
  </si>
  <si>
    <t>Universidad Pedagógica y Tecnológica de Colombia (UPTC), Facultad de Ciencias Agropecuarias, Grupo de Investiga-ciones GIPSO, Tunja, Colombia; Universidad Pedagógica y Tecnología de Colombia (UPTC), Facultad de Ciencias Básicas, Laboratorio en Genética Evolutiva (LIGE), Tunja, Colombia; Asociación de Usuarios del Distrito de Riego y Drenaje del Alto Chicamocha y Firavitoba (USOCHICAMOCHA), Duitama, Colombia</t>
  </si>
  <si>
    <t>Forero-Pineda, N., Universidad Pedagógica y Tecnológica de Colombia (UPTC), Facultad de Ciencias Agropecuarias, Grupo de Investiga-ciones GIPSO, Tunja, Colombia; Serrano-Cely, P.-A., Universidad Pedagógica y Tecnológica de Colombia (UPTC), Facultad de Ciencias Agropecuarias, Grupo de Investiga-ciones GIPSO, Tunja, Colombia; Forero-Ulloa, F.-E., Universidad Pedagógica y Tecnológica de Colombia (UPTC), Facultad de Ciencias Agropecuarias, Grupo de Investiga-ciones GIPSO, Tunja, Colombia; Gómez-Palacio, A.M., Universidad Pedagógica y Tecnología de Colombia (UPTC), Facultad de Ciencias Básicas, Laboratorio en Genética Evolutiva (LIGE), Tunja, Colombia; Acero-Cristancho, J.L., Asociación de Usuarios del Distrito de Riego y Drenaje del Alto Chicamocha y Firavitoba (USOCHICAMOCHA), Duitama, Colombia</t>
  </si>
  <si>
    <t>The bulb onion crop is not only one of the main vegetable crops worldwide, but it is also considered one of the pillars of the regional agricultural economy in Boyaca. Despite being so important from the economic point of view, at the agricultural level this crop has several problems among which stand out the nutritional requirements and poor practices in terms of soil management and conservation. That is why it is important to understand what are the physicochemical variabilities of the soil associated with the crop and how these can be related to intrinsic processes at a local geographic scale. To determine the variability of soil physi-cochemical conditions in the bulb onion crop, a total of 15 zones of 50 × 50 m were analyzed within the Usochicamocha irrigation district. A total of 15 soil samples and 15 irrigation water samples were collected and subsequently analyzed in the laboratory. Information was obtained on pH, MO, EC, bulk density, soil texture, Ca, Mg, K, Na, P, ion load, cations, hardness and turbidity in the water samples. The results obtained allowed observing a significant relationship between crop attributes, physicochemical properties of soil and water in the different study zones. These results support the hypothesis of the existence of a synergy between the extrin-sic and intrinsic properties of the crop and how they have a relationship between the quality attributes of the bulb onion crop. © 2022, Universidad Pedagogica y Tecnologica de Colombia. All rights reserved.</t>
  </si>
  <si>
    <t>Additional organic matter; attributes and crop quality; irrigation water; variation of physicochemical properties</t>
  </si>
  <si>
    <t>110986575821; Universidad Pedagógica y Tecnológica de Colombia, UPTC</t>
  </si>
  <si>
    <t>The authors express their gratitude to the MinCien-cias for financial support of the research project 110986575821 “Análisis metagenómico y predicción funcional de comunidades bacterianas y su relación con características fisicoquímicas del suelos y agua del Distrito de Riego y Drenaje del Alto Chicamocha y Firavitoba USOCHICAMOCHA”, and the Univer-sidad Pedagógica y Tecnológica de Colombia, for their support in carrying out this research.</t>
  </si>
  <si>
    <t>Allan, E., Manning, P., Alt, F., Binkenstein, J., Blaser, S., Blüthgen, N., Böhm, S., Fischer, M., Land use intensification alters ecosystem multifunctionali-ty via loss of biodiversity and changes to functional composition (2015) Ecol. Lett, 18 (8), pp. 834-843; Awal, R., Safeeq, M., Abbas, F., Fares, S., Deb, S.K., Ahmad, A., Fares, A., Soil physical properties spatial variability under long-term no-tillage corn (2019) Agronomy, 9 (11), p. 750; Bengtsson, J., Ahnström, J., Weibull, A.-C., The effects of organic agriculture on biodiversity and abundance: a meta☐analysis (2005) J. Appl. Ecol, 42 (2), pp. 261-269; Berner, A., Hildermann, I., Fließbach, A., Pfiffner, L., Nig-gli, U., Mäder, P., Crop yield and soil fertility response to reduced tillage under organic manage-ment (2008) Soil Till. Res, 101 (1-2), pp. 89-96; Bilalis, D., Karkanis, A., Pantelia, A., Patsiali, S., Konstan-tas, A., Efthimiadou, A., Weed populations are affected by tillage systems and fertilization practices in organic flax (Linum usitatissimum L.) crop (2012) Aust. J. Crop Sci, 6 (1), pp. 157-163; Bilalis, D., Papastylianou, P., Konstantas, A., Patsiali, S., Karkanis, A., Efthimiadou, A., Weed-suppres-sive effects of maize–legume intercropping in organic farming (2010) Int. J. Pest Manag, 56 (2), pp. 173-181; Calderón-Medina, C.L., Bautista-Mantilla, G.P., Rojas-González, S., Propiedades químicas, físi-cas y biológicas del suelo, indicadores del estado de diferentes ecosistemas en una terraza alta del depar-tamento del Meta (2018) Orinoquia, 22 (2), pp. 141-157; Chaveli, P.C., Corrales, I., de Varona, R., Font, L., Fertilización organomineral en el manejo sostenible de tierras cultivadas con maíz (Zea mays L.) (2019) Agroecosis-temas, 7 (3), pp. 116-122; Cheimona, N., Angeli, C., Panagiotou, E., Tzanidaki, A., Drontza, C., Travlos, I., Bilalis, D., Effect of different types of fertilization on weed flora in proces-sed tomato crop (2016) Agric. Agric. Sci. Procedia, 10, pp. 26-31; (2006) Métodos analíticos del laboratorio de suelos, , Colombia IGAC, Instituto Geográfico Agustín Codazzi. 6th ed. Bogota; Davis, A.S., Nitrogen fertilizer and crop residue effects on seed mortality and germination of eight annual weed species (2007) Weed Sci, 55 (2), pp. 123-128; Díaz-Zorita, M., Barraco, M., Alvarez, C., Efectos de doce años de labranzas en un hapludol del noroeste de Buenos Aires, Argentina (2004) Cienc. Suelo, 22 (1), pp. 11-18; Dinler, B.S., Aksoy, M., Drought tolerance of knot-grass (Polygonum maritimum L.) leaves under different drought treatments (2014) Pak. J. Bot, 46 (2), pp. 417-421; Ferreras, L.A., Toresani, S.M.I., Faggioli, V.S., Ga-larza, C.M., Sensibilidad de indicadores biológicos edáficos en un Argiudol de la Región Pampeana Ar-gentina (2015) Span. J. Soil Sci, 5 (3), pp. 220-235; Flores-Gallardo, G., Sifuentes-Ibarra, E., Flores-Magda-leno, H., Ojeda-Bustamante, W., Ramos-García, C.R., Técnicas de conservación del agua en riego por gravedad a nivel parcelario (2014) Rev. Mex. Cienc. Agríc, 5 (2), pp. 241-252; Girón, J.D., (2019) Evaluación documental de los métodos de restauración de suelos salinos, con influencia en el distrito de riego Usochicamocha, departamento de Boyacá, , Undergraduate thesis. Facultad de Ingeniería, Universidad de la Salle, Bogota; (2006) Caracte-rización de la problemática de los suelos sulfatados ácidos improductivos y evaluación del manejo para su habilitación agrícola Distrito de Riego del Alto Chica-mocha-Boyacá, , Technical Report. UPTC; Colciencias; Usochicamocha, Tunja, Colombia; (2005) Estudio semi-detallado de suelos sulfatados ácidos del Distrito de riego del alto Chicamocha, , Technical Report. UPTC; Colciencias; Usochicamocha, Tunja, Colombia; González, H., Carrete, F.O., Meráz, F., (2007) Cadena agroalimentaria bovinos carne en Durango: diagnósti-co y perspectivas de mercado, , Publicación Técnic 2. INIFAP; CIRNOC, Durango, México; González, I., Déjean, S., (2021) CCA: Canonical correlation analysis, , https://cran.r-project.org/web/packages/CCA/index.html, R package version 1.2.1 consulted: May, 2020; Gough, L., Osenberg, C.W., Gross, K.L., Co-llins, S.L., Fertilization effects on species density and primary productivity in herbaceous plant communities (2000) Oikos, 89 (3), pp. 428-439; Grey, T.L., Webster, T.M., Li, X., Anderson, W., Cutts, G.S., Evaluation of control of napiergrass (Pennisetum purpureum) with tillage and herbicides (2015) Invasive Plant Sci. Manag, 8 (4), pp. 393-400; Harrell, F.E., Dupont, C., (2018) Hmisc: Harrell miscella-neous, , https://cran.r-pro-ject.org/web/packages/Hmisc/index.html, R package version 4.1-1 consulted: May, 2020; Hillel, D., (1982) Introduction to soil physics, , Academic Press, New York, NY; Husson, F., Josse, J., Le, S., Mazet, J., (2012) FactoMineR: Multivariate exploratory data analysis and data mi-ning, , http://CRAN.R-pro-ject.org/package=FactoMineR, R package version 1.18 consulted: May, 2020; Huang, S., Pan, X., Sun, Y., Zhang, Y., Hang, X., Yu, X., Zhang, W., Effects of long-term fertilization on the weed growth and community composition in a double-rice ecosystem during the fallow period (2013) Weed Biol. Manage, 13 (1), pp. 10-18; Hyvönen, T., Ketoja, E., Salonen, J., Jalli, H., Tiainen, J., Weed species diversity and community composition in organic and conventional cropping of spring cereals (2003) Agric. Ecosyst. Environ, 97 (1-3), pp. 131-149; Little, N.G., Mohler, C.L., Ketterings, Q.M., DiTom-maso, A., Effects of organic nutrient amendments on weed and crop growth (2015) Weed Sci, 63 (3), pp. 710-722; Loera-Alvarado, L.A., Torres-Aquino, M., Martínez-Mon-toya, J.F., Cisneros-Almazán, R., Martínez-Hernán-dez, J.J., Calidad del agua de escorrentía para uso agrícola captada en bordos de almacenamiento (2019) Eco-sist. Recur. Agropec, 6 (17), pp. 283-295; López, H., Rosales, J.R., Jiménez, R., Domínguez, P.A., Villaseñor, H.E., Rendimiento y calidad forrajera de variedades de trigo y avena cultivadas durante el invierno en Durango (2015) VI Congreso In-ternacional de Manejo de Pastizales, pp. 63-66. , SOMMAP, Du-rango, México; Mbong, E.O., Osu, S.R., Uboh, D.G., Ekpo, I., Abundance and distribution of species in relation to soil properties in sedge-dominated habitats in Uyo Metropolis, Southern Nigeria (2020) Glob. J. Ecol, 5 (1), pp. 24-29; Monsalve-C., Cardo-na, W.A., Factores que intervienen en el proceso de mineralización de nitrógeno cuando son aplicadas enmiendas orgánicas al suelo. Una revisión (2017) Rev. Co-lomb. Cienc. Hortic, 11 (1), pp. 200-209. , O.I., J.S. Gutiérrez-D., and; Nichols, V., Verhulst, N., Cox, R., Govaerts, B., Weed dynamics and conservation agriculture prin-ciples: A review (2015) Field Crops Res, 183, pp. 56-68; Novillo, I.D., Carrillo, M.D, Cargua, J.E., Nabel, V., Al-bán, K.E., Morales, F.L., Propiedades físicas del suelo en diferentes sistemas agrícolas en la provincia de Los Ríos, Ecuador (2018) Temas Agrarios, 23 (2), pp. 177-187; Oksanen, J., Simpson, G.L., Blanchet, F.G., Kindt, R., Legendre, P., Minchin, P.R., O’Hara, R.B., Weedon, J., (2017) Vegan: Community ecology package, , https://CRAN.R-project.org/package=vegan, R package version 2.4-3 consulted: May, 2020; Pakeman, R.J., Brooker, R.W., Karley, A.J., Newton, A.C., Mitchell, C., Hewison, R.L., Pollenus, J., Schöb, C., Increased crop diversity reduces the functional space available for weeds (2020) Weed Res, 60 (2), pp. 121-131; Quinteros-Carabalí, J., Gómez-García, J., Solano, M., Llu-miquinga, G., Burgos, C., Villacrés, D.V., Evalua-ción de la calidad de agua para riego y aprovechamiento del recurso hídrico de la quebrada Togllahuayco (2019) Siem-bra, 6 (2), pp. 46-57; Sheley, R., James, J.J., Rinella, M., Blumenthal, D., DiTomaso, J.M., Invasive plant management on anti-cipated conservation benefits: a scientific assessment (2011) Conservation benefits of rangeland practices: Assessment, recommenda-tions, and knowledge gaps, pp. 291-336. , Briske, D.D. (ed). NRCS-USDA, Allen Press, Lawrence, KS; Simpson, G., (2019) Ggvegan; ggplot2-based plots for vegan package, , https://github.com/gavin-simpson/ggvegan, version 0.1.0 consulted: May, 2020; Soane, B.D., Blackwell, P.S., Dickson, J.W., Painter, D.J., Compaction by agricultural vehicles: A review. I. Soil and wheel characteristics (1980) Soil Till. Res, 1, pp. 207-237; Suding, K.N., Collins, S.L., Gough, L., Clark, C., Cleland, E.E., Gross, K.L., Milchunas, D.G., Pennings, S., Functional-and abundance-based mechanisms exp-lain diversity loss due to N fertilization (2005) Proc. Natl. Acad. Sci. USA, 102 (12), pp. 4387-4392; Sweeney, A.E., Renner, K.A., Laboski, C., Davis, A., Effect of fertilizer nitrogen on weed emergence and growth (2008) Weed Sci, 56 (5), pp. 714-721; (2015) R: A language and environment for statistical computing, , https://www.r-project.org/, The R Foundation consulted: May, 2020; Thomas, A.G., Derksen, D.A., Blackshaw, R.E., van Ac-ker, R.C., Légère, A., Watson, P.R., Turnbull, G.C., A multistudy approach to understanding weed popu-lation shifts in medium-to long-term tillage systems (2004) Weed Sci, 52 (5), pp. 874-880; Toledo, M., (2016) Manejo de suelos ácidos de las zonas altas de Honduras: Conceptos y métodos, , IICA, Tegucigalpa; Toledo, D.M., Galantini, J.A., Ferreccio, E., Arzuaga, S., Gi-menez, L., Vázquez, S., Indicadores e índices de calidad en suelos rojos bajo sistemas naturales y culti-vados (2013) Cienc. Suelo, 31 (2), pp. 201-212; Travlos, I., Weeds in perennial crops as an unexpected tool of integrated crop management (2013) Weeds and their ecological functions, pp. 97-113. , Taab, A. (ed). Nova, Hauppauge, NY; Travlos, I.S., Cheimona, N., Roussis, I., Bilalis, D.J., Weed-species abundance and diversity indices in relation to tillage systems and fertilization (2018) Front. Envi-ron. Sci, 6, p. 11; Troeh, F.R., Thompson, L.M., (2005) Soils and soil fertili-ty, , 6th ed. Wiley-Blackwell, New York; Ugen, M.A., Wien, H.C., Wortmann, C.S., Dry bean competitiveness with annual weeds as affected by soil nutrient availability (2002) Weed Sci, 50 (4), pp. 530-535; van Elsen, T., Species diversity as a task for organic agriculture in Europe (2000) Agric. Ecosyst. Environ, 77 (1-2), pp. 101-109; Vankeirsbilck, M.I., Barraco, M., Maekawa, M., Materia orgánica y textura en suelos de sistemas le-cheros de la cuenca oeste de la provincia de Buenos Ai-res (2016) Memoria Técnica 2014-2015, pp. 57-59. , INTA, General Villegas, Argentina</t>
  </si>
  <si>
    <t>Forero-Pineda, N.; Universidad Pedagógica y Tecnológica de Colombia (UPTC), Colombia; email: nicolas.forero101@gmail.com</t>
  </si>
  <si>
    <t>2-s2.0-85143777125</t>
  </si>
  <si>
    <t>Souza J.T.A., Araújo J.S., Félix E.D.S., Alves R.C., DE OLIVEIRA FILHO T.J., DE LIRA E.C.</t>
  </si>
  <si>
    <t>55849968900;35069082100;57920198000;7102691290;57671915200;56618572400;</t>
  </si>
  <si>
    <t>CO2 capture and water use efficiency in Opuntia stricta (Haw.) at different seasons and evaluation times [Captura de CO2 y eficiencia en el uso de agua en Opuntia stricta (Haw.) para diferentes estaciones y tiempos de evaluación]</t>
  </si>
  <si>
    <t>e13525</t>
  </si>
  <si>
    <t>10.17584/rcch.2022v16i2.13525</t>
  </si>
  <si>
    <t>https://www.scopus.com/inward/record.uri?eid=2-s2.0-85143776098&amp;doi=10.17584%2frcch.2022v16i2.13525&amp;partnerID=40&amp;md5=1fbdfe18accb35065a3f71fd2a763ff2</t>
  </si>
  <si>
    <t>Instituto Nacional do Semiárido, Campina Grande, Brazil</t>
  </si>
  <si>
    <t>Souza, J.T.A., Instituto Nacional do Semiárido, Campina Grande, Brazil; Araújo, J.S., Instituto Nacional do Semiárido, Campina Grande, Brazil; Félix, E.D.S., Instituto Nacional do Semiárido, Campina Grande, Brazil; Alves, R.C., Instituto Nacional do Semiárido, Campina Grande, Brazil; DE OLIVEIRA FILHO, T.J., Instituto Nacional do Semiárido, Campina Grande, Brazil; DE LIRA, E.C., Instituto Nacional do Semiárido, Campina Grande, Brazil</t>
  </si>
  <si>
    <t>The forage cactus Mexican Elephant Ear is widely incorporated into the animal productive chain of the northeast region of Brazil. However, there is a lack of studies on the physiological dynamics of this cactus. Therefore, this study was conducted at the Estação Experimental Prof. Ignácio Salcedo of the Instituto Nacio-nal do Semiárido (INSA), in Campina Grande, State of Paraíba, Brazil. The aim of this study was to evaluate CO2 uptake and water-use efficiency levels in Opuntia stricta (Haw.) during different seasons and evaluation times. The treatments were distributed using a 24×2 factorial arrangement, which corresponded to the evaluation of gas exchange processes for 24 hours in the rainy (June) and dry (December) seasons. The evaluated parameters were stomatal conductance, transpiration and CO2 uptake rate, internal CO2 concentration, ins-tantaneous water-use efficiency and intrinsic water-use efficiency. The results revealed that gas exchange in the forage cactus was more intense during the rainy season, with good stability, than the low exchange levels during the dry season. Regardless of the season, the CO2 uptake peaked between 24:00 and 02:00. In addition, this range of time is the most suitable to conduct analyses under field conditions. © 2022, Universidad Pedagogica y Tecnologica de Colombia. All rights reserved.</t>
  </si>
  <si>
    <t>Additional photosynthetic efficiency; cactus plant; gas exchange; Mexican Elephant Ear</t>
  </si>
  <si>
    <t>Almanza-Merchán, P.J., Fischer, G., Tuna (Opuntia ficus-indica (L.) Miller) (2012) Manual para el cultivo de frutales en el trópico, pp. 1014-1023. , Fischer, G. (ed) Produmedios, Bogota; Almeida, I.V.B., Souza, J.T.A., Batista, M.C., Melhoramento genético de plantas forrageiras xeró-filas: Revisão (2019) Pubvet, 13 (7), pp. 1-11. , https://doi.org/10.31533/pubvet.v13n7a382.1-11; Alvares, C.A., Stape, J.L., Sentelhas, P.C., Moraes Gonçal-ves, J.L., Sparovek, G., Köppen’s climate classifi-cation map for Brazil (2013) Meteorol. Zeits, 22 (4), pp. 711-728. , https://doi.org/10.1127/0941-2948/2013/0507; Araújo, J.S., Pereira, D.D., Lira, E.C., Félix, E.S., Souza, J.T.A., Lima, W.B., (2019) Palma forrageira: plantio e mane-jo, , Instituto Nacional do Semiárido, Campina Grande, Brazil; Bertolli, S.C., Souza, J., Souza, G.M., Ca-racterização fotossintética da espécie isohídrica Pata-de-Elefante em condições de deficiência hí-drica (2015) Caatinga, 28 (3), pp. 196-205. , https://doi.org/10.1590/1983-21252015v28n322rc; Black, C.C., Osmond, C.B., Crassulacean acid metabolism photosynthesis: ‘working the night shift’ (2003) Photosynth. Res, 76 (2), pp. 329-341. , https://doi.org/10.1023/A:1024978220193; Cajazeira, J.P., Correa, M.C.M., Almeida, E.I.B., Queiroz, R.F., Mesquita, R.O., Growth and gas exchange in white pitaya under different concentrations of potassium and calcium (2018) Rev. Ciênc. Agron, 49 (1), pp. 112-121. , https://doi.org/10.5935/1806-6690.20180013; Cody, R., (2015) An introduction to SAS, university edition, , SAS Institute, Cary, NC; Davis, S.C., Simpson, J., Gil-Vega, K.C., Niechayev, N.A., van Tongerlo, E., Hurtado, N., Dever, L.V., Búrquez, A., Undervalued potential of crassulacean acid metabolism for current and future agricultural produc-tion (2019) J. Exp. Bot, 70 (22), pp. 6521-6537. , https://doi.org/10.1093/jxb/erz223; Fernandes, F.B.P., Lacerda, C.F., Andrade, E.M., Neves, A.L.R., Sousa, C.H.C., Efeito de mane-jos do solo no déficit hídrico, trocas gasosas e ren-dimento do feijão-de-corda no Semiárido (2015) Rev. Cienc. Agron, 46 (3), pp. 506-515. , https://doi.org/10.5935/1806-6690.20150032; Flexas, J., Diaz-Espejo, A., Gago, J., Gallé, A., Galmés, J., Gulías, J., Medrano, H., Photosynthetic limita-tions in Mediterranean plants: a review (2014) Environ. Exp. Bot, 103 (9), pp. 12-23. , https://doi.org; Jacinto Júnior, S.G., Moraes, J.G.L., Silva, F.D.B., Silva, B.N., Sousa, G.G., Oliveira, L.L., Mesquita, R.O., Respostas fisiológicas de genótipos de fava (Phaseolus lunatus L.) submetidas ao estresse hídrico cultivadas no Estado do Ceará (2019) Rev. Bras. Meteorol, 34 (3), pp. 413-422. , https://doi.org/10.1590/0102-7786343047; Larcher, W., (2006) Ecofisiologia vegetal, , 2th ed. RIMA, São Carlos, Brazil; Maranhão, S.R., Pompeu, R.C.F.F., Souza, H.A., Araú-jo, R.A., Fontinele, R.G., Cândido, M.J.D., Mor-phophysiology of buffel grass grown under different water supplies in the dry and dry-rainy seasons (2019) Rev. Bras. Eng. Agric. Ambient, 23 (8), pp. 566-571. , https://doi.org/10.1590/1807-1929/agriambi.v23n8p566-571; Nobel, P.S., (2009) Physicochemical and environmental plant physiology, , Academic Press, San Diego, CA; Nunes, J.C., Cavalcante, L.F., Pereira, W.E., Souza, J.T.A., Almeida, D.J., Oresca, D., Fernandes, P.D., Gas exchange and productivity of yellow passion fruit irrigated with saline water and fertilized with potassium and biofertilizer (2017) Cienc. Investig. Agrar, 44 (2), pp. 168-183. , https://doi.org/10.7764/rcia.v44i2.1742; Osakabe, Y., Osakabe, K., Shinozaki, K., Tran, L.S.P., Response of plants to water stress (2014) Front. Plant Sci, 5 (3), pp. 1-8. , https://doi.org/10.3389/fpls.2014.00086; Pimentel, C., (2004) A relação da planta com a água, , Uni-versidade Federal Rural do Rio de Janeiro, Serropédica, Brazil; Rocha, R.S., Voltolini, T.V., Gava, C.A.T., Caracte-rísticas produtivas e estruturais de genótipos de palma forrageira irrigada em diferentes intervalos de corte (2017) Arch. Zootec, 66 (255), pp. 363-371. , https://doi.org/10.21071/az.v66i255.2512; Sampaio, E.V.S.B., Fisiologia da palma (2005) A palma no Nordeste do Brasil: Conhecimento atual e novas perspectivas, pp. 43-56. , Menezes, R.S.C., D.A. Simões, and E.V.S.B. Sampaio (eds). Editora Universitária UFR-PE, Recife, Brazil; Santos, A.L.F., Mechi, I.A., Ribeiro, L.M., Ceccon, G., Eficiência fotossintética e produtiva de milho safrinha em função de épocas de semeadura e popula-ções de plantas (2018) Rev. Agric. Neotrop, 5 (4), pp. 52-60. , https://doi.org/10.32404/rean.v5i4.1631; Silva, M.A., Jifon, J.L., Santos, C.L., Junior Jadoski, C., Silva, J.A.G., Photosynthetic capacity and water use efficiency in sugarcane genotypes subject to water deficit during early growth phase (2013) Braz. Arch. Biol. Technol, 56 (5), pp. 735-748. , https://doi.org/10.1590/S1516-89132013000500004; Silva, T.G.F., Primo, J.T.A., Morais, J.E.F., Silva, W.J.D., Souza, C.A.A., Silva, M.C., Crescimento e produti-vidade de clones de palma forrageira no semiárido e relações com variáveis meteorológicas (2015) Caatinga, 28 (2), pp. 10-18; Souza, J.T.A., Ramos, J.P.F., Macedo, A.J.S., Viana, J.A., Cartaxo, F.Q., Oresca, D., Oliveira, F.G., Cresci-mento e produtividade de genótipos de palma forra-geira no Semiárido Paraibano (2018) Rev. Cient. Vet, 12 (3), pp. 37-42; Souza, J.T.A., Ribeiro, J.E.S., Nascimento, J.P., Ramos, J.P.F., Araújo, J.S., Medeiros, L.T.V., Trocas gasosas e eficiência no uso da água de Nopalea cochenillifera consorciada sob manejos edáficos (2020) Comun. Sci, 11 (2), pp. 1-12. , https://doi.org/10.14295/CS.v11i0.3035; Taiz, L., Zeiger, E., Moller, I.M., Murphy, A., (2017) Fisio-logia e desenvolvimento vegetal, , 6th ed. Artmed, Porto Alegre, Brazil; Winter, K., Holtum, J.A.M., Facultative crassula-cean acid metabolism (CAM) plants: powerful tools for unravelling the functional elements of CAM pho-tosynthesis (2014) J. Exp. Bot, 18 (13), pp. 1-17. , https://doi.org/10.1093/jxb/eru063</t>
  </si>
  <si>
    <t>Souza, J.T.A.; Instituto Nacional do SemiáridoBrazil; email: thyago.aires@insa.gov.br</t>
  </si>
  <si>
    <t>2-s2.0-85143776098</t>
  </si>
  <si>
    <t>Bester A.U., Carvalho I.R., Loro M.V., Ramos A.H., Sfalcin I.C., DA SILVA J.A.G., Foguesatto F.R., Foguesatto M.V.U.</t>
  </si>
  <si>
    <t>57823716300;56913035800;57226763914;57208003127;57824122200;13002682900;58000866500;58002170400;</t>
  </si>
  <si>
    <t>Genetic contributions to productivity and nutritional aspects in cassava crops [Aportes genéticos a la productividad y aspectos nutricionales del cultivo de yuca]</t>
  </si>
  <si>
    <t>e14090</t>
  </si>
  <si>
    <t>10.17584/rcch.2022v16i2.14090</t>
  </si>
  <si>
    <t>https://www.scopus.com/inward/record.uri?eid=2-s2.0-85143774600&amp;doi=10.17584%2frcch.2022v16i2.14090&amp;partnerID=40&amp;md5=76a35d0d97c6c8f7a69747376250a6d4</t>
  </si>
  <si>
    <t>Universidade Federal de Pelotas (UFPel), Pelotas, Brazil; Universidade Regional do Noroeste do Rio Grande do Sul (UNIJUI), Ijui, Brazil; Universidade Federal de Santa Maria (UFSM), Santa Maria, Brazil</t>
  </si>
  <si>
    <t>Bester, A.U., Universidade Federal de Pelotas (UFPel), Pelotas, Brazil; Carvalho, I.R., Universidade Regional do Noroeste do Rio Grande do Sul (UNIJUI), Ijui, Brazil; Loro, M.V., Universidade Federal de Santa Maria (UFSM), Santa Maria, Brazil; Ramos, A.H., Universidade Federal de Pelotas (UFPel), Pelotas, Brazil; Sfalcin, I.C., Universidade Regional do Noroeste do Rio Grande do Sul (UNIJUI), Ijui, Brazil; DA SILVA, J.A.G., Universidade Regional do Noroeste do Rio Grande do Sul (UNIJUI), Ijui, Brazil; Foguesatto, F.R., Universidade Regional do Noroeste do Rio Grande do Sul (UNIJUI), Ijui, Brazil; Foguesatto, M.V.U., Universidade Regional do Noroeste do Rio Grande do Sul (UNIJUI), Ijui, Brazil</t>
  </si>
  <si>
    <t>This study aimed to highlight the behavior of cassava cultivars when subjected to different densities and biostimulants at planting and to select superior cultivars based on nutritional and productive attributes using the multivariate approach. The experiment design used randomized blocks in a three-factor scheme, with three cassava cultivars (FEPAGRO-RS 13 Vassourinha, BRS CS01, Iapar-19 Pioneira) × two planting densities (10 and 20 buds per linear meter) × two biostimulator forms (with and without) in three replica-tions, totaling 36 experiment units. Cultivar BRS CS01 had the highest yield and concentration of mineral material, genotype FEPAGRO-RS 13 Vassourinha had the highest lipid content, and Iapar 19-Pioneira had the highest protein concentrations. The starch content was tested with a comparison of means and MGIDI index. Cultivar FEPAGRO-RS 13 Vassourinha had the highest content and, according to the index, was the ideal cultivar based on multi-characteristics. Density 10 with the biostimulator was favorable for productivity and lipids, whereas density 10 without the biostimulator was favorable for starch, lipids, proteins and productivity. Density 20 with the biostimulator was favorable for lipids. © 2022, Universidad Pedagogica y Tecnologica de Colombia. All rights reserved.</t>
  </si>
  <si>
    <t>biostimulator; density; heritability; Manihot esculenta Crantz; MGIDI index</t>
  </si>
  <si>
    <t>Albuquerque, J.A.A., Sediyama, T., Silva, A.A., Alves, J.M.A., Finoto, E.L., Neto, F.A., Silva, G.R., Desenvol-vimento da cultura de mandioca sob interferência de plantas daninhas (2012) Planta Daninha, 30 (1), pp. 37-45. , https://doi.org/10.1590/S0100-83582012000100005; Annicchiarico, P., Cultivar adaptation and recommen-dation from alfafa trials in Northern Italy (1992) J. Genet. Breed, 46 (1), pp. 269-278; (2005) Official methods of analysis, , 18th ed. Gaithersburg, MD; Barbosa, M.H., Carvalho, I.R., Silva, J.A.G., Magano, D.A., Souza, V.Q., Szareski, V.J., Lautenchleger, F., Loro, M.V., Contribution of the additive genetic effects in soybean breeding aiming at the agronomic ideotype (2021) Funct. Plant Breed. J, 3 (1), p. 1. , https://doi.org/10.35418/2526-4117/v3n1a1; Baretta, D., Nardino, M., Carvalho, I.R., Oliveira, A.C., Souza, V.Q., Maia, L.C., Performance of maize genotypes of Rio Grande do Sul using mixed models (2016) Científica, 44 (3), pp. 403-411. , https://doi.org/10.15361/1984-5529.2016v44n3p403-411; Bester, A.U., Carvalho, I.R., Silva, J.A.G., Hutra, D.J., Moura, N.B., Lautenchleger, F., Loro, M.V., Three decades of cassava cultivation in Brazil: Potentia-lities and perspectives (2021) Rev. Colomb. Cienc. Hor-tic, 15 (2), p. e12087. , https://doi.org/10.17584/rcch.2021v15i2.12087; Borges, V., Ferreira, P.V., Soares, L., Santos, G.M., Santos, A.M.M., Seleção de clones de batata-doce pelo procedimento REML/BLUP (2010) Acta Sci. Agron, 32 (4), pp. 643-649. , https://doi.org/10.4025/actasciagron.v32i4.4837; Carvalho, L.P., Farias, F.J.C., Morello, C.L., Teodoro, P.E., Uso da metodologia REML/BLUP para seleção de genótipos de algodoeiro com maior adaptabilidade e estabilidade produtiva (2016) Bragantia, 75 (3), pp. 314-321. , https://doi.org/10.1590/1678-4499.275; Carvalho, I.R., Silva, J.A.G., Ferreira, L.L., Bubans, V.E., Barbosa, M.H., Mambrin, R.B., Fachi, S.M., Souza, V.Q., Heritability profiles defined by hierarchal models and artificial neural networks for dual-purpose wheat attributes (2019) Genet. Mol. Res, 18 (3), p. gmr18266. , https://doi.org/10.4238/gmr18266; (2004) Manual de adubação e calagem para os Estados do Rio Grande do Sul e de Santa Catarina, , 10th ed. Sociedade Brasileira de Ciência do Solo, Porto Alegre, Brazil; Costa, R.B., Resende, M.D.V., Araújo, A.J., Gonçalves, P.S., Bortoletto, N., Seleção combinada univariada e multivariada aplicada ao melhoramento genético da seringueira (2000) Pesq. Agropec. Bras, 35 (2), pp. 381-388. , https://doi.org/10.1590/S0100-204X2000000200017; Cruz, C.D., Carneiro, P.C.S., Regazzi, A.J., (2014) Mode-los biométricos aplicados ao melhoramento genético, , 3th ed. Editora UFV, Viçosa, Brazil; Facchinello, P.H.K., Carvalho, I.R., Streck, E.A., Aguiar, G.A., Goveia, J., Feijó, M., Pereira, R.R., Magalhães Junior, A.M., Gene action and genetic parameters of charac-ters related to rice grain quality (2021) Agron. J, 113, pp. 4736-4752. , https://doi.org/10.1002/agj2.20881; (2019) Protecting cassava, a neglected crop, from pests and diseases, , Rome; Ferrari, M., Carvalho, I.R., Pelegrin, A.J., Szareski, V.J., Nardino, M., Rosa, T.C, Santos, N.L., Maia, L.C., Heritability and genetic distance from s1 maize proge-nies (2022) Commun. Plant Sci, 12, pp. 7-15. , https://doi.org/10.26814/cps2022002; NASSAR, N. M. A., Mandioca (2006) Ciência Hoje, 39 (231). , nº; Oliveira, E.J., Aud, F.F., Morales, C.F.G., Oliveira, S.A.S., Santos, V.S., Non-hierarchical clustering of Ma-nihot esculenta Crantz germplasm based on quantitative traits (2016) Rev. Cienc. Agron, 47 (3), pp. 548-555. , https://doi.org/10.5935/1806-6690.20160066; Oyeyinka, S.A., Adeloye, A.A., Olaomo, O.O., Kayi-tesi, E., Effect of fermentation time on physico-chemical properties of starch extracted from cassava root (2020) Food Biosci, 33, p. 100485. , https://doi.org/10.1016/j.fbio.2019.100485; Pádua, G.J., Recursos genéticos aplicados ao melhora-mento genético de plantas (2018) Melhoramento de plantas: variabilidade genética, ferramentas e mercado, , Amabile, R.F., M.S. Vi-lela, and J.R. Peixoto (eds). Socie-dade Brasileira de Melhoramento de Plantas, Brasília, D.F; Pimentel, A. J. B., Guimarães, J. F. R., Souza, M. A., Resende, M. D. V., Moura, L. M., Rocha, J. R. A. S. C., Ribeiro, G., Estimação de parâmetros genéticos e predição de valor genético aditivo de trigo utilizando mode-los mistos (2014) Pesq. Agropec. Bras, 49 (11), pp. 882-890; Ramalho, M., Santos, J.B., Pinto, C.B., Souza, E.A., Gonçalves, F.M.A., Souza, J.C., (2012) Genética na agrope-cuária, , 5th ed. UFLA, Lavras, Brazil; Rosa, T.C, Carvalho, I.R., Silva, J.A.G., Szareski, V.J., Segatto, T.A., Port, E.D., Loro, M.V., Souza, V.Q., Genetic parameters and multi-trait selection of white oats for fo-rage (2021) Genet. Mol. Res, 20 (2), p. gmr18451. , https://doi.org/10.4238/gmr18451; Santos, H.G., Anjos, L.H.C., Oliveira, V.A., Lumbreras, J.F., Coelho, M.R., Almeida, J.A., Arau-jo Filho, J.C., Cunha, T.J.F., (2018) Sistema brasileiro de classificação de solos, , P.K.T. Jacomine, and, 5th ed. Embrapa, Brasília, DF; Soxhlet, F., Die gewichtsanalytische Bestimmung des Milchfettes (1879) Dinglers Polytech. J, 232, pp. 461-465; Teixeira, P.R.G., Viana, A.E.S., Cardoso, A.D., Moreira, G.L.P., Matsumoto, S.M., Ramos, P.A.S., Caracte-rísticas físico-químicas de variedades de mandioca de mesa (2017) Rev. Bras. Ciênc. Agrár, 12 (2), pp. 158-165. , Doi:ht-tps://doi.org/10.5039/agraria.v12i2a5433</t>
  </si>
  <si>
    <t>Bester, A.U.; Universidade Federal de Pelotas (UFPel)Brazil; email: adriano.udich.bester@gmail.com</t>
  </si>
  <si>
    <t>2-s2.0-85143774600</t>
  </si>
  <si>
    <t>Ramos-García C.A., Martínez-Martínez L.J., Bernal-Riobo J.H.</t>
  </si>
  <si>
    <t>58000657100;36794469000;57218618615;</t>
  </si>
  <si>
    <t>Estimating chlorophyll and nitrogen contents in maize (Zea mays L.) leaves with spectroscopic analysis [Estimación de los contenidos de clorofila y nitrógeno en hojas de maíz (Zea mays L.) mediante análisis espectroscópico]</t>
  </si>
  <si>
    <t>e13398</t>
  </si>
  <si>
    <t>10.17584/rcch.2022v16i1.13398</t>
  </si>
  <si>
    <t>https://www.scopus.com/inward/record.uri?eid=2-s2.0-85143772044&amp;doi=10.17584%2frcch.2022v16i1.13398&amp;partnerID=40&amp;md5=5a0fb1c8400f035aea5c460d3bf74e12</t>
  </si>
  <si>
    <t>Universidad Nacional de Colombia, Facultad de Ciencias Agrarias, Bogota, Colombia; Corporación Colombiana de Investigación Agropecuaria (AGROSAVIA), Centro de Investigación La Libertad, Puerto Lopez, Colombia</t>
  </si>
  <si>
    <t>Ramos-García, C.A., Universidad Nacional de Colombia, Facultad de Ciencias Agrarias, Bogota, Colombia; Martínez-Martínez, L.J., Universidad Nacional de Colombia, Facultad de Ciencias Agrarias, Bogota, Colombia; Bernal-Riobo, J.H., Corporación Colombiana de Investigación Agropecuaria (AGROSAVIA), Centro de Investigación La Libertad, Puerto Lopez, Colombia</t>
  </si>
  <si>
    <t>The relationship between reflectance and chlorophyll (Chl) and nitrogen (N) contents in maize leaves was analyzed to identify useful spectral indices for diagnosing the nutritional status of crops in terms of N. An experiment was carried out in random blocks with five treatments of nitrogen fertilizer (0, 50, 100, 150, 200 kg ha-¹) and four repetitions and the foliar spectral responses were measured with a FieldSpec 4 spectrora-diometer in three phenological stages. Several spectral indices and values of red edge position (REP) were calculated using various methods. Red-edge position linear interpolation (REP-L), Red-edge position linear extrapolation (REP-LE), REP-Inverted Gaussian fitting technique (REP-IG), REP-Polynomial fitting technique (REP-P) and NDVI had the best relationship with chlorophyll and nitrogen contents. The first derivative of reflectance, between 560 and 760 nm, transformed by the normal state variable (SNV) also had highly significant correlation coefficients with the N, Chl, and yield. Additionally, the corn yield showed highly significant correlations with the N and Chl contents. From the point of view of the diagnosis of the nutritional status of corn, the spectral indices and REP values were suitable for establishing the nutritional status of corn in relation to N in the phenological stages V8 and R1. © 2022, Universidad Pedagogica y Tecnologica de Colombia. All rights reserved.</t>
  </si>
  <si>
    <t>Colombia; crops; plant nutrition; reflectance; spectroradiometry</t>
  </si>
  <si>
    <t>Universidad Nacional de Colombia, UNAL; Corporación colombiana de investigación agropecuaria</t>
  </si>
  <si>
    <t>The authors thank the Universidad Nacional de Colombia, the Division of Research (DIEB), the Faculty of Agricultural Sciences and the Corporación Colom-biana de Investigación Agropecuaria, AGROSAVIA, La Libertad for financial support provided for this research.</t>
  </si>
  <si>
    <t>Barker, A.V., Pilbeam, D.J., (2015) Handbook of plant nutrition, , (eds). 2nd ed. CRC Press, Boca Raton, FL; Barnes, R., Dhanoa, M., Lister, S., Letter: Correc-tion to the description of Standard Normal Variate (SNV) and De-Trend (DT) Transformations in practi-cal spectroscopy with applications in food and beve-rage analysis (1993) J. Near Infrar. Spectros, 1 (1), p. 185; Campuzano Duque, L.F., Caicedo Guerrero, S., Narro, L., Herbin, A., Corpoica H5: primer híbrido de maíz amarillo de alta calidad de proteína (QPM) para la altillanura plana colombiana (2014) Corpoica Cienc. Tecnol. Agropecu, 15 (2), pp. 173-182; Chen, P., Haboudane, D., Tremblay, N., Wang, J., Vigneault, P., Li, B., New spectral indicator assessing the efficiency of crop nitrogen treatment in corn and wheat (2010) Remote Sens. Environ, 114 (2), pp. 1987-1997; Cho, M.A., Skidmore, A.K., A new technique for extracting the red edge position from hypers-pectral data: The linear extrapolation method (2006) Remote Sens. Environ, 101 (2), pp. 181-193; (2004) Estudio general de suelos y zonificación de tie-rras, departamento de Meta, , Colombia IGAC, Instituto Geográfico Agustín Codazzi. Bogota; Croft, H., Chen, J.M., Zhang, Y., The applicabi-lity of empirical vegetation indices for determining leaf chlorophyll content over different leaf and canopy structures (2014) Ecol. Complex, 17, pp. 119-130; Daughtry, C.S.T., Walthall, C.L., Kim, M.S., Brown de Colstoun, E., McMurtrey, J.E., Estimating corn leaf chlorophyll concentration from leaf and canopy reflectance (2000) Remote Sens. Environ, 74 (2), pp. 229-239; Del Corso, M., Lollato, R.P., Macnack, N., Mullock, J., Raun, B.R., (2013) Evaluation of trimble hand held crop sensor and Greenseeker™: sensors at different heights and for various crops, , https://www.nue.okstate.edu/Pocket_Sensor/Pocket_Sensor.htm, consulted: May, 2021; Dwyer, L.M., Stewart, D.W., Gregorich, E., Anderson, A.M., Ma, B.L., Tollenaar, M., Quantifying the non-linearity in chlorophyll meter response to corn leaf nitrogen concentration (1995) Can. J. Plant Sci, 75, pp. 179-182; Elmetwalli, A.H., Tyler, A.N., Estimation of maize properties and differentiating moisture and nitrogen deficiency stress via ground – Based remotely sensed data (2020) Agric. Water Manage, 242, p. 106413; Feng, W., Yao, X., Zhu, Y., Tian, Y.C., Cao, W.X., Monitoring leaf nitrogen status with hyperspectral re-flectance in wheat (2008) Eur. J. Agron, 28 (3), pp. 394-404; Giraldo-Betancourt, C., Velandia-Sánchez, E.A., Fischer, G., Gómez-Caro, S., Martínez, L.J., Hyperspec-tral response of cape gooseberry (Physalis peruviana L.) plants inoculated with Fusarium oxysporum f. sp. phy-sali for early detection (2020) Rev. Colomb. Cienc. Hortíc, 14 (3), pp. 301-313; Gitelson, A.A., Merzlyak, M.N., Lichtenthaler, H.K., Detection of red edge position and chlorophyll content by reflectance measurements near 700 nm (1996) J. Plant Physiol, 148 (3-4), pp. 501-508; Gitelson, A.A., Viña, A., Ciganda, V., Rundquist, D.C., Arkebauer, T.J., Remote estimation of canopy chlorophyll content in crops (2005) Geophys. Res. Lett, 32 (8), p. L08403; Guyot, G., Baret, F., Utilisation de la haute reso-lution spectrale pour suivre L’etat des couverts vege-taux (1988) Proc. 4th Conf. Spectral Signatures of Objects in Remote Sensing, pp. 279-286. , Guyenne, T.D. and J.J. Hunt (eds). European Space Agency, Aussois, France; Inskeep, W.P., Bloom, P.R., Extinction coefficients of chlorophyll a and b in N, N-dimethylformamide and 80% acetone (1985) Plant Physiol, 77 (2), pp. 483-485; Kleinbaum, D.G., Kupper, L.L., Nizam, A., (2014) Applied regression analysis and other multivariable methods, , 5th ed. Cengage Learning, Boston, MA; Lee, Y. J., Yang, C.M., Chang, K.W., Shen, Y., Effects of nitrogen status on leaf anatomy, chlorophyll content and canopy reflectance of paddy rice (2011) Botanical Studies, 52 (3), pp. 295-303; Li, F., Miao, Y., Feng, G., Yuan, F., Yue, S., Gao, X., Liu, Y., Chen, X., Improving estimation of summer maize nitrogen status with red edge-based spectral vegetation indices (2014) Field Crop. Res, 157, pp. 111-123; Martínez, L.J., Relationship between crop nutritional status, spectral measurements and Sentinel 2 images (2017) Agron. Colomb, 35 (2), pp. 205-215; Martínez, L.J., Ramos, A., Estimation of chlorophyll concentration in maize using spectral re-flectance (2015) Int. Arch. Photogramm. Remote Sens. Spatial Inf. Sci, 40, pp. 65-71. , 7/W3; Miller, J.R., Hare, E.W., Wu, J., Quantitati-ve characterization of the vegetation red edge re-flectance 1. An inverted-Gaussian reflectance model (1990) Int. J. Remote Sens, 11 (10), pp. 1755-1773; Myneni, R.B., Williams, D.L., On the relationship between FAPAR and NDVI (1994) Remote Sens. Environ, 49 (3), pp. 200-211; Palka, M., Manschadi, A.M, Koppensteiner, L., Neubauer, T., Fitzgerald, G.F., Evaluating the performance of the CCCI-CNI index for estimating N status of winter wheat (2021) Eur. J. Agron, 130, p. 126346; Peñuelas, J., Filella, I., Gamon, J.A., Assessment of photosynthetic radiation-use efficiency with spectral reflectance (1995) New Phytol, 131, pp. 291-296; Pu, R., Gong, P., Biging, G.S., Larrieu, M.R., Ex-traction of red edge optical parameters from Hype-rion data for estimation of forest leaf area index (2003) IEEE Trans. Geosci. Remote Sens, 41 (4), pp. 916-921; Ranjan, A.K., Parida, B.R., Estimating biochemical parameters of paddy using satellite and near-proximal sensor data in Sahibganj Province, Jharkhand (India) (2020) Remote Sens. Appl.: Soc. Environ, 18, p. 100293; Schlemmer, M.R., Francis, D.D., Shanahan, J.F., Schepers, J.S., Remotely measuring chlorophyll content in corn leaves with differing nitrogen levels and relative water content (2005) Agron. J, 97 (1), pp. 106-112; Schlemmer, M., Gitelson, A., Schepers, J., Ferguson, R., Peng, Y., Shanahan, J., Rundquist, D., Remote estimation of nitrogen and chlorophyll contents in maize at leaf and canopy levels (2013) Int. J. Appl. Earth Obs. Geoinf, 25, pp. 47-54; Savitzky, A., Golay, M.J., Smoothing and diffe-rentiation of data by simplified least squares proce-dures (1964) Analyt. Chem, 36 (8), pp. 1627-1639; Serrano, L., Peñuelas, J., Ustin, S.L., Remote sensing of nitrogen and lignin in Mediterranean vegetation from AVIRIS data: Decomposing biochemical from structural signals (2002) Remote Sens. Environ, 81 (2-3), pp. 355-364; Sims, D.A., Gamon, J.A., Relationships between leaf pigment content and spectral reflectance across a wide range of species, leaf structures and developmen-tal stages (2002) Remote Sens. Environ, 81, pp. 337-354; Thompson, R.B., Tremblay, N., Fink, M., Gallardo, M., Padilla, F.M., Tools and strategies for sustai-nable nitrogen fertilisation of vegetable crops (2017) Advances in research on fertilization management of vegetable crops, pp. 11-63. , Tei, F., S. Nicola, and P. Benincasa (eds). Springer, Cham, Switzerland; Wan, L., Tang, Z., Zhang, J., Chen, S., Zhou, W., Cen, H., Upscaling from leaf to canopy: Improved spectral indices for leaf biochemical traits estimation by minimizing the difference between leaf adaxial and abaxial surfaces (2021) Field Crops Res, 274, p. 108330; Wang, Z., Chen, J., Zhang, J., Fan, Y., Cheng, Y., Wang, B., Wu, X., Yang, F., Predicting grain yield and protein content using canopy reflectance in maize grown under different water and nitrogen levels (2021) Field Crops Res, 260, p. 107988; Wen, P.-F., He, J., Ning, F., Wang, R., Zhang, Y.-H., Li, J., Estimating leaf nitrogen concentration considering unsynchronized maize growth stages with canopy hyperspectral technique (2019) Ecol. Indic, 107, p. 105590; Wu, C., Niu, Z., Tang, Q., Huang, W., Estimating chlorophyll content from hyperspectral vegetation indices: Modeling and validation (2008) Agric. For. Meteorol, 148 (8-9), pp. 1230-1241; Yu, K., Lenz-Wiedemann, V., Chen, X., Bareth, G., Estimating leaf chlorophyll of barley at different growth stages using spectral indices to reduce soil background and canopy structure effects (2014) ISPRS J. Photogramm. Remote Sens, 97, pp. 58-77</t>
  </si>
  <si>
    <t>Martínez-Martínez, L.J.; Universidad Nacional de Colombia, Colombia; email: ljmartinezm@unal.edu.co</t>
  </si>
  <si>
    <t>2-s2.0-85143772044</t>
  </si>
  <si>
    <t>Roveda-Hoyos G., Venegas-Gómez J.F., Moreno-Fonseca L.P., Magnitskiy S., Ramírez-Gómez M.</t>
  </si>
  <si>
    <t>6504611879;58001731500;35325206000;12240993000;55446907000;</t>
  </si>
  <si>
    <t>Effect of inoculation with Acaulospora and Glomus on the growth and nutrition of blueberries (Vaccinium corymbosum) with different fertilization levels [Efecto de la inoculación con Acaulospora and Glomus sobre el crecimiento y nutrición de arándanos (Vaccinium corymbosum) con diferentes niveles de fertilización]</t>
  </si>
  <si>
    <t>e13561</t>
  </si>
  <si>
    <t>10.17584/rcch.2022v16i2.13561</t>
  </si>
  <si>
    <t>https://www.scopus.com/inward/record.uri?eid=2-s2.0-85143763882&amp;doi=10.17584%2frcch.2022v16i2.13561&amp;partnerID=40&amp;md5=3814200e2a80fd8e597fc49885f08567</t>
  </si>
  <si>
    <t>Fundación Trópico Alto, Tabio, Colombia; Universidad Nacional de Colombia, Facultad Ciencias Agrarias, Departamento de Agronomía, Bogotá, Colombia; Corporación Colombiana de Investigación Agropecuaria AGROSAVIA-Sede Tibaitatá, Mosquera, Colombia</t>
  </si>
  <si>
    <t>Roveda-Hoyos, G., Fundación Trópico Alto, Tabio, Colombia; Venegas-Gómez, J.F., Universidad Nacional de Colombia, Facultad Ciencias Agrarias, Departamento de Agronomía, Bogotá, Colombia, Corporación Colombiana de Investigación Agropecuaria AGROSAVIA-Sede Tibaitatá, Mosquera, Colombia; Moreno-Fonseca, L.P., Universidad Nacional de Colombia, Facultad Ciencias Agrarias, Departamento de Agronomía, Bogotá, Colombia; Magnitskiy, S., Universidad Nacional de Colombia, Facultad Ciencias Agrarias, Departamento de Agronomía, Bogotá, Colombia; Ramírez-Gómez, M., Corporación Colombiana de Investigación Agropecuaria AGROSAVIA-Sede Tibaitatá, Mosquera, Colombia</t>
  </si>
  <si>
    <t>In recent years, the global demand for blueberries has been growing because of its nutraceutical properties in the fruits, which provide important benefits to human health. Colombia, thanks to its diversity, has a great opportunity to meet the blueberry demands of the global markets. In the present study, the effect of two arbuscular mycorrhizal fungi (AMF) of the genera Glomus and Acaulospora were evaluated on the growth of blueberry plants var. Biloxi, subjected to three levels of chemical fertilization (100, 50 and 0%), with the 100% level being optimal. The blueberry plants inoculated with Glomus under conditions of nutrient deficiency (50AMF1+) increased dry mass, height, number of basal branches, leaf area, root/shoot ratio, and chlorophyll concentration, which were significantly higher than in the plants without inoculation with nutrient deficiency (0AMF-and 50AMF-). The plants inoculated with Glomus achieved an increase in height, while the plants inoculated with Acaulospora increased the number of basal branches when grown under a nutrient deficiency (50AMF+1) in relation to the uninoculated controls (0AMF-and 50AMF-). The results suggested that the best association of blueberry occurs with Glomus, with increased plant growth and nutrition (N, P, K, Ca, Mg, and S). © 2022, Universidad Pedagogica y Tecnologica de Colombia. All rights reserved.</t>
  </si>
  <si>
    <t>mycorrhizae; nutrient deficiency; nutrients; stress; symbiosis</t>
  </si>
  <si>
    <t>Abdel-Fattah, G.M., Asrar, A.-W.A., Al-Amri, S.M., Absel-Salam, E.M., Influence of arbuscular mycorrhi-za and phosphorus fertilization on the gas exchange status, growth and nutrient contents of soybean (Gly-cine max L.) plants grown in a sandy loam soil (2014) J. Fruit Agric. Environ, 12 (1), pp. 150-156; Aguilera Rodríguez, I., Pérez Silva, R.M., Marañón Reyes, A., Determinación de sulfato por el método turbidimétrico en aguas y aguas residuales (2010) Validación de método. Rev. Cuba. Quím, 22 (3), pp. 39-44; Arriagada, C., Manquel, D., Cornejo, P., Soto, J., Sampe-dro, I., Ocampo, J., Effects of the co-inocula-tion with saprobe and mycorrhizal fungi on Vaccinium corymbosum growth and some soil enzymatic activi-ties (2012) J. Soil Sci. Plant. Nutr, 12 (2), pp. 287-298. , ht-tps://doi.org; Boeraeve, M., Honnay, O., Jacquemyn, H., Local abiotic conditions are more important than landscape context for structuring arbuscular mycorrhizal fungal communities in the roots of a forest herb (2019) Oecolo-gia, 190, pp. 149-157. , https://doi.org/10.1007/s00442-019-04406-z, Doi; Brody, A.K., Waterman, B., Ricketts, T.H., Degrassi, A.L., González, J.B., Harris, J.M., Richardson, L.L., Ge-notype-specific effects of ericoid mycorrhizae on flo-ral traits and reproduction in Vaccinium corymbosum (2019) Amer. J. Bot, 106 (11), pp. 1412-1422. , https://doi.org/10.1002/ajb2.1372; Bustillo, A., (2018) El cultivo de arándano (Vaccinium corym-bosum) y su proyección en Colombia, , Undergraduate thesis. Facultad de Ingeniería Agronómica, Univer-sidad de Ciencias Aplicadas y Ambientales (UDCA), Bogota; Castañeda, C.S., Almanza-Merchán, P.J., Pinzón, E.H., Cely-Reyes, G.E., Serrano-Cely, P.A., Chlorophyll concentration estimation using non-destructive me-thods in grapes (Vitis vinifera L.) cv. Riesling Becker (2018) Rev. Colomb. Cienc. Hortic, 12 (2), pp. 329-337. , Doi:ht-tps://doi.org/10.17584/rcch.2018v12i2.7566; Chatzistathis, T., Orfanoudakis, M., Alifragis, D., Therios, I., Colonization of Greek olive cultivars’ root system by arbuscular mycorrhiza fungus: Root morphology, growth, and mineral nutrition of olive plants (2013) Sci. Agric, 70 (3), pp. 185-194. , https://doi.org/10.1590/S0103-90162013000300007; (2011) NTC 370: abonos o fertilizantes. Determinación del nitrógeno total, , Colombia INCONTEC, Instituto Colombiano de Normas Técnicas y Certificación. Bogota; Ebrahim, M.K.H., Saleem, A.-R., Alleviating salt stress in tomato inoculated with mycorrhizae: Pho-tosynthetic performance and enzymatic antioxidants (2017) J. Taibah Univ. Sci, 11 (6), pp. 850-860. , https://doi.org/10.1016/j.jtusci.2017.02.002; Ferlian, O., Biere, A., Bomfante, P., Buscot, F., Eisenhauer, N., Fernandez, I., Hause, B., Mar-tinez-Medina, A., Growing research networks on mycorrhizae for mutual benefits (2018) Trends Plant Sci, 23 (11), pp. 975-984. , https://doi.org; Ganugi, P., Masoni, A., Pietramellara, G., Benedettelli, S., A review of studies from the last twenty years on plant: Arbuscular mycorrhizal fungi associations and their uses for wheat crops (2019) Agronomy, 9 (12), p. 840. , https://doi.org/10.3390/agronomy9120840; Gao, L.X., Li, S., Mo, A.Q., Liu, F.M., Chen, Y., Zhou, Z.Z., Zeng, R.S., Effects of inoculation of arbuscular mycorrhizal fungi on growth of rabbiteye blueberry (Vaccinium ashei Reade) in south China (2012) Ecol. Environ. Sci, 2012 (8), pp. 1413-1417; Garzón, G.A., Narvaez, C.E., Riedl, K.M., Schwartz, S.J., Chemical composition, anthocyanins, non-an-thocyanin phenolics and antioxidant activity of wild bilberry (Vaccinium meridionale Swartz) from Colom-bia (2010) Food Chem, 122 (4), pp. 980-986. , https://doi.or-g/10.1016/j.foodchem.2010.03.017; Gerdemann, J.W., Nicolson, T.H., Spores of mycorrhizal Endogone species extracted from soil by wet sieving and decanting (1963) Trans. Brit. Mycol. Soc, 46, pp. 235-244. , https://doi.org/10.1016/S0007-1536(63)80079-0; Gholamhoseini, M., Ghalavand, A., Dolatabadian, A., Jamshidi, E., Khodaei-Joghan, A., Effects of arbuscular mycorrhizal inoculation on growth, yield, nutrient uptake and irrigation water productivity of sunflowers grown under drought stress (2013) Agric. Water Manage, 117 (31), pp. 106-114. , https://doi.or-g/10.1016/j.agwat.2012.11.007; Giovannetti, M., Mosse, B., An evaluation of tech-niques for measuring vesicular arbuscular mycorrhizal infection in roots (1980) New Phytol, 84 (3), pp. 489-500. , https://doi.org/10.1111/j.1469-8137.1980.tb04556.x; Grzyb, Z.S., Paszt, L.S., Piotrowski, W., Malusa, E., The influence of mycorrhizal fungi on the growth of apple and sour cherry maidens fertilized with different bioproducts in the organic nursery (2015) J. Life Sci, 9, pp. 221-228; Hart, M., Ehret, D.L., Krumbein, A., Leung, C., Murch, S., Turi, C., Franken, P., Inoculation with arbuscular mycorrhizal fungi improves the nutritional value of tomatoes (2015) Mycorrhiza, 25, pp. 359-376. , https://doi.org/10.1007/s00572-014-0617-0; Hirzel, C.J., (2013) Fertilización en arándano, , Boletín INI 263. Instituto de Investigaciones Agropecuarias, Chillan, Chile; Hurst, R.D., Wells, R.W., Hurst, S.M., Mcghie, T.K., Coo-ney, J.M., Jensen, D.J., Blueberry fruit polypheno-lics suppress oxidative stress-induced skeletal muscle cell damage in vitro (2010) Mol. Nutrit. Food Res, 54 (3), pp. 353-363. , https://doi.org/10.1002/mnfr.200900094; Hussain, S., Sharif, M., Ahmad, W., Khan, F., Nihar, H., Soil and plants nutrient status and wheat growth after mycorrhiza inoculation with and without vermicompost (2018) J. Plant Nutrit, 41 (12), pp. 1534-1546. , https://doi.org/10.1080/01904167.2018.1459687; Istek, N., Gurbuz, O., Investigation of the impact of blueberries on metabolic factors influencing health (2017) J. Funct. Foods, 38, pp. 298-307. , (Part A), https://doi. org; Liu, X.M., Xu, Q.L., Li, Q.Q., Zhang, H., Xiao, J.X., Physiological responses of the two blueberry cultivars to inoculation with an arbuscular mycorrhizal fungus under low-temperature stress (2017) J. Plant Nutr, 40 (18), pp. 2562-2570. , https://doi.org; Liu, Y.X., Wu, Y.P., Chen, J., Ji, B.P., Separation of different polyphenols in blueberries and comparison of their protective activity on cellular oxidative damage (2013) J. Zhejiang Univ.-Agric. Life Sci, 39 (4), pp. 428-434. , https://doi.org; Luteyn, J.L., Pedraza-Peñalosa, P., Blueberry rela-tives of the New World Tropics (Ericaceae) (2008) The New York Botanical Garden, , www.nybg.org/bsci/res/lut2/, consulted: May, 2021; Mikiciuk, G., Sas-Paszt, L., Mikiciuk, M., Derkowska, E., Trzcinski, P., Głuszek, S., Lisek, A., Rudnicka, J., Mycorrhizal frequency, physiological parameters, and yield of strawberry plants inoculated with endomycorrhizal fungi and rhizosphere bacteria (2019) Mycorrhiza, 29, pp. 489-501. , https://doi.org/10.1007/s00572-019-00905-2; Miranda, D., El arándano, ¿Un cultivo rentable y sos-tenible para Colombia? (2021) Avances en el cultivo de las berries en el trópico, pp. 37-50. , https://doi.org/10.17584/IBerries, Fischer, G., D. Miranda, S. Magnitskiy, H.E. Balaguera-López, and Z. Molano (eds). Sociedad Colombiana de Ciencias Hortícolas, Bogota; Miranda, D., Fischer, G., Ulrichs, Ch., The influence of arbuscular mycorrhizal colonization on the growth parameters of cape gooseberry (Physalis peru-viana L.) plants grown in a saline soil (2011) J. Soil Sci. Plant Nutr, 11 (2), pp. 18-30. , https://doi.org/10.4067/S0718-95162011000200003; Nadeem, S.M., Ahmad, M., Ahmad, Z.A., Javaid, A., Ashraf, M., The role of mycorrhizae and plant growth promoting rhizobacteria (PGPR) in improving crop productivity under stressful environments (2014) Biotechnol. Adv, 32 (2), pp. 429-448. , https://doi.or-g/10.1016/j.biotechadv.2013.12.005; Ortas, I., The effect of mycorrhizal fungal inoculation on plant yield, nutrient uptake and inoculation effectiveness under long-term field conditions (2012) Field Crops Res, 125, pp. 35-48. , https://doi.org/10.1016/j.fcr.2011.08.005; Ortas, I., Sari, N., Akpinar, Ç., Yetisir, H., Scree-ning mycorrhiza species for plant growth, P and Zn uptake in pepper seedling grown under greenhouse conditions (2011) Sci. Hortic, 128 (2), pp. 92-98. , https://doi.org/10.1016/j.scienta.2010.12.014; Phillips, J.M., Hayman, D.S., Improve procedures for clearing roots and staining parasitic and vesicular– arbuscular mycorrhizal fungi for rapid assessment of infection (1970) Trans. Brit. Mycol. Soc, 55 (1), pp. 158-161. , https://doi.org; Porras-Soriano, A., Soriano-Martín, M.L., Porras-Piedra, A., Azcón, R., Arbuscular mycorrhizal fungi increased growth, nutrient uptake and tolerance to salinity in olive stress under nursery conditions (2009) J. Plant Physiol, 166 (13), pp. 1350-1359. , https://doi. org; Selvakumar, G., Kim, K., Hu, S., Sa, T., Effect of salinity on plants and the role of arbuscular myco-rrhizal fungi and plant growth-promoting rhizo-bacteria in alleviation of salt stress (2014) Physiological mechanisms and adaptation strategies in plants under changing envi-ronment, , https://doi.org/10.1007/978-1-4614-8591-9_6, Ahmad, P. and M. Wani (eds). Springer, New York, NY; Smith, S.E., Read, D.J., (2008) Mycorrhizal symbiosis, , https://doi.org/10.1016/B978-0-12-370526-6.X5001-6, 3rd ed. Academic Press, Amsterdam; Świerczyński, S., Stachowiak, A., Golcz-Polaszewska, M., Maiden pear trees growth in replant soil after inoculation of rootstocks with mycorrhizal inoculum (2015) Nauka Przyr. Tech, 9 (1), p. 3. , https://doi.or-g/10.17306/J.NPT.2015.1.3; Talaat, N.B., Shawky, B.T., Protective effects of arbuscular mycorrhizal fungi on wheat (Triti-cum aestivum L.) plants exposed to salinity (2014) Environ. Exp. Bot, 96, pp. 20-31. , https://doi.org; Torres-Vera, R., García, J.M., Pozo, M.J., López-Ráez, J.A., Do strigolactones contribute to plant defense? (2014) Mol. Plant Pathol, 15 (2), pp. 211-216. , https://doi.org/10.1111/mpp.12074; Van der Heijden, E.W., Kuyper, T.W., Does origin of mycorrhizal fungus or mycorrhizal plant influence effectiveness of the mycorrhizal symbio-sis? (2001) Plant Soil, 230 (2), pp. 161-174. , https://doi.org/10.1023/A:1010377320729; Vega, A.R., Garciga, M., Rodríguez, A., Prat, L., Mella, J., Blueberries mycorrhizal symbiosis outside of the boundaries of natural dispersion for Ericaceous plants in Chile (2009) Acta Hortic, 810, pp. 665-671. , https://doi.org/10.17660/ActaHortic.2009.810.88; Yang, L., Li, Q.Q., Yang, Y., Chen, Q., Gao, X., Xiao, J.-X., Comparative transcriptome analysis reveals positive effects of arbuscular mycorrhizal fungi inoculation on photosynthesis and high-pH tolerance in blueberry seedlings (2020) Trees, 34, pp. 433-444. , https://doi.org/10.1007/s00468-019-01926-2; You, Q., Wang, B., Chen, F., Huang, Z., Wang, X., Luo, P.G., Comparison of anthocyanins and phenolics in organically and conventionally grown blueberries in selected cultivars (2011) Food Chem, 125 (1), pp. 201-208. , https://doi.org; Wu, Q.-S., Srivastava, A.K., Zou, Y.-N., AMF-in-duced tolerance to drought stress in citrus: A review (2013) Sci. Hortic, 164, pp. 77-87. , https://doi.org/10.1016/j.scienta.2013.09.010; Zhu, X.Q., Tang, M., Zhang, H.Q., Arbuscular mycorrhizal fungi enhanced the growth, photosyn-thesis, and calorific value of black locust under salt stress (2017) Photosynthetica, 55 (2), pp. 378-385. , https://doi.org/10.1007/s11099-017-0662-y; Zydlik, Z., Zydlik, P., Kleiber, T., The effect of the mycorrhization on the content of macroelements in the soil and leaves of blueberry cultivated after replan-tation (2019) Zemdirbyste, 106 (4), pp. 345-350. , https://doi. org</t>
  </si>
  <si>
    <t>2-s2.0-85143763882</t>
  </si>
  <si>
    <t>Álvarez-Herrera J.G., Vélez J.E., Jaime-Guerrero M.</t>
  </si>
  <si>
    <t>25222348000;16314701600;57858690300;</t>
  </si>
  <si>
    <t>Characterization of cape gooseberry (Physalis peruviana L.) fruits from plants irrigated with different regimens and calcium doses [Caracterización de frutos de uchuva (Physalis peruviana L.) provenientes de plantas regadas con diferentes regímenes de riego y dosis de calcio]</t>
  </si>
  <si>
    <t>e13269</t>
  </si>
  <si>
    <t>10.17584/rcch.2022v16i1.13269</t>
  </si>
  <si>
    <t>https://www.scopus.com/inward/record.uri?eid=2-s2.0-85143762562&amp;doi=10.17584%2frcch.2022v16i1.13269&amp;partnerID=40&amp;md5=875c15526223a12664f854fea7ddc574</t>
  </si>
  <si>
    <t>Universidad Pedagógica y Tecnológica de Colombia, Facultad de Ciencias Agropecuarias, Grupo de Investigaciones Agrícolas (GIA), Tunja, Colombia; Universidad Nacional de Colombia, Sede Bogotá, Facultad de Ingeniería, Departamento de Ingeniería Civil y Agrícola, Bogota, Colombia</t>
  </si>
  <si>
    <t>Álvarez-Herrera, J.G., Universidad Pedagógica y Tecnológica de Colombia, Facultad de Ciencias Agropecuarias, Grupo de Investigaciones Agrícolas (GIA), Tunja, Colombia; Vélez, J.E., Universidad Nacional de Colombia, Sede Bogotá, Facultad de Ingeniería, Departamento de Ingeniería Civil y Agrícola, Bogota, Colombia; Jaime-Guerrero, M., Universidad Pedagógica y Tecnológica de Colombia, Facultad de Ciencias Agropecuarias, Grupo de Investigaciones Agrícolas (GIA), Tunja, Colombia</t>
  </si>
  <si>
    <t>Cape gooseberry fruits have positioned in the world market due to their excellent nutritional characteristics, because they are an ideal food that contributes to raising the defenses of the human body and helps it to face diseases such as COVID-19, they are also a natural source of antioxidants and anticancer agents. In order to avoid the physiopathy of cracking in cape gooseberry fruits, these were characterized at harvest time, coming from greenhouse plants irrigated with different applications of water levels and irrigation frequencies, as well as different calcium doses, in a design of randomized complete blocks with 12 treatments. The blocks were the irrigation frequencies (4, 9 and 14 days), while the treatments were the combination of four irrigation coefficients (0.7, 0.9, 1.1 and 1.3 of the evaporation of the tank class A) and three doses of calcium (0, 50 and 100 kg ha-1). The plants were sown in 20 L pots with peat moss substrate. Fruits were harvested at the color stage 5 and 6 of the calyx, from 19 weeks after transplanting. The different water levels and irrigation frequencies did not significantly affect the firmness of the cape gooseberry fruits, but there was a strong tendency that cracked gooseberry fruits are less firm than healthy fruits. As the irrigation coefficient increased, the total soluble solids (TSS) increased while the total titratable acids (TTA) decreased. Irrigation frequency of 14 days generated fruits with higher TSS and pH values. The calcium doses did not affect the calcium concentration in the fruits or the TSS, TTA and pH values. Therefore, it can be concluded that incremented irrigation coefficients (up to 1.3) increase the quality of cape gooseberry fruits. © 2022, Universidad Pedagogica y Tecnologica de Colombia. All rights reserved.</t>
  </si>
  <si>
    <t>firmness; irrigation; maturity index; pH; soluble solids; titratable acidity</t>
  </si>
  <si>
    <t>Agbemafle, R., Owusu-Sekyere, J., Bart-Plange, A., Otchere, J., Effect of deficit irrigation and storage on physicochemical quality of tomato (Lycopersicon esculentum Mill., var. Pechtomech) (2014) Food Sci. Qual. Manage, 34, pp. 113-121; Sistema de estadísticas agropecuarias (2020), http://www.agronet.gov.co, Producción nacional por producto: uchuva consulted: May, 2020; Almutairi, K.F., Bryla, D.R., Strik, B.C., Potential of deficit irrigation, irrigation cutoffs, and crop thinning to maintain yield and fruit quality with less water in northern highbush blueberry (2017) HortScience, 52 (4), pp. 625-633; Álvarez-Herrera, J., Balaguera-López, H., Fischer, G., Effect of irrigation and nutrition with calcium on fruit cracking of the cape gooseberry (Physalis peruviana L.) in the three strata of the plant (2012) Acta Hortic, 928, pp. 163-170; Álvarez-Herrera, J., Fischer, G., Restrepo, L.P., Quicazán, M., Contenidos de carotenoides totales y ácido ascórbico en frutos sanos y rajados de uchuva (Physalis peruviana L.) (2014) Acta Hortic, 1016, pp. 7-81; Álvarez-Herrera, J., Fischer, G., Vélez, J.E., Análisis de la producción de uchuva (Physalis peruviana L.) durante el ciclo de cosechas en invernadero con diferentes láminas de riego (2021) Rev. Acad. Colomb. Cienc. Ex. Fis. Nat, 45 (174), pp. 109-121; Álvarez-Herrera, J., Fischer, G., Vélez-Sánchez, J., Producción de frutos de uchuva (Physalis peruviana L.) bajo diferentes láminas de riego, frecuencias de riego y dosis de calcio (2015) Rev. Colomb. Cienc. Hortic, 9 (2), pp. 222-233; Aman, F., Masood, S., How nutrition can help to fight against COVID-19 pandemic (2020) Pak. J. Med. Sci, 36, pp. 121-123. , (COVID19-S4); Amézquita, N., Balaguera-López, H.E., Álvarez-Herrera, J.G., Efecto de la aplicación precosecha de giberelinas y calcio en la producción, calidad y rajado del fruto de uchuva (Physalis peruviana L.) (2008) Rev. Colomb. Cienc. Hortic, 2 (2), pp. 133-144; Arah, I.K., Amaglo, H., Kumah, E.K., Ofori, H., Preharvest and postharvest factors affecting the quality and shelf life of harvested tomatoes: A mini review (2015) Int. J. Agron, 2015, p. 478041; Balaguera-López, H.E., Espinal-Ruiz, M., Rodríguez-Nieto, J.M., Herrera-Arévalo, A., Zacarías, L., 1-Methylcyclopropene inhibits ethylene perception and biosynthesis: A theoretical and experimental study on cape gooseberry (Physalis peruviana L.) fruits (2021) Postharvest Biol. Technol, 174, p. 111467; Batista-Silva, W., Nascimento, V.L., Medeiros, D.B., Nunes-Nesi, A., Ribeiro, D.M., Zsögön, A., Araujo, W.L., Modifications in organic acid profiles during fruit development and ripening: correlation or causation? (2018) Front. Plant Sci, 9, p. 1689; Bayona-Penagos, L.V., Vélez-Sánchez, J.E., Rodríguez-Hernández, P., Effect of deficit irrigation on the postharvest of pear variety Triunfo de Viena (Pyrus communis L.) in Sesquile (Cundinamarca, Colombia) (2017) Agron. Colomb, 35 (2), pp. 238-246; Bazalar Pereda, M.S., Nazareno, M.A., Viturro, C.I., Nutritional and antioxidant properties of Physalis peruviana L. fruits from the Argentinean Northern Andean region (2019) Plant Foods Human Nutr, 74, pp. 68-75; Bazalar Pereda, M.S., Nazareno, M.A., Viturro, C.I., Optimized formulation of a Physalis peruviana L. fruit nectar: physicochemical characterization, sensorial traits and antioxidant properties (2020) J. Food Sci. Technol, 57 (9), pp. 3267-3277; Beckles, D.M., Factors affecting the postharvest soluble solids and sugar content of tomato (Solanum lycopersicum L.) fruit (2012) Postharvest Biol. Tecnol, 63 (1), pp. 129-140; Bhatla, S.C., Abiotic stress (2018) Plant physiology, development and metabolism, pp. 969-1028. , Bhatla, S.C. and M.A. Lal (eds). Springer Nature, Singapore; Bhatt, R., Kaur, R., Ghosh, A., Strategies to practice climate-smart agriculture to improve the livelihoods under the rice-wheat cropping system in South Asia (2019) Sustainable management of soil and environment, pp. 32-71. , Meena, R.S., S. Kumar, J.S. Bohra, and M.L. Jat (eds). Springer Nature, Singapore; Cataldo, E., Salvi, L., Mattii, G.B., Effects of irrigation on ecophysiology, sugar content and thiol precursors (3-S-cysteinylhexan-1-ol and 3-S-glutathionylhexan-1-ol) on Vitis vinifera cv. Sauvignon Blanc (2021) Plant Physiol. Biochem, 164, pp. 247-259; Ciro Velasquez, H.J., Buitrago Giraldo, O.H., Pérez Arango, S.A., Estudio preliminar de la resistencia mecánica a la fractura y fuerza de firmeza para fruta de uchuva (Physalis peruviana L.) (2007) Rev. Fac. Nal. Agr. Medellín, 60 (1), pp. 3785-3796; (1999) Frutas frescas. Uchuva. Especificaciones, , Norma Técnica Colombiana NTC 4580. Bogota; Duan, Y., Yang, L., Zhou, H., Zhou, J., Sun, H., Gong, H., Structure and expression analysis of sucrose phosphate synthase, sucrose synthase and invertase gene families in Solanum lycopersicum (2021) Int. J. Mol. Sci, 22 (9), p. 4698; El-Beltagi, H.S., Mohamed, H.I., Safwat, G., Gamal, M., Megahed, B.M.H., Chemical composition and biological activity of Physalis peruviana L (2019) Gesunde Pflanzen, 71, pp. 113-122; Faghih, S., Zamani, Z., Fatahi, R., Omidi, M., Infuence of kaolin application on most important fruit and leaf characteristics of two apple cultivars under sustained deficit irrigation (2021) Biol. Res, 54, p. 1; Fallahi, E., Mahdavi, S., Effects of calcium with and without surfactants on fruit quality, mineral nutrient, respiration and ethylene evolution of ‘Red Spur Delicious’ apple (2020) World J. Agric. Soil Sci, 4 (5), p. 598; Fischer, G., (1995) Effect of root zone temperature and tropical altitude on the growth, development and fruit quality of cape gooseberry (Physalis peruviana L.), , PhD thesis. Humboldt-University, Berlin; Fischer, G., El problema del rajado del fruto de la uchuva y su posible control (2005) Avances en cultivo, poscosecha y exportación de la uchuva Physalis peruviana L. en Colombia, pp. 55-82. , Fischer, G., D. Miranda, W. Piedrahita, and J. Romero. (eds). Unibiblos, Universidad Nacional de Colombia, Bogota; Fischer, G., Balaguera-López, H.E., Álvarez-Herrera, J., Causes of fruit cracking in the era of climate change. A review (2021) Agron. Colomb, 39 (2), pp. 196-207; Fischer, G., Balaguera-López, H.E., Magnitskiy, S., Review on the ecophysiology of important Andean fruits: Solanaceae (2021) Rev. UDCA Act. Div. Cient, 24 (1), p. e1701; Fischer, G., Cleves-Leguizamo, J.A., Balaguera-López, H.E., Impact of soil temperature on fruit species within climate change scenarios (2022) Rev. Colomb. Cienc. Hortic, 16 (1), p. e12769; Fischer, G., Martínez, O., Calidad y madurez de la uchuva (Physalis peruviana L.) en relación con la coloración del fruto (1999) Agron. Colomb, 16 (1-3), pp. 35-39; Fischer, G., Melgarejo, L.M., The ecophysiology of cape gooseberry (Physalis peruviana L.)-an Andean fruit crop. A review (2020) Rev. Colomb. Cienc. Hortic, 14 (1), pp. 76-89; Fischer, G., Miranda, D., Balaguera-López, H.E., Gómez-Caro, S., La uchuva (Physalis peruviana L.), manejo integrado del cultivo y poscosecha (2021) Cultivo, poscosecha, procesado y comercio de berries, , c SPE3, Valencia, Spain; García-Tejero, I., Romero-Vicente, R., Jiménez-Bocanegra, J.A., Martínez-García, G., Durán-Zuazo, V.H., Muriel-Fernández, J.L., Response of citrus trees to deficit irrigation during different phenological periods in relation to yield, fruit quality, and water productivity (2010) Agr. Water Manage, 97 (5), pp. 689-699; Garzón-Acosta, C.P., Villarreal-Garzón, D.M., Fischer, G., Herrera, A.O., Sanjuanelo, D.W., La deficiencia de fósforo, calcio y magnesio afecta la calidad poscosecha del fruto de uchuva (Physalis peruviana L.) (2014) Acta Hortic, 1016, pp. 83-88; Gordillo, O.P., Fischer, G., Guerrero, R., Efecto del riego y de la fertilización sobre la incidencia del rajado en frutos de uchuva (Physalis peruviana L.) en la zona de Silvania (Cundinamarca) (2004) Agron. Colomb, 22 (1), pp. 53-62; Guizani, M., Dabbou, S., Maatallah, S., Montevecchi, G., Hajlaoui, H., Rezig, M., Helal, A.N., Kilani-Jaziri, S., Physiological responses and fruit quality of four peach cultivars under sustained and cyclic deficit irrigation in center-west of Tunisia (2019) Agric. Water Manage, 217, pp. 81-97; Herrera, A., Manejo poscosecha (2000) Producción, poscosecha y exportación de la uchuva (Physalis peruviana L.), pp. 109-127. , Flórez, G. Fischer, and A. Sora (eds). Unibiblos, Universidad Nacional de Colombia, Bogota; Hocking, B., Tyerman, S.D., Burton, R.A., Gilliham, M., Fruit calcium: transport and physiology (2016) Front. Plant Sci, 7, p. 569; Jiang, F., López, A., Jeon, S., Freitas, S.T., Yu, Q., Wu, Z., Labavitch, J.M., Mitcham, E., Disassembly of the fruit cell wall by the ripening-associated polygalacturonase and expansin influences tomato cracking (2019) Horticultural Research, 6, p. 17; Kathpalia, R., Bhatla, S.C., Plant mineral nutrition (2018) Plant physiology, development and metabolism, pp. 37-81. , Bhatla, S.C. and M.A. Lal (eds). Springer Nature, Singapore; Khan, A.S., Ali, S., Preharvest sprays affecting shelf life and storage potential of fruits (2018) Preharvest modulation of postharvest fruit and vegetable quality, pp. 209-255. , Siddiqui, M.W. (ed). Academic Press, London; Kochhar, S.L., Gujral, S.K., (2020) Plant physiology: Theory and applications, , 2nd ed. Cambridge University Press, Cambridge, UK; Lal, M.A., Metabolism of storage carbohydrates (2018) Plant physiology, development and metabolism, pp. 339-377. , Bhatla, S.C. and M.A. Lal. (eds). Springer Nature, Singapore; Lambers, H., Oliveira, R.S., Mineral nutrition (2019) Plant physiological ecology, pp. 301-384. , Springer, Cham, Switzerland; Lara, I., Preharvest sprays and their effects on the postharvest quality of fruit (2013) Stewart Postharvest Rev, 3, pp. 1-12; Lima, J.M., Welter, P.D., Santos, M.F.S., Kavcic, W., Costa, B.M., Fagherazzi, A.F., Nerbass, F.R., Baruzzi, G., Planting density interferes with strawberry production efficiency in southern Brazil (2021) Agronomy, 11, p. 408; Lobos, T.E., Retamales, J.B., Hanson, E.J., Early preharvest calcium sprays improve postharvest fruit quality in ‘Liberty’ highbush blueberries (2021) Sci. Hortic, 227, p. 109790; Marín, A., Rubio, J.S., Martínez, V., Gil, M.I., Antioxidant compounds in green and red peppers as affected by irrigation frequency, salinity and nutrient solution composition (2009) J. Sci. Food Agric, 89, pp. 1352-1359; Marschner, P., (2012) Marschner’s mineral nutrition of higher plants, , (ed). 3rd ed. Academic Press, London; Maruenda, H., Cabrera, R., Cañari-Chumpitaz, C., López, J.M., Toubiana, D., NMR-based metabolic study of fruits of Physalis peruviana L. grown in eight different Peruvian ecosystems (2018) Food Chem, 262, pp. 94-101; Medyouni, I., Zouaoui, R., Rubio, E., Serino, S., Ahmed, H.B., Bertin, N., Effects of water deficit on leaves and fruit quality during the development period in tomato plant (2021) Food Sci. Nutr, 9 (4), pp. 1949-1960; Miranda, D., Fischer, G., Avances tecnológicos en el cultivo de la uchuva (Physalis peruviana L.) en Colombia (2021) Avances en el cultivo de las berries en el trópico, pp. 14-36. , Fischer, G., D. Miranda, S. Magnitskiy, H.E. Balaguera-López, and Z. Molano (eds). Sociedad Colombiana de Ciencias Hortícolas, Bogota; Mokhtar, S.M., Swailam, H.M., Embaby, H.E., Physicochemical properties, nutritional value and techno-functional properties of goldenberry (Physalis peruviana) waste powder (2018) Food Chem, 248, pp. 1-7; Mubarok, S., Dahlania, S., Suwali, N., Dataset on the change of postharvest quality of Physalis peruviana L. as an effect of ethylene inhibitor (2019) Data Br, 24, p. 103849; Niu, J., Shi, Y., Huang, K., Zhong, Y., Chen, J., Sun, Z., Luan, M., Chen, J., Integrative transcriptome and proteome analyses provide new insights into different stages of Akebia trifoliata fruit cracking during ripening (2020) Biotechnol. Biofuels, 13, p. 149; Novoa, R.H., Bojacá, M., Galvis, J.A., Fischer, G., La madurez del fruto y el secado del cáliz influyen en el comportamiento poscosecha de la uchuva (Physalis peruviana L.) almacenada a 12ºC (2006) Agron. Colomb, 24 (1), pp. 77-86; Özbahçe, A., Tari, A.F., Yücel, S., Okur, O., Padem, H., Influence of limited water stress on yield and fruit quality of melon under soil-borne pathogens (2014) Toprak Su Derg, 3 (1), pp. 70-76; Patané, C., Tringali, S., Sortino, O., Effects of deficit irrigation on biomass, yield, water productivity and fruit quality of processing tomato under semi-arid Mediterranean climate conditions (2011) Sci. Hortic, 129, pp. 590-596; Pessoa, C.C., Lidon, F., Coelho, A.R., Caleiro, J.C., Coelho, A., Luis, I.C., Kullberg, J.C., Reboredo, F.H., Calcium biofortification of Rocha pears, tissues accumulation and physicochemical implications in fresh and heat-treated fruits (2021) Sci. Hortic, 277, p. 109834; Poovarodom, S., Boonplang, N., Soil calcium application and pre-harvest calcium and boron sprays on mangosteen fruit quality attributes (2010) Acta Hortic, 868, pp. 359-366; Porro, D., Ramponi, M., Tomasi, T., Rolle, L., Poni, S., Nutritional implications of water stress in grapevine and modifications of mechanical properties of berries (2010) Acta Hortic, 868, pp. 73-80; Rahman, M.U., Sajid, M., Rab, A., Ali, S., Shahid, M.O., Alam, A., Israr, M., Ahmad, I., Impact of calcium chloride concentrations and storage duration on quality attributes of peach (Prunus persica) (2016) Russ. Agric. Sci, 42 (2), pp. 130-136; Ripoll, J., Urban, L., Staudt, M., López-Lauri, F., Bidel, L., Bertin, N., Water shortage and quality of fleshy fruits-making the most of the unavoidable (2014) J. Exp. Bot, 65 (15), pp. 4097-4117; Rufat, J., Arbonés, A, Villar, P., Domingo, X., Pascual, M., Villar, J.M., Effects of irrigation and nitrogen fertilization on growth, yield and fruit quality parameters of peaches for processing (2010) Acta Hortic, 868, pp. 87-94; Soliman, M.A.M., Ennab, H.A., Mikhael, G.B., Effect of periodic deficit irrigation at different fruit growth stages on yield and fruit quality of ‘Anna’ apple trees (2018) J. Plant Prod, 9 (1), pp. 13-19; Vallarino, J.G., Osorio, S., Organic acids (2019) Postharvest physiology and biochemistry of fruits and vegetables, pp. 207-223. , Yahia, E.M. and A. Carrillo-López (eds). Elsevier, Kidlington, UK; Wang, Y., Guo, L., Zhao, X., Zhao, Y., Hao, Z., Luo, H., Yuan, Z., Advances in mechanisms and omics pertaining to fruit cracking in horticultural plants (2021) Agronomy, 11 (6), p. 1045; Winkler, A., Knoche, M., Calcium uptake through skins of sweet cherry fruit: Effects of different calcium salts and surfactants (2021) Sci. Hortic, 276, p. 109761; Wojcik, P., Quality and ‘Conference’ pear storability as influenced by preharvest sprays of calcium chloride (2012) J. Plant Nutr, 35 (13), pp. 1970-1983; Yahia, E.M., Carrillo-López, A., Bello-Pérez, L.A., Carbohydrates (2019) Postharvest physiology and biochemistry of fruits and vegetables, pp. 175-205. , Yahia, E.M. and A. Carrillo-López (eds). Elsevier, Kidlington, UK; Zhou, H.M., Zhang, F.C., Roger, K., Wu, L.F., Gong, D.Z., Zhao, N., Yin, D.X., Li, Z.J., Peach yield and fruit quality is maintained under mild deficit irrigation in semi-arid China (2017) J. Integr. Agric, 16 (5), pp. 1173-1183</t>
  </si>
  <si>
    <t>Álvarez-Herrera, J.G.; Universidad Pedagógica y Tecnológica de Colombia, Colombia; email: javier.alvarez@uptc.edu.co</t>
  </si>
  <si>
    <t>2-s2.0-85143762562</t>
  </si>
  <si>
    <t>Rozane D.E., Prado R.M., De Paula B.V., Dos Santos E.M.H., Natale W., De Amorim D.A., Hernandes A.</t>
  </si>
  <si>
    <t>Accumulation of nutrients during the formation of star fruit cultivars under different irrigation regimes [Acumulación de nutrientes durante la formación de cultivares de carambola en formación bajo regímenes de irrigación]</t>
  </si>
  <si>
    <t>e13623</t>
  </si>
  <si>
    <t>10.17584/rcch.2022v16i2.13832</t>
  </si>
  <si>
    <t>https://www.scopus.com/inward/record.uri?eid=2-s2.0-85143761386&amp;doi=10.17584%2frcch.2022v16i2.13832&amp;partnerID=40&amp;md5=634b64d65f9a3b389dea384e7c356e50</t>
  </si>
  <si>
    <t>São Paulo State University (UNESP), Department of Agronomy, Registro, Brazil; Federal University of Santa Maria (UFSM), Department of Soil Science, Santa Maria, Brazil; Federal University of Ceara (UFC), Department of Fitotecnia, Fortaleza, Brazil; Agricultural Research Company of Minas Gerais (EPAMIG), Experimental Farm of Caldas, Uberaba, Brazil; Coordination of Integral Technical Assistance (CATI), Batatais Agriculture House, Batatais, Brazil</t>
  </si>
  <si>
    <t>Rozane, D.E., São Paulo State University (UNESP), Department of Agronomy, Registro, Brazil; Prado, R.M., São Paulo State University (UNESP), Department of Agronomy, Registro, Brazil; De Paula, B.V., Federal University of Santa Maria (UFSM), Department of Soil Science, Santa Maria, Brazil; Dos Santos, E.M.H., São Paulo State University (UNESP), Department of Agronomy, Registro, Brazil; Natale, W., Federal University of Ceara (UFC), Department of Fitotecnia, Fortaleza, Brazil; De Amorim, D.A., Agricultural Research Company of Minas Gerais (EPAMIG), Experimental Farm of Caldas, Uberaba, Brazil; Hernandes, A., Coordination of Integral Technical Assistance (CATI), Batatais Agriculture House, Batatais, Brazil</t>
  </si>
  <si>
    <t>Nutrient accumulation during the formation of star fruit (Averrhoa carambola) trees can be affected by the water regime and by the cultivar, but the details are not yet known for this species. The aim of this study was to evaluate the nutrient uptake of two star fruit cultivars in the formation phase under two irrigation regimes. The experiment was developed with a completely randomized design, with subdivided plots, with two irrigation levels (with and without irrigation) as plots, and two star fruit cultivars as subplots (‘B-10’ and ‘Golden Star’) and seven collection times from 0 to 720 days after transplanting (DAT) into the field as sub-subplots with six replicates. Nutrient uptake was evaluated in stem and leaves, and it was possible to observe that nutrient uptake and the average accumulation rate followed the dry matter mass accumulation of star fruit trees in formation. Nutrient uptake by shoots at 720 DAT differed for the Golden Star cultivar in the rainfed regime and for the B-10 cultivar in both irrigation regimes. There was no difference and followed the sequence Ca &gt; K &gt; N &gt; Mg &gt; S &gt; P &gt; Mn &gt; Fe &gt; Zn &gt; B &gt; Cu, and for Golden Star cultivar in the irrigated regime, the accumulation sequence was Ca&gt; K&gt; N&gt; Mg&gt; Mn&gt; P&gt; S&gt; Fe&gt; Zn &gt; B&gt; Cu. The highest accumulation occurred in the irrigated regime regardless of cultivar. Golden Star cultivar accumulated, on average, larger amounts of N, P, K, Mg, S, Fe and Mn. © 2022, Universidad Pedagogica y Tecnologica de Colombia. All rights reserved.</t>
  </si>
  <si>
    <t>Averrhoa carambola; nutrient uptake; nutritional requirement; water deficit</t>
  </si>
  <si>
    <t>Fundação de Amparo à Pesquisa do Estado de São Paulo, FAPESP: 2006 / 55569-4, 2006 / 55570-2</t>
  </si>
  <si>
    <t>To FAPESP, for granting the financial aid (2006 / 55570-2 and 2006 / 55569-4). Part of the doctoral thesis of the first author.</t>
  </si>
  <si>
    <t>Adiele, J.G., Schut, A.G.T., Ezui, K.S., Pypers, P., Gi-lle, K.E., Dynamics of N-P-K demand and uptake in cassava (2021) Agron. Sustain. Dev, 41, p. 1. , https://doi.org/10.1007/s13593-020-00649-w; Alva, A.K., Hodges, T., Boydston, R.A., Collins, H.P., Dry matter and nitrogen accumulations and partitioning in two potato cultivars (2002) J. Plant. Nutr, 25 (8), pp. 1621-1630. , https://doi.org/10.1081/PLN-120006047; Amijee, F., Barraclouch, P.B., Tinker, P.B., Mode-ling phosphorus uptake and utilization by plants (1991) Phosphorous nutrition of grain legumes in the semi-arid tropics, pp. 63-75. , Johansen, C., K.K. Lee, and K.L. Sahrawat (eds). International Crops Research Insti-tute for the Semi-Arid Tropics, Patancheru, India; Aquino, L.A., Aquino, R.F.B.A., Silva, T.C., Santos, D.F., Berger, P.G., Aplicação do fósforo e da irrigação na absorção e exportação de nutrientes pelo algodoei-ro (2012) Rev. Bras. Eng. Agríc. Ambient, 16 (4), pp. 355-361. , https://doi.org/10.1590/S1415-43662012000400004; Augostinho, L.M.D., Prado, R.M., Rozane, D.E., Frei-tas, N., Acúmulo de massa seca e marcha de absor-ção de nutrientes em mudas de goiabeira “Pedro Sato (2008) Bragantia, 67, pp. 577-585. , https://doi.org/10.1590/S0006-87052008000300004; Bataglia, O.C., Furlani, A.M.C., Teixeira, J.P.F., Furlani, P.R., Gallo, J.R., (1983) Métodos de análise química de plantas, , Instituto Agronômico Campinas, Campinas, Brazil; Brunetto, G., Ceretta, C.A., Melo, G.W.B., Girotto, E., Ferreira, P.A.A., Lourenzi, C.R., Rosa Couto, R., Carranca, C., Contribution of nitrogen from urea applied at different rates and times on grapevine nutrition (2016) Sci. Hortic, 207, pp. 1-6. , https://doi.org; Brunetto, G., Ricachenevsky, F.K., Stefanello, L.O., Pau-la, B.V., Souza Kulmann, M.S., Tassinari, A., Melo, G.W.B., Bem, B.P., Diagnosis and management of nutrient constraints in grape (2020) Fruit crops: Diagnosis and management of nutrient constraints, pp. 693-710. , https://doi.org/10.1016/B978-0-12-818732-6.00047-2, Srivas-tava, A.K. and C. Hu (eds). Elsevier; Buitrago, S., Leandro, M., Fischer, G., Symptoms and growth components of feijoa (Acca sellowiana [O. Berg] Burret) plants in response to the missing elements N, P, and K (2021) Rev. Colomb. Cienc. Hor-tic, 15 (3), p. e13159. , https://doi.org/10.17584/rcch.2021v15i3.13159; Donadio, L.C.R.M., Silva, J.A.A., Araújo Prado, P.S.R., (2001) Caramboleira (Averrhoa carambola L.), , Sociedade Brasileira de Fruticultura, Jaboticabal, Brazil; (2018) Sistema Brasileiro de Classificação de Solos, , 5th ed. Brasilia; Epstein, E., Bloom, A.J., (2006) Nutrição mineral de plan-tas: princípios e perspectivas, , 2nd ed. Londrina, Brazil; Etienne Parent, L., Natale, W., Brunetto, G., Ma-chine learning, compositional and fractal models to diagnose soil quality and plant nutrition (2021) Soil science-emer-ging technologies, global perspectives and applica-tions, pp. 1-23. , https://doi.org/10.5772/intechopen.98896, Aide, M.T. and I. Braden (eds). IntechOpen; Franco, C.F., Prado, R.M., Brachirolli, L.F., Roza-ne, D.E., Curva de crescimento e marcha de absor-ção de macronutrientes em mudas de goiabeira (2007) Rev. Bras. Ciênc. Solo, 31 (6), pp. 1429-1437. , https://doi.org/10.1590/S0100-06832007000600020; Freitas, N., Prado, R.M., Rozane, D.E., Torres, M.H., Arouca, M.B., Marcha de absorção de nutrientes e cres-cimento de mudas de caramboleira enxertada com a cul-tivar nota-10 (2011) Semin. Ciênc. Agr, 32 (4), pp. 1231-1242. , https://doi.org/10.5433/1679-0359.2011v32n4p1231; Jiménez-Suancha, S.C., Alvarado, O.H., Bala-guera-López, H.E., Fluorescencia como indicador de estrés en Helianthus annuus L. Una revisión (2015) Rev. Co-lomb. Cienc. Hortic, 9 (1), pp. 149-160. , https://doi.org/10.17584/rcch.2015v9i1.3753; Libardi, S.A.M., (1992) Uso prático do tensiômetro pelo agri-cultor irrigante, , Instituto de Pesquisas Tecnológicas, Sao Paulo, Brazil; Mahouachi, J., Changes in nutrient concentrations and leaf gas exchange parameters in banana plantlets under gradual soil moisture depletion (2009) Sci. Hor-tic, 120 (4), pp. 460-466. , https://doi.org/10.1016/j.scienta.2008.12.002; Medyouni, I., Zouaoui, R., Rubio, E., Serino, S., Ahmed, H.B., Bertin, N., Effects of water deficit on leaves and fruit quality during the development period in tomato plant (2021) Food Sci. Nutr, 9 (4), pp. 1949-1960. , https://doi.org/10.1002/fsn3.2160; Molina-Montenegro, M.A., Zurita-Silva, A., Oses, R., Efecto de la disponibilidad hídrica sobre el desempeño fisiológico y productivo de un cultivo de lechuga (Lactuca sativa) (2011) Cienc. Inv. Agr, 38 (1), pp. 65-74; Natale, W., Prado, R.M., Rozane, D.E., Romualdo, L.M., Souza, H.A., Hernandes, A., Resposta da carambo-leira à calagem (2008) Rev. Bras. Frutic, 30 (4), pp. 1136-1145. , https://doi.org/10.1590/S0100-29452008000400048; Ondo, J.A., Biyogo, R.M., Ollui-Mboulou, M., Eba, F., Omva-Zue, J., Macro-nutrients in edible parts of food crops in the region of Moanda, Gabon (2012) Agric. Sci, 3 (5), pp. 697-701. , https://doi.org/10.4236/as.2012.35084; Orduz-Ríos, F., Suárez-Parra, K., Serrano-Cely, P.A., Ser-rano-Agudelo, P.C., Forero-Pineda, N., Evaluation of N-P-K-Ca-Mg dynamics in plum (Prunus salicina Lindl.) var. Horvin under nursery conditions (2020) Rev. Co-lomb. Cienc. Hortic, 14 (3), pp. 334-341. , https://doi.org/10.17584/rcch.2020v14i3.11941; Raij, B., Andrade, J.C., Cantarella, H., Quaggio, J.A., (2001) Análise química para a avaliação da fertilidade de solos tropicais, , Instituto Agronômico de Campinas, Campinas, Brazil; Rozane, D.E., Natale, W., Prado, R.M., Barbosa, J.C., Tamanho da amostra foliar para avaliação do estado nutricional de goiabeiras com e sem irrigação (2009) Rev. Bras. Eng. Agríc. Ambient, 13 (3), pp. 233-239. , https://doi.org/10.1590/S1415-43662009000300003; Rozane, D.E., Prado, R.M., Natale, W., Romualdo, L.M., Souza, H.A., Silva, S.H.M.G., Produção de mudas de caramboleiras ‘B-10’ e ‘Golden Star’: II-marcha de absorção e acúmulo de nutrientes (2011) Rev. Bras. Fru-tic, 33 (4), pp. 1308-1321. , https://doi.org/10.1590/S0100-29452011000400032; Silva, A.O., Jaenisch, B.R., Ciampitti, I.A., Lollato, R.P., Wheat nitrogen, phosphorus, potassium, and sulfur uptake dynamics under different management practices (2021) Agron. J, 113 (3), pp. 2752-2769. , https://doi.org/10.1002/agj2.20637; Stefanello, L.O., Schwalbert, R., Schwalbert, R.A., De Conti, L., Kulmann, M.S.S., Garlet, L.P., Silveira, M.L.R., Bru-netto, G., Nitrogen supply method affects growth, yield and must composition of young grape vines (Vitis vinifera L. cv Alicante Bouschet) in southern Brazil (2020) Sci. Hortic, 261, p. 108910. , https://doi.org</t>
  </si>
  <si>
    <t>Rozane, D.E.; São Paulo State University (UNESP), Brazil; email: danilo.rozane@unesp.br</t>
  </si>
  <si>
    <t>2-s2.0-85143761386</t>
  </si>
  <si>
    <t>Gómez-Duque A.M., Morales-Londoño C.S., Hurtado-Salazar A., Ceballos-Aguirre N.</t>
  </si>
  <si>
    <t>58001513300;58000654500;56922237500;55681593700;</t>
  </si>
  <si>
    <t>Nitrogen-fixing bacteria and nitrogen fertilization on economic feasibility of tomato [Bacterias fijadoras de nitrógeno y fertilización nitrogenada sobre la viabilidad económica del tomate]</t>
  </si>
  <si>
    <t>10.17584/rcch.2022v16i2.13623</t>
  </si>
  <si>
    <t>https://www.scopus.com/inward/record.uri?eid=2-s2.0-85143750853&amp;doi=10.17584%2frcch.2022v16i2.13623&amp;partnerID=40&amp;md5=6317f64b6ce1fcf969fabd70c1c72f28</t>
  </si>
  <si>
    <t>Universidad de Caldas, Departamento de Producción Agropecuaria, Manizales, Colombia; Universidad de Pamplona, Departamento de Agronomía, Pamplona, Colombia</t>
  </si>
  <si>
    <t>Gómez-Duque, A.M., Universidad de Caldas, Departamento de Producción Agropecuaria, Manizales, Colombia; Morales-Londoño, C.S., Universidad de Caldas, Departamento de Producción Agropecuaria, Manizales, Colombia; Hurtado-Salazar, A., Universidad de Pamplona, Departamento de Agronomía, Pamplona, Colombia; Ceballos-Aguirre, N., Universidad de Caldas, Departamento de Producción Agropecuaria, Manizales, Colombia</t>
  </si>
  <si>
    <t>To increase the availability of nutrients and improve crop productivity, chemical fertilizers are intro-duced to the soil, although the biological fixation of nitrogen contributes globally with 180 million met-ric tons of ammonia per year, which is comparable to current contribution of anthropogenic nitrogen. In this way, the present study aimed to evaluate the effect of the interaction of Azospyrillum brasilense and Bradyrhizobium japonicum with different levels of nitrogen on the yield and economic viability of the tomato crop. An experimental design of divided plots was used, with the nitrogen fertilization dose being the largest plot (100% of the dose, 50% of the dose and 0% of the dose) and the minor plot of nitrogen-fixing bacteria (100 cc ha-1, 200 cc ha-1, 300 cc ha-1) with four random internal blocks and five plants as experimental unit. The variables evaluated were: production per plant, yield/ha, number of fruits/plant and average fruit weight. Finally, the economic analysis was performed according to the combination of the treatments. The results obtained showed that the mixture of nitrogen-fixing bacteria (BFN) (Azospyrillum brasilense and Bradyrhizobium japonicum) at a dose of 100 cc ha-1, significantly increased tomato production when nitrogen (urea) was not applied. The application of BFN in combination with adequate levels of nitrogen favors the sustainability of the tomato. © 2022, Universidad Pedagogica y Tecnologica de Colombia. All rights reserved.</t>
  </si>
  <si>
    <t>biofertilizers; biological nitrogen fixation; Climate Change; sustainable agriculture</t>
  </si>
  <si>
    <t>Baena, D., Vallejo, F., Estrada, E., Avance genera-cional y selección de líneas promisorias de tomate (Ly-copersicon esculentum Mill.) tipos chonto y milano (2003) Acta Agron, 52 (1), pp. 1-9; Beneduzi, A., Moreira, F., Costa, P.B., Vargas, L.K., Lis-boa, B.B., Favreto, R., Baldani, J.I., Passaglia, L.M.P., Diversity and plant growth promoting evaluation abi-lities of bacteria isolated from sugarcane cultivated in the South of Brazil (2013) Appl. Soil Ecol, 63, pp. 94-104. , https://doi.org; Benintende, S., Uhrich, W., Herrera, M., Gangge, F., Ster-ren, M., Benintende, M., Comparación entre coinoculación con Bradyrhizobium japonicum y Azospiri-llum brasilensee inoculación simple con Bradyrhizobium japonicum en la nodulación, crecimiento y acumu-lación de N en el cultivo de soja (2010) Agriscientia, 27 (2), pp. 71-77; Bhardwaj, D., Ansari, M.W., Sahoo, R.K., Tuteja, N., Biofertilizers function as key player in sustainable agriculture by improving soil fertility, plant tolerance and crop productivity (2014) Microb. Cell Fact, 13, p. 66. , https://doi.org/10.1186/1475-2859-13-66; Burbano, E., Vallejo, F.A., Producción de líneas de tomate “chonto”, Solanum lycopersicum Mill., con expresión del gen sp responsable del crecimiento de-terminado (2017) Rev. Colomb. Cienc. Hortic, 11 (1), pp. 63-71. , https://doi.org/10.17584/rcch.2017v11i1.5786; Ceballos, N., Vallejo, F.A., Evaluating the fruit production and quality of cherry tomato (Solanum lyco-persicum var. cerasiforme) (2012) Rev. Fac. Nac. Agr. Medellín, 65 (2), pp. 6593-6604; Ceballos-Aguirre, N., Restrepo, G.M., Hurtado-Salazar, A., Cuellar, J.A., Sánchez, O.J., Economic feasibility of Gluconacetobacter diazotrophicus in carrot culti-vation (2022) Rev. Ceres, 69 (1), pp. 40-47. , https://doi.org/10.1590/0034-737x202269010006; Chattopadhyay, P., Banerjee, G., Handique, P.J., Use of an abscisic acid-producing Bradyrhizobium japonicum isolate as biocontrol agent against bacte-rial wilt disease caused by Ralstonia solanacearum (2022) J. Plant Dis. Prot, 2022. , https://doi.org/10.1007/s41348-022-00604-9; (2021) Sistema de Información de Precios y Abastecimiento del Sector Agropecuario (SIPSA), , https://www.dane.gov.co/index.php/estadisticas-por-tema/agropecuario/sistema-de-infor-macion-de-precios-sipsa, consulted: october, 2021; (2017) The future of food and agriculture – Trends and challenges, , FAO, Rome; Fornasero, V.L., Toniutti, M.A., Evaluación de la nodulación y rendimiento del cultivo de soja con la aplicación de distintas formulaciones de inoculantes (2015) FAVE Secc. Cienc. Agrar, 14 (1), pp. 79-90. , https://doi.org/10.14409/fa.v14i1/2.5708; Garzón, J.E., Cárdenas, E.A., Emisiones antropogé-nicas de amoniaco, nitratos y óxido nitroso: compues-tos nitrogenados que afectan el medio ambiente en el sector agropecuario colombiano (2013) Rev. Fac. Med. Vet. Zoot, 60 (2), pp. 121-138; (2021) Recomendaciones nutricionales para tomate en campo abierto, acolchado o túnel e invernadero, , https://www.haifa-group.com/#tomato, consulted: October, 2021; Herrera, H.J., Hurtado-Salazar, A., Ceballos-Aguirre, N., Estudio técnico y económico del tomate tipo ce-reza élite (Solanum lycopersicum L. var. cerasiforme) bajo condiciones semicontroladas (2016) Rev. Colomb. Cienc. Hortic, 9 (2), pp. 290-300. , https://doi.org/10.17584/rcch.2015v9i2.4185; Hou, E., Chen, C., McGroddy, M.E., Wen, D., Nutrient limitation on ecosystem productivity and pro-cesses of mature and old-growth subtropical forests in China (2012) PLoS ONE, 7 (12), p. e52071. , https://doi.org/10.1371/journal.pone.0052071; Jaramillo, J.E., Sánchez, G.D., Rodríguez, V.P., Agular, P.A., Gil, L.F., Pinzón, L.M., García, M.C., Guzmán, M., (2012) Tecnología para el cultivo de tomate bajo condiciones protegidas, , CORPOICA, Bogota; Jiaying, M.A., Tingting, C., Jie, L., Weimeng, F., Baohua, F., Guangyan, L., Hubo, L., Guanfu, F., Functions of nitrogen, phosphorus and potassium in energy status and their influences on rice growth and development (2022) Rice Sci, 29 (2), pp. 166-178. , https://doi.org; Moya, C., Álvarez, M., Plana, D., Florido, M., Lawrence, C.J.B., Evaluación y selección de nuevas líneas de tomate (Lycopersicon esculentum Mill.) con altos rendimientos y frutos de alta calidad (2005) Cult. Trop, 26 (3), pp. 39-43; Okumoto, S., Pilot, G., Amino acid export in plants: a missing link in nitrogen cycling (2011) Mol. Plant, 4 (3), pp. 453-463. , https://doi.org/10.1093/mp/ssr003; Pérez-Rodriguez, M.M., Pontin, M., Lipinski, V., Bottini, R., Piccoli, P., Cohen, A.C., Pseudomonas fluorescens and Azospirillum brasilense increase yield and fruit quality of tomato under field conditions (2020) J. Soil Sci. Plant Nutr, 20, pp. 1614-1624. , https://doi.org/10.1007/s42729-020-00233-x; Rees, D.C., Tezcan, F.A., Haynes, C.A., Walton, M.Y., An-drade, S., Einsle, O., Howard, J.B., Structural ba-sis of biological nitrogen fixation (2005) Phil. Trans. R. Soc. A, 363 (1829), pp. 971-984. , https://doi.org/10.1098/rsta.2004.1539; Restrepo, G.M., Sanchez, O.J., Marulanda, S.M., Galea-no, N.F., Taborda, G., Evaluation of plant-growth promoting properties of Gluconacetobacter diazotro-phicus and Gluconacetobacter sacchari isolated from sugarcane and tomato in West Central region of Co-lombia (2017) Afr. J. Biotechnol, 16 (30), pp. 1619-1629. , ht-tps://doi.org/10.5897/AJB2017.16016; Sanjuán, J., Moreno, N., Aplicación de insumos biológicos: una oportunidad para la agricultura soste-nible y amigable con el medioambiente (2010) Rev. Colomb. Biotecnol, 12 (1), pp. 4-7; Singh, J.S., Pandey, V.C., Singh, D.P., Efficient soil microorganisms: a new dimension for sustainable agriculture and environmental development (2011) Agric. Ecosyst. Environ, 140 (3-4), pp. 339-353. , https://doi. org; Suárez, O., Hurtado-Salazar, A., Ceballos-Aguirre, N., Número de racimos y la sostenibilidad eco-nómica del tomate bajo condiciones semicontrola-das (2018) Temas Agrarios, 23 (1), pp. 55-61. , https://doi.org/10.21897/rta.v23i1.1144; Sumraj, Padhye, L.P., Influence of surface che-mistry of carbon materials on their interactions with inorganic nitrogen contaminants in soil and water (2017) Chemosphere, 184, pp. 532-547. , https://doi.org/10.1016/j.chemosphere.2017.06.021</t>
  </si>
  <si>
    <t>Gómez-Duque, A.M.; Universidad de Caldas, Colombia; email: ana.gomez.duque@gmail.com</t>
  </si>
  <si>
    <t>2-s2.0-85143750853</t>
  </si>
  <si>
    <t>Cano-Gallego L.E., Minchalá-Buestan N., Loaiza-Ruíz R.A., Cartagena-Valenzuela J.R., Córdoba-Gaona O.J.</t>
  </si>
  <si>
    <t>57812389500;58001084600;58000654300;55263594100;57200326430;</t>
  </si>
  <si>
    <t>Gas exchange and chlorophyll fluorescence in spearmint (Mentha spicata L.) leaves influenced by mineral nutrition [Intercambio gaseoso y fluorescencia de la clorofila en menta (Mentha spicata L.) influenciados por la nutrición mineral]</t>
  </si>
  <si>
    <t>e13685</t>
  </si>
  <si>
    <t>10.17584/rcch.2022v16i1.13685</t>
  </si>
  <si>
    <t>https://www.scopus.com/inward/record.uri?eid=2-s2.0-85143749757&amp;doi=10.17584%2frcch.2022v16i1.13685&amp;partnerID=40&amp;md5=dc38aa553ada72a0ac10f543a6f67733</t>
  </si>
  <si>
    <t>Corporación Colombiana de Investigación Agropecuaria – Agrosavia, Centro de investigación La Selva, Rionegro, Colombia; Universidad Nacional de Colombia, Facultad de Ciencias Agrarias, Medellín, Colombia</t>
  </si>
  <si>
    <t>Cano-Gallego, L.E., Corporación Colombiana de Investigación Agropecuaria – Agrosavia, Centro de investigación La Selva, Rionegro, Colombia; Minchalá-Buestan, N., Universidad Nacional de Colombia, Facultad de Ciencias Agrarias, Medellín, Colombia; Loaiza-Ruíz, R.A., Universidad Nacional de Colombia, Facultad de Ciencias Agrarias, Medellín, Colombia; Cartagena-Valenzuela, J.R., Universidad Nacional de Colombia, Facultad de Ciencias Agrarias, Medellín, Colombia; Córdoba-Gaona, O.J., Universidad Nacional de Colombia, Facultad de Ciencias Agrarias, Medellín, Colombia</t>
  </si>
  <si>
    <t>The production of export-quality spearmint is limited in Colombia because of low production volumes, poor compliance with good agricultural practices, nutrient availability, and fertilization management. This study aimed to identify how NPK fertilization influences photosynthesis and photochemistry in Mentha plants during vegetative growth in a mesh house. Increasing doses of chemical fertilization were evaluated with a 10-30-10 (N-P-K) formula at 0, 60, 90, 120, and 180 kg ha-1. The evaluated variables were net photosynthesis (A), transpiration (E), stomatal conductance (gs), leaf temperature (Tleaf), quantum yield (Qy), Non-photoche-mical quenching (NPQ), photochemical quenching (qP), and dry matter (Dm). The highest A, Qy, E, and gs values were in the plants treated with high NPK doses; the NPQ and qP increased in the plants with low NPK doses. These findings elucidated the influence of NPK on photosynthesis and other physiological parameters in the growth and development of spearmint. © 2022, Universidad Pedagogica y Tecnologica de Colombia. All rights reserved.</t>
  </si>
  <si>
    <t>aromatic plants; Lamiaceae; perennial herb; plant nutrition</t>
  </si>
  <si>
    <t>(2021) Estadísticas Agropecuarias-Agrícola, , ht-tps://www.agronet.gov.co/estadistica/paginas/home.aspx?cod=1, Consulted: September, 2021; Battie-Laclau, P., Laclau, J.-P., Beri, C., Mietton, L., Muniz, M.R.A., Arenque, B.C., Piccolo, M.C., Nouvellon, Y., Photosynthetic and anatomical responses of Eucalyptus grandis leaves to potassium and sodium supply in a field experiment (2014) Plant Cell Environ, 37, pp. 70-81; Brown, B., Hart, J.M., Wescott, M.P., Christensen, N.W., The critical role of nutrient management in mint production (2003) Better Crops, 87 (4), pp. 9-11; Carstensen, A., Szameitat, A.E., Frydenvang, J., Hus-ted, S., Chlorophyll a fluorescence analysis can de-tect phosphorus deficiency under field conditions and is an effective tool to prevent grain yield reductions in spring barley (Hordeum vulgare L.) (2019) Plant Soil, 434 (1), pp. 79-91; Cendrero-Mateo, M.P., Carmo-Silva, A.E., Porcar-Castell, A., Hamerlynck, E.P., Papuga, S.A., Moran, M.S., Dynamic response of plant chlorophyll fluorescence to light, water and nutrient availability (2015) Funct. Plant Biol, 42 (8), pp. 746-757; Cirlini, M., Mena, P., Tassotti, M., Herrlinger, K.A., Nie-man, K.M., Dall’Asta, C., Del Rio, D., Phenolic and volatile composition of a dry spearmint (Mentha spi-cata L.) extract (2016) Molecules, 21 (8), p. 1007; Chen, C.-T., Lee, C.-L., Yeh, D.-M., Effects of nitrogen, phosphorus, potassium, calcium, or magnesium deficiency on growth and photosynthesis of Eustoma (2018) HortScience, 53 (6), pp. 795-798; Chrysargyris, A., Nikolaidou, E., Stamatakis, A., Tzortzakis, N., Vegetative, physiological, nutritional and antioxidant behavior of spearmint (Mentha spicata L.) in response to different nitrogen supply in hydroponics (2017) J. Appl. Res. Med. Aromat. Plants, 6, pp. 52-61; Chrysargyris, A., Petropoulos, S.A., Fernandes, Â, Barros, L., Tzortzakis, N., Ferreira, I.C.F.R., Effect of phosphorus application rate on Mentha spicata L. grown in deep flow technique (DFT) (2019) Food Chem, 276, pp. 84-92; Chrysargyris, A., Solomou, M., Petropoulos, S.A., Tzortzakis, N., Physiological and biochemical attributes of Mentha spicata when subjected to saline conditions and cation foliar application (2019) J. Plant Phy-siol, 232, pp. 27-38; DaMatta, F.M., Loos, R.A., Silva, E.A., Loureiro, M.E., Limitations to photosynthesis in Coffea canepho-ra as a result of nitrogen and water availability (2002) J. Plant Physiol, 159, pp. 975-981; De Angeli, A., Monachello, D., Ephritikhine, G., Frachis-se, J.M., Thomine, S., Gambale, F., Barbier-Brygoo, H., The nitrate/proton antiporter AtCLCa mediates nitrate accumulation in plant vacuoles (2006) Nature, 442, pp. 939-942; Demmig-Adams, B., Koh, S.-C., Cohu, C.M., Muller, O., Stewart, J.J., Adams, W.W., Non-pho-tochemical fluorescence quenching in contrasting plant species and environments (2014) Non-Photochemical quenching and energy dissipation in plants, algae and cyanobac-teria. Advances in Photosynthesis and Respiration, 40, pp. 531-552. , Demmig-Adams, B., G. Garab, W. Adams III, and Govindjee (eds). Springer, Dordrecht, The Netherlands; Du, Q., Zhao, X.-H., Xia, L., Jiang, C.J., Wang, X.G., Han, Y., Wang, J., Yu, H.-Q., Effects of potassium deficiency on photosynthesis, chloroplast ultrastruc-ture, ROS, and antioxidant activities in maize (Zea mays L.) (2019) J. Integr. Agric, 18 (2), pp. 395-406; Engels, C., Kirkby, E., White, P., Mineral nutri-tion, yield and source: sink relationships (2012) Marschner’s mineral nutrition of higher plants, pp. 85-133. , Marschner, P. (ed). Elsevier, London; Frydenvang, J., van Maarschalkerweerd, M., Carstensen, A., Mundus, S., Schmidt, S.B., Pedas, P.R., Laursen, K.H., Husted, S., Sensitive detection of phosphorus deficiency in plants using chlorophyll a fluorescence (2015) Plant Physiol, 169 (1), pp. 353-361; Gerardeaux, E., Jordan-Meille, L., Pellerin, S., Radiation interception and conversion to biomass in two potassium-deficient cotton crops in South Benin (2009) J. Agric. Sci, 147 (2), pp. 155-168; Guidi, L., Lo Piccolo, E., Landi, M., Chlorophyll fluorescence, photoinhibition and abiotic stress: does it make any difference the fact to be a C3 or C4 species? (2019) Front. Plant Sci, 10, p. 174; Hawkesford, M., Horst, W., Kichey, T., Lambers, H., Schjoerring, J., Møller, I.S., White, P., Functions of macronutrients (2012) Marschner’s mineral nutrition of higher plants, pp. 135-189. , Marsch-ner, P. (ed). 3rd ed. Elsevier, London; Hernández, I., Munné-Bosch, S., Linking phosphorus availability with photo-oxidative stress in plants (2015) J. Exp. Bot, 66, pp. 2889-2900; Hou, W., Yan, J., Jákli, B., Lu, J., Ren, T., Cong, R., Li, X., Synergistic effects of nitrogen and potassium on quantitative limitations to photosynthesis in rice (Oryza sativa L.) (2018) J. Agric. Food Chem, 66 (20), pp. 5125-5132; Hu, W., Ren, T., Meng, F., Cong, R., Li, X., White, P.J., Lu, J., Leaf photosynthetic capacity is regulated by the interaction of nitrogen and potassium through coor-dination of CO2 diffusion and carboxylation (2019) Physiol. Plant, 167 (3), pp. 418-432; Huang, Z.A., Jiang, D.A., Yang, Y., Sun, J.W., Jin, S.H., Effects of nitrogen deficiency on gas exchange, chlorophyll fluorescence, and antioxidant enzymes in leaves of rice plants (2004) Photosynthetica, 42 (3), pp. 357-364; Hubbart, S., Smillie, I.R.A., Heatle, M., Swarup, R., Foo, C.C., Zhao, L., Murchie, E.H., Enhanced thylakoid photoprotection can increase yield and canopy radiation use efficiency in rice (2018) Commun. Biol, 1, p. 22; Jin, S.H., Huang, J.Q., Li, X.Q., Zheng, B.S., Wu, J.S., Wang, Z.J., Liu, G.H., Chen, M., Effects of potassium supply on limitations of photosynthesis by mesophyll diffusion conductance in Carya cathayensis (2011) Tree Physiol, 31, pp. 1142-1151; Kalaji, H.M., Jajoo, A., Oukarroum, A., Brestic, M., Ziv-cak, M., Samborska, I.A., Cetner, M.D., Ladle, R.J., Chlorophyll a fluorescence as a tool to monitor physiological status of plants under abiotic stress conditions (2016) Acta Physiol. Plant, 38 (4), p. 102; Karkanis, A., Lykas, C., Liava, V., Bezou, A., Petropoulos, S., Tsiropoulos, N., Weed interference with pe-ppermint (Mentha x piperita L.) and spearmint (Mentha spicata L.) crops under different herbicide treatments: effects on biomass and essential oil yield (2017) J. Sci. Food Agric, 98 (1), pp. 43-50; Kromdijk, J., Głowacka, K., Leonelli, L., Gabilly, S.T., Iwai, M., Niyogi, K.K., Long, S.P., Improving photosynthesis and crop productivity by accelerating recovery from photoprotection (2016) Science, 354 (6314), pp. 857-861; Lima, J.D., Mosquim, P.R., Da Matta, F.M., Leaf gas exchange and chlorophyll fluorescence parameters in Phaseolus vulgaris as affected by nitrogen and phosphorus deficiency (1999) Photosynthetica, 36 (1), pp. 113-121; Lu, Z., Lu, J., Pan, Y., Lu, P., Li, X., Cong, R., Ren, T., Anatomical variation of mesophyll conductance under potassium deficiency has a vital role in determi-ning leaf photosynthesis (2016) Plant Cell Environ, 39 (11), pp. 2428-2439; Lu, C., Zhang, J., Photosynthetic CO2 assimilation, chlorophyll fluorescence and photoinhibition as affected by nitrogen deficiency in maize plants (2000) Plant Sci, 151 (2), pp. 135-143; Malhotra, H., Vandana, S. Sharma, Pandey, R., Phosphorus nutrition: plant growth in response to deficiency and excess (2018) Plant nutrients and abiotic stress tolerance, pp. 171-190. , Hasa-nuzzaman, M., M. Fujita, H. Oku, K. Nahar, and B. Hawrylak-Nowak (eds). Springer, Singapore; Martineau, E., Domec, J.-C., Bosc, A., Dannoura, M., Gi-bon, Y., Bénard, C., Jordan-Meille, L., The role of potassium on maize leaf carbon exportation under drought condition (2017) Acta Physiol. Plant, 39, p. 219; Mu, X., Chen, Y., The physiological response of photosynthesis to nitrogen deficiency (2021) Plant Physiol. Bio-chem, 158, pp. 76-82; Mu, X., Chen, Q., Wu, X., Chen, F., Yuan, L., Mi, G., Gibberellins synthesis is involved in the reduction of cell flux and elemental growth rate in maize leaf under low nitrogen supply (2018) Environ. Exp. Bot, 150, pp. 198-208; Muñoz-Huerta, R.F., Guevara-Gonzalez, R.G., Contre-ras-Medina, L.M., Torres-Pacheco, I., Prado-Olivarez, J., Ocampo-Velazquez, R.V., A review of methods for sensing the nitrogen status in plants: advantages, disadvantages and recent advances (2013) Sensors, 13 (8), pp. 10823-10843; Murchie, E.H., Ruban, A.V., Dynamic non-pho-tochemical quenching in plants: from molecular mechanism to productivity (2020) Plant J, 101 (4), pp. 885-896; Oosterhuis, D.M., Loka, D.A., Raper, T.B., Potassium and stress alleviation: Physiological functions and management of cotton (2013) J. Plant Nutr. Soil Sci, 176 (3), pp. 331-343; Pan, Y., Lu, Z., Lu, J., Li, X., Cong, R., Ren, T., Effects of low sink demand on leaf photosynthesis under potassium deficiency (2017) Plant Physiol Biochem, 113, pp. 110-121; Pandey, R., Zinta, G., AbdElgawad, H., Ahmad, A., Jain, V., Janssens, I.A., Physiological and molecular alterations in plants exposed to high [CO2] under phosphorus stress (2015) Biotechnol. Adv, 33 (3-4), pp. 303-316; Pantin, F., Simonneau, T., Rolland, G., Dauzat, M., Muller, B., Control of leaf expansion: A develop-mental switch from metabolics to hydraulics (2011) Plant Physiol, 156 (2), pp. 803-815; Parkash, V., Singh, S., A review on potential plant-based water stress indicators for vegetable crops (2020) Sustainability, 12 (10), p. 3945; Pedraza, R., Henao, M.C., Composición del tejido vegetal y su relación con variables de crecimiento y ni-veles de nutrientes en el suelo en cultivos comerciales de menta (Mentha spicata L.) (2008) Agron. Colomb, 26 (2), pp. 186-196; Qiu, J., Israel, D.W., Carbohydrate accumulation and utilization in soybean plants in response to alte-red phosphorus nutrition (1994) Physiol. Plant, 90 (4), pp. 722-728; (2017) R: a language and environment for statistical computing, , Vienna; Rodríguez Torressi, A.O., Yonni, M., Nazareno, M., Gal-marini, C.R., Bouzo, C.A., Eficiencia fotoquímica máxima e índice de potencial fotosintético en plantas de melón (Cucumis melo) tratadas con bajas temperatu-ras (2015) FAVE, Secc. Cienc. Agrar, 13, pp. 1-2; Roveda-Hoyos, G., Moreno-Fonseca, L., Physiological and antioxidant responses of cape gooseberry (Physalis peruviana L.) seedlings to phosphorus defi-ciency (2019) Agron. Colomb, 37 (1), pp. 3-11; Ruban, A.V., Nonphotochemical chlorophyll fluorescence quenching: mechanism and effectiveness in protecting plants from photodamage (2016) Plant Physiol, 170 (4), pp. 1903-1916; Sánchez-Reinoso, A.D., Jiménez-Pulido, Y., Martínez-Pérez, J.P., Pinilla, C.S., Fischer, G., Chlorophyll fluorescence and other physiological parameters as indicators of waterlogging and shadow stress in lulo (Solanum quitoense var. septentrionale) seedlings (2019) Rev. Colomb. Cienc. Hortic, 13 (3), pp. 325-335; Schlüter, U., Colmsee, C., Scholz, U., Brӓutigam, A., Weber, A.P.M., Zellerhoff, N., Bucher, M., Sonnewald, U., Adaptation of maize source leaf metabolism to stress related disturbances in carbon, nitrogen and phosphorus balance (2013) BMC Genomics, 14 (1), p. 442; Singh, P., Misra, A., Srivastava, N.K., Influence of Mn deficiency on growth, chlorophyll content, phy-siology, and essential monoterpene oil (s) in genotypes of spearmint (Mentha spicata L.) (2001) Photosynthetica, 39 (3), pp. 473-476; Smethurst, C.F., Garnett, T., Shabala, S., Nutritional and chlorophyll fluorescence responses of lucerne (Medicago sativa) to waterlogging and subse-quent recovery (2005) Plant Soil, 270 (1), pp. 31-45; Tewari, R.K., Kumar, P., Sharma, P.N., Oxidative stress and antioxidant responses in young leaves of mulberry plants grown under nitrogen, phosphorus or potassium deficiency (2007) J. Integr. Plant Biol, 49 (3), pp. 313-322; Tighe-Neira, R., Alberdi, M., Arce-Johnson, P., Romero, J., Reyes-Díaz, M., Rengel, Z., Inostroza-Blan-cheteau, C., Role of potassium in governing photosynthetic processes and plant yield (2018) Plant nutrients and abiotic stress tolerance, pp. 191-203. , Hasanuzzaman, M., M. Fujita, H. Oku, K. Nahar, and B. Hawrylak-Nowak (eds). Springer, Singapore; Timlin, D.J., Naidu, T.C.M., Fleisher, D.H., Reddy, V.R., Quantitative effects of phosphorus on maize canopy photosynthesis and biomass (2017) Crop Sci, 57 (6), pp. 3156-3169; Tremblay, N., Wang, Z., Cerovic, Z.G., Sensing crop nitrogen status with fluorescence indicators. A review (2012) Agron. Sustain. Dev, 32, pp. 451-464; Walker, A.P., Beckerman, A.P., Gu, L., Kattge, J., Cer-nusak, L.A., Domingues, T.F., Scales, J.C., Woodward, F.I., The relationship of leaf photosynthetic traits–Vcmax and Jmax–to leaf nitrogen, leaf phosphorus, and specific leaf area: a meta-analysis and modeling study (2014) Ecol. Evol, 4 (16), pp. 3218-3235; Wang, X., Wang, L., Shangguan, Z., Leaf gas exchange and fluorescence of two winter wheat varie-ties in response to drought stress and nitrogen supply (2016) PLoS One, 11 (11), p. e0165733; Wang, X.-G., Zhao, X.-H., Jiang, C.-J., Li, C.-H., Cong, S., Wu, D., Chen, Y.-Q., Wang, C.-Y., Effects of potassium deficiency on photosynthesis and photoprotection mechanisms in soybean (Glycine max (L.) Merr.) (2015) J. Integr. Agric, 14 (5), pp. 856-863; (2021) Información sobre la planta de menta, , https://wikifarmer.com/es/, consulted: Septem-ber, 2021; Xie, K., Lu, Z., Pan, Y., Gao, L., Hu, P., Wang, M., Guo, S., Leaf photosynthesis is mediated by the coor-dination of nitrogen and potassium: the importance of anatomical-determined mesophyll conductance to CO2 and carboxylation capacity (2020) Plant Sci, 290, p. 110267; Xu, H.X., Weng, X.Y., Yan, Y., Effect of phosphorus deficiency on the photosynthetic characteristics of rice plants (2007) Russ. J. Plant Physiol, 54, pp. 741-748; Ye, Z., Zeng, J., Li, X., Zeng, F., Zhang, G., Physiological characterizations of three barley genotypes in response to low potassium stress (2017) Acta Physiol. Plant, 39, p. 232; Zhao, X., Du, Q., Zhao, Y., Wang, H., Li, Y., Wang, X., Yu, H., Effects of different potassium stress on leaf photosynthesis and chlorophyll fluorescence in maize (Zea mays L.) at seedling stage (2016) Agric. Sci, 7 (1), pp. 44-53</t>
  </si>
  <si>
    <t>Cano-Gallego, L.E.; Corporación Colombiana de Investigación Agropecuaria – Agrosavia, Colombia; email: lcanog@agrosavia.co</t>
  </si>
  <si>
    <t>2-s2.0-85143749757</t>
  </si>
  <si>
    <t>Saraiva F.R.S., DE MELO R.C., Cerutti P.H., Coimbra J.L.M., Alves D.P., Guidolin A.F.</t>
  </si>
  <si>
    <t>58000870600;56711029700;56909687800;15135246800;36772922300;6602489192;</t>
  </si>
  <si>
    <t>Heterotic groups of onions (Allium cepa L.) for the development of low-pungency hybrids [Grupos heteróticos en cebolla (Allium cepa L.) para el desarrollo de híbridos con baja pungencia]</t>
  </si>
  <si>
    <t>e13584</t>
  </si>
  <si>
    <t>10.17584/rcch.2022v16i1.13584</t>
  </si>
  <si>
    <t>https://www.scopus.com/inward/record.uri?eid=2-s2.0-85143749273&amp;doi=10.17584%2frcch.2022v16i1.13584&amp;partnerID=40&amp;md5=f79208c69f534f80c50e7ecb80b9e157</t>
  </si>
  <si>
    <t>Universidade do Estado de Santa Catarina (UDESC), Lages, Brazil; Empresa de Pesquisa Agropecuária e Extensão Rural de Santa Catarina (EPAGRI), Ituporanga, Brazil</t>
  </si>
  <si>
    <t>Saraiva, F.R.S., Universidade do Estado de Santa Catarina (UDESC), Lages, Brazil; DE MELO, R.C., Universidade do Estado de Santa Catarina (UDESC), Lages, Brazil; Cerutti, P.H., Universidade do Estado de Santa Catarina (UDESC), Lages, Brazil; Coimbra, J.L.M., Universidade do Estado de Santa Catarina (UDESC), Lages, Brazil; Alves, D.P., Empresa de Pesquisa Agropecuária e Extensão Rural de Santa Catarina (EPAGRI), Ituporanga, Brazil; Guidolin, A.F., Universidade do Estado de Santa Catarina (UDESC), Lages, Brazil</t>
  </si>
  <si>
    <t>The growing demand for low-pungency cultivars onion has opened new market niches. The objective of this study was to characterize heterotic onion groups to develop low-pungency hybrid cultivars. A field experi-ment with a randomized block design and two factors (genotype and fertilization) arranged in split plots was carried out in Ituporanga-SC (Brazil), in 2019. The plots corresponded to two fertilization levels (with and without sulfur), and the subplots corresponded to 26 onion genotypes, where the germplasm was derived from different (male-sterile-LA and maintainer-LB) lines, advanced populations and cultivars. The bulbs were evaluated for the following traits: pyruvic acid (indicator of pungency), sulfur content and bulb yield. The ge-notype performance differed according to the fertilization level. In the sulfur-free treatments, four heterotic groups were identified. The genetic variation in the crosses LA11 × LB24 and LA15 × LB19 could be exploited for negative selection for pungency and positive selection for bulb yield. © 2022, Universidad Pedagogica y Tecnologica de Colombia. All rights reserved.</t>
  </si>
  <si>
    <t>Additional bulb yield; ideotype; multivariate analysis; pyruvic acid content; standardized canonical coefficient</t>
  </si>
  <si>
    <t>Buzar, A.G.R., Oliveira, V.R., Boiteux, L.S., Estima-tiva da diversidade genética de germoplasma de cebola via descritores morfológicos, agronômicos e bioquí-micos (2007) Hortic. Bras, 25 (4), pp. 527-532; Coca, A.C., Carranza, C.E., Miranda, D., Rodrí-guez, M.H., Efecto del NaCl sobre los parámetros de crecimiento, rendimiento y calidad de la cebolla de bulbo (Allium cepa L.) bajo condiciones controla-das (2013) Rev. Colomb. Cienc. Hortic, 6 (2), pp. 196-212; (2016) Manual de adubação e de calagem para os estados do Rio Grande do Sul e de Santa Ca-tarina, , 11th ed. Sociedade Brasileira de Ciência do Solo, Porto Alegre, Brazil; Cramer, C.S., Mandal, S., Sharma, S., Nourbakhsh, S.S., Goldman, I., Guzman, I., Recent advances in onion genetic improvement (2021) Agronomy, 11 (3), p. 482; Cruz, C.D., Regazzi, A.J., Carneiro, P.C.S., (2012) Mode-los biométricos aplicados ao melhoramento genético, , 4th ed. Universidade Federal de Viçosa, Viçosa, Brazil; Denre, M., Pal, S., Chattopadhyay, A., Mazumdar, D., Chakravarty, A., Bhattacharya, A., Antioxi-dants and pungency of onion (2011) Int. J. Veg. Sci, 17 (3), pp. 233-245; Donald, C.M., The breeding of crop ideotypes (1968) Eu-phytica, 17 (3), pp. 385-403; (2013) Sistema de pro-dução para a cebola-Santa Catarina, , 4th ed. Florianó-polis, Brazil; (2019) Síntese Anual da Agricultura de Santa Catarina 2018-2019, 1. , EPAGRI/CEPA, Empresa de Pesquisa Agropecuária e Ex-tensão Rural de Santa Catarina/Centro de Socioeco-nomia e Planejamento Agrícola Brazil. Florianópolis, Brazil; Falconer, D.S., Mackay, T.F.C., (1996) Introduction to quantitative genetics, , 4th ed. Prentice Hall, Harlow, UK; Faria, M.V., Zaluski, W.L., Rosa, J., Rossi, E.S., Resende, J., Kobori, R.F., Santos, R.L., Da-Silva, P.R., Genetic divergence among inbred onion lines and correlation with heterosis and combining ability (2019) Genet. Mol. Res, 18 (3), p. gmr18316; Hair, J.F.J., Black, W.C., Babin, B.J., Anderson, R.E., Tatham, R.L., (2009) Análise multivariada de dados, , 6th ed. Bookmam, São Paulo, Brazil; Hamilton, B.K., Sun Yoo, K., Pike, L.M., Changes in pungency of onions by soil type, sulphur nutrition and bulb maturity (1998) Sci. Hortic, 74 (4), pp. 249-256; (2020) Índice nacional de preços ao consu-midor-INPC/Séries históricas, , https://www.ibge.gov.br/estatisticas/economicas/precos-e-cus-tos/9258-indice-nacional-de-precos-ao-consumidor.html?edicao=26615&amp;t=series-historicas, IBGE, Instituto Brasileiro de Geografia e Estatística Brazil consulted: September, 2021; Kim, H.Y., Jackson, D., Adhikari, K., Riner, C., San-chez-Brambila, G., Relationship between consumer acceptability and pungency-related flavor compounds of Vidalia onions (2017) J. Food Sci, 82 (10), pp. 2396-2402; Khandagale, K., Gawande, S., Genetics of bulb colour variation and flavonoids in onion (2019) J. Hortic. Sci. Biotechnol, 94 (4), pp. 522-532; Lo Scalzo, R., Fibiani, M., Picchi, V., Parisi, B., Low pungency and phytochemicals relationship during bulb assessment in the sweet onion breeding pro-gram (2021) Sci. Hortic, 285 (2021), p. 110191; Lee, E.J., Yoo, K.S., Jifon, J., Patil, B.S., Applica-tion of extra sulfur to high-sulfur /soils does not in-crease pungency and related compounds in shortday onions (2009) Sci. Hortic, 123 (2), pp. 178-183; Liu, S., He, H., Feng, G., Chen, Q., Effect of nitrogen and sulfur interaction on growth and pungency of different pseudostem types of Chinese spring onion (Allium fistulosum L.) (2009) Sci. Hortic, 121 (1), pp. 12-18; Mallor, C., Balcells, M., Mallor, F., Sales, E., Genetic variation for bulb size, soluble solids content and pungency in the Spanish sweet onion variety Fuentes de Ebro. Response to selection for low pungency (2011) Plant Breed, 130 (1), pp. 55-59; Mallor, C., Sales, E., Yield and traits of bulb quality in the Spanish sweet onion cultivar ‘Fuentes de Ebro’ after selection for low pungency (2012) Sci. Hortic, 140, pp. 60-65; Melchinger, A.E., Gumber, R.K., Overview of he-terosis and heterotic groups in agronomic crops (1998) Con-cepts and breeding of heterosis in crop plants, 25, pp. 29-44. , Larnkey, K.R. and J.E. Staub (eds). Crop Science Society of America, Madison, WI; Menezes Júnior, F.O.G., Aspectos fitotécnicos (2016) Manual de boas práticas agrícolas: guia para susten-tabilidade das lavouras de cebola do Estado de Santa Catarina, pp. 41-48. , Menezes Júnior, F. and L.L. Marcuzzo (Orgs). EPAGRI, Florianópolis, Brazil; Pevicharova, G., Genova, S., Nacheva, E., Penov, N., Heterosis expression toward technological parameters in F1 onion hybrids for drying (2020) J. Cent. Eur. Agric, 21 (2), pp. 338-343; Porta, B., Rivas, M., Gutiérrez, L., Galván, G.A., Variability, heritability, and correlations of agronomic traits in an onion landrace and derived S1 lines (2014) Crop Breed. Appl. Biotechnol, 14 (1), pp. 29-35; Santos, C.A.F., Yuri, J.E., Costa, N.D., (2019) Efeito do enxofre na produtividade e no teor de ácido pirúvico em cultivares de cebola, , Embrapa Semiárido, Petrolina, Brazil; Schunemann, A.P., Treptow, R., Leite, D.L., Ven-druscolo, J.L., Pungência e características químicas em bulbos de genótipos de cebola (Allium cepa L.) cul-tivados no Alto Vale do Itajaí, SC, Brasil (2006) Rev. Bras. Agrociênc, 12 (1), pp. 77-80; Schwimmer, S., Weston, W.J., Onion flavor and odor, enzymatic development of pyruvic acid in onion as a measure of pungency (1961) J. Agric. Food Chem, 9 (4), pp. 301-304; Tedesco, M.J., Gianello, C., Bissani, C.A., Bohnen, H., Volkweiss, S., Análises de solo, plantas e outros ma-teriais (1995) Bol. Tec, , 5. 2nd ed. UFRGS, Porto Alegre, Brazil; Tóth, T., Bystrická, J., Tomáš, J., Siekel, P., Kovarovič, J., Lenková, M., Effect of sulphur fertilization on con-tents of phenolic and sulphuric compounds in onion (Allium cepa L.) (2018) J. Food Nutr. Res, 57 (2), pp. 170-178; Wall, M.M., Corgan, J.N., Relationship between pyruvate analysis and flavor perception for onion pungency determination (1992) HortScience, 27 (9), pp. 1029-1030; Yoo, K.S., Leskovar, D., Patil, B.S., Lee, E.J., Effects of leaf cutting on bulb weight and pungency of short-day onions after lifting the plants (2019) Sci. Hortic, 257, p. 108720; Yoo, K.S., Pike, L.M., Patil, B.S., Lee, E.J., Develo-ping sweet onions by recurrent selection in a short-day onion breeding program (2020) Sci. Hortic, 266, p. 109269</t>
  </si>
  <si>
    <t>DE MELO, R.C.; Universidade do Estado de Santa Catarina (UDESC)Brazil; email: rita_carol_mel@hotmail.com</t>
  </si>
  <si>
    <t>2-s2.0-85143749273</t>
  </si>
  <si>
    <t>Iraola-Real I., Soto A.C.Z.</t>
  </si>
  <si>
    <t>57209658640;57215525049;</t>
  </si>
  <si>
    <t>Screening of Schizophrenic Symptoms in Women Students of Engineering Careers: A Psychopedagogical Evaluation</t>
  </si>
  <si>
    <t>2022 Congreso Internacional de Innovacion y Tendencias en Ingenieria, CONIITI 2022 - Conference Proceedings</t>
  </si>
  <si>
    <t>10.1109/CONIITI57704.2022.9953604</t>
  </si>
  <si>
    <t>https://www.scopus.com/inward/record.uri?eid=2-s2.0-85143745196&amp;doi=10.1109%2fCONIITI57704.2022.9953604&amp;partnerID=40&amp;md5=c090c5d76aa0cc96b892375df907e01e</t>
  </si>
  <si>
    <t>Centro de Investigacion Interdisciplinar Ciencia y Sociedad, Universidad de Ciencias y Humanidades, Lima, Peru; Faculty of Sciences of Health, Universidad de Ciencias y Humanidades, Lima, Peru</t>
  </si>
  <si>
    <t>Iraola-Real, I., Centro de Investigacion Interdisciplinar Ciencia y Sociedad, Universidad de Ciencias y Humanidades, Lima, Peru; Soto, A.C.Z., Faculty of Sciences of Health, Universidad de Ciencias y Humanidades, Lima, Peru</t>
  </si>
  <si>
    <t>Being a female engineer demands facing a set of challenges such as prejudices associated with alleged deficits in professional performance and scientific deficiencies compared to men, which generates psychological problems related to schizophrenia. For these reasons, the present research aims to analyze the levels of schizophrenic symptoms and life satisfaction in female engineering students at a private university in Lima, Peru. By means of convenience sampling, 41 respondents (100% female) were selected, with ages ranging from 16 to 26 years (Mean = 18.37; SD = 2.40). The results report that they have rarely experienced demotivation, antisocial behavior, emotional imbalance and depression. In addition, they have almost never experienced the symptom of apathy and hallucinations. Nevertheless, most evidence low levels of satisfaction with their lives. © 2022 IEEE.</t>
  </si>
  <si>
    <t>DSM V; life satisfaction; schizophrenia; well-being</t>
  </si>
  <si>
    <t>Diseases; Petroleum reservoir evaluation; Students; Antisocial behavior; Demotivation; DSM V; Engineering careers; Female engineering students; Level of satisfaction; Life satisfaction; Performance; Schizophrenia; Well being; Professional aspects</t>
  </si>
  <si>
    <t>Tellhed, U., Backstrom, M., Bjorklund, M., Will I Fit in and Do Well? The importance of social belongingness and self-efficacy for explaining gender differences in interest in STEM and HEED Majors (2016) Sex Roles, (77), pp. 86-96. , doi10.1007/s11199-016-0694-y; Riegle-Crumb, C., Moore, C., Examining gender inequality in a high school engineering course (2013) American Journal of Engineering Education, 4 (1), pp. 55-66; Rodríguez, O., (2016) Why Women do Not Want to Be Engineers? Case: Female Students of Industrial Engineering in UPTC, , Master Thesis) Universidad Politécnica de Cartagena, España; Álvarez, M., (2017) Autoeficacia Segun El Genero Y Su Influencia en El Ambito Cientifico-tecnologico (Trabajo Para Optar Al Grado de Máster), , Universidad de Salamanca, Facultad de Psicología, Salamanca; Chávez, H., Chávez, J., Ruelas, S., Gómez, M., Ansiedad ante los exámenes en los estudiantes del Centro Preuniversitario - UNMSM 2012-I (2014) Revista de Investigacion en Psicologia, 17 (2), pp. 187-201; Chávez, H., Morocho, J., Alvites, C., Vega, J., Solis, R., Relación entre los niveles de depresión y rendimiento académico en estudiantes preuniversitarios, del ciclo ordinario 2015-1 de una universidad nacional de Lima Metropolitana (2017) Revista de Investigacion Psicologica, 20 (1), pp. 107-118; (2018) Women in STEM and Mental Health, , https://www.sfu.ca/wwest/WWEST_blog/the-pressure-of-being-awoman-in-stem-and-what-it-means-for-ment.html, Westcoast Women in Engineering, Science and Technology; Grace, A., Dysregulation of the dopamine system in the pathophysiology of schizophrenia and depression (2016) Nat Rev Neurosci, 17, pp. 524-532. , https://doi.org/10.1038/nrn.2016.57; Kremen, C., Fiszdon, M., Kurtz, M., Intrinsic and extrinsic motivation and learning in schizophrenia (2016) Curr Behav Neurosci Rep, 3, pp. 144-153. , https://doi.org/10.1007/s40473-016-0078-1; Lehmann, A., Bahçesular, K., Brockmann, E., Biederbick, S., Dziobek, I., Gallinat, J., Montag, C., Subjective experience of emotions and emotional empathy in paranoid schizophrenia (2014) Psychiatry Research, 220 (3), pp. 825-833. , https://doi.org/10.1016/j.psychres.2014.09.009; Tandon, R., Gaebel, W., Barch, D.M., Bustillo, J., Gur, R.E., Heckers, S., Definition and description of schizophrenia in the DSM-5 (2013) Schizophr Res, 150 (1), pp. 3-10; McCutcheon, R., Marques, T., Howes, O., Schizophrenia-an overview (2020) JAMA Psychiatry, 77 (2), pp. 201-210. , https://pubmed.ncbi.nlm.nih.gov/31664453/; Correll, C., Schooler, N., Negative symptoms in schizophrenia: a review and clinical guide for recognition, assessment, and treatment (2020) Neuropsychiatr Dis Treat, 16 (1), pp. 1-3. , https://pubmed.ncbi.nlm.nih.gov/32110026/; Galderisi, S., Mucci, A., Buchanan, R., Arango, C., Negative symptoms of schizophrenia: New developments and unanswered research questions (2018) Lancet Psychiatry, 5 (8), pp. 664-677. , https://pubmed.ncbi.nlm.nih.gov/29602739/; Andreasen, N., Thought, language, and communication disorders. I. Clinical assessment, definition of terms, and evaluation of their reliability (1979) Arch Gen Psychiatry, 36 (12), pp. 1-2. , https://pubmed.ncbi.nlm.nih.gov/496551/; Mosolov, S., Yaltonskaya, P., (2020) Concept, Classification and Clinical Differentiation of Negative Symptoms in Schizophrenia, 1 (1), pp. 1-13. , https://psypharma.ru/en/concept-classification-andclinical-differentiation-negative-symptoms-schizophrenia, Moscow Research Institute of Psychiatry; Remington, G., Foussias, G., Fervaha, G., Agid, O., Takeuchi, H., Lee, J., Treating negative symptoms in schizophrenia: An update (2016) Curr Treat Options Psychiatry, 3 (1), pp. 133-150. , https://pubmed.ncbi.nlm.nih.gov/27376016/; Creswell, J., (2012) Educational Research: Planning, Conducting, and Evaluating Quantitative An Qualitative Research, , 4th Ed.). Upper Saddle River, NJ: Merrill; Kushner, S., (2017) Evaluative Research Methods: Managing the Complexities of Judgment in the Field, , New York: Information Age Publishing; Saumure, K., Given, L., Sample, C., (2008) The SAGE Encyclopedia of Qualitative Research Methods, , Thousand Oaks, CA: Sage; Wilkinson, G., Hesdon, B., Wild, D., Cookson, R., Farina, C., Sharma, V., Fitzpatrick, R., Jenkinson, C., Self-report quality of life measure for people with schizophrenia: The SQLS (2000) British Journal of Psychiatry, (177), pp. 42-46. , http://dx.doi.org/10.1192/bjp.177.1.42; Aiken, R., (2002) Psychological Testing and Assessment, , 11th Ed.).Boston: Allyn &amp; Bacon; Diener, E., Emmons, R., Larsen, R., Griffin, S., The Satisfaction with Life Scale (1985) Journal of Personality Assessment, (49), pp. 71-75. , https://fetzer.org/sites/default/files/images/stories/pdf/selfmeasures/SATISFACTION-SatisfactionWithLife.pdf; Diener, E., Diener, M., Cross-Cultural correlates of life satisfaction and self-esteem (1995) J. Pers. Soc. Psychol., 68 (4), pp. 653-663; Galbraith, R., Some applications of radial plots Journal of the American Statistical Association, 89 (428), pp. 1232-1242</t>
  </si>
  <si>
    <t>Morales V.M.F.</t>
  </si>
  <si>
    <t>IEEE Colombia Section;Universidad Cat�lica de Colombia</t>
  </si>
  <si>
    <t>2022 Congreso Internacional de Innovacion y Tendencias en Ingenieria, CONIITI 2022</t>
  </si>
  <si>
    <t>5 October 2022 through 7 October 2022</t>
  </si>
  <si>
    <t>Congr. Int. de Innov. y Tendencias en Ing., CONIITI - Conf. Proc.</t>
  </si>
  <si>
    <t>2-s2.0-85143745196</t>
  </si>
  <si>
    <t>Beltrán Pineda M.E., Lizarazo Forero L.M., Sierra C.A.</t>
  </si>
  <si>
    <t>57194593667;54405666200;57997686500;</t>
  </si>
  <si>
    <t>BioMetals</t>
  </si>
  <si>
    <t>https://www.scopus.com/inward/record.uri?eid=2-s2.0-85143619293&amp;doi=10.1007%2fs10534-022-00479-1&amp;partnerID=40&amp;md5=7eb802482d75f49b7d20c2a82080b86d</t>
  </si>
  <si>
    <t>Universidad Nacional de Colombia- Doctorado en Biotecnología- Grupo de Investigación en Macromoléculas UN- Grupo de Investigación Biología Ambiental UPTC. Grupo de Investigación Gestión Ambiental Universidad de Boyacá, Tunja, Colombia; Universidad Pedagógica y Tecnológica de Colombia- Grupo de Investigación Biología Ambiental, Tunja, Colombia; Universidad Nacional de Colombia. Grupo de Investigación en Macromoléculas, Bogotá, Colombia</t>
  </si>
  <si>
    <t>Beltrán Pineda, M.E., Universidad Nacional de Colombia- Doctorado en Biotecnología- Grupo de Investigación en Macromoléculas UN- Grupo de Investigación Biología Ambiental UPTC. Grupo de Investigación Gestión Ambiental Universidad de Boyacá, Tunja, Colombia; Lizarazo Forero, L.M., Universidad Pedagógica y Tecnológica de Colombia- Grupo de Investigación Biología Ambiental, Tunja, Colombia; Sierra, C.A., Universidad Nacional de Colombia. Grupo de Investigación en Macromoléculas, Bogotá, Colombia</t>
  </si>
  <si>
    <t>Metallic nanoparticles currently show multiple applications in the industrial, clinical and environmental fields due to their particular physicochemical characteristics. Conventional approaches for the synthesis of silver nanoparticles (AgNPs) are based on physicochemical processes which, although they show advantages such as high productivity and good monodispersity of the nanoparticles obtained, have disadvantages such as the high energy cost of the process and the use of harmful radiation or toxic chemical reagents that can generate highly polluting residues. Given the current concern about the environment and the potential cytotoxic effects of AgNPs, once they are released into the environment, a new green chemistry approach to obtain these nanoparticles called biosynthesis has emerged. This new alternative process counteracts some limitations of conventional synthesis methods, using the metabolic capabilities of living beings to manufacture nanomaterials, which have proven to be more biocompatible than their counterparts obtained by traditional methods. Among the organisms used, fungi are outstanding and are therefore being explored as potential nanofactories in an area of research known as mycosynthesis. For all the above, this paper aims to illustrate the advances in state of the art in the mycosynthesis of AgNPs, outlining the two possible mechanisms involved in the process, as well as the AgNPs stabilizing substances produced by fungi, the variables that can affect mycosynthesis at the in vitro level, the applications of AgNPs obtained by mycosynthesis, the patents generated to date in this field, and the limitations encountered by researchers in the area. © 2022, The Author(s), under exclusive licence to Springer Nature B.V.</t>
  </si>
  <si>
    <t>Biological synthesis; Fungi; Green chemistry; Patents; Silver nanoparticles</t>
  </si>
  <si>
    <t>To the Government of Boyacá for the call 733 of 2015 for high-level human capital formation for the Department of Boyacá for funding the Ph.D. fellowship and the Ministry of Science, Technology, and Innovation of Colombia.</t>
  </si>
  <si>
    <t>This study was financed with resources from the Science, Technology, and Innovation Fund of the General Royalties System FCTeI-SGR attached to the Department of Boyacá. And through the HERMES 47144 project of the National University of Colombia; “Biosynthesis of silver nanoparticles from rhizospheric fungi and its immobilization in a natural fiber for in vitro control of phytopathogenic bacteria (Pectobacterium carotovorum)”.Gobernación de Boyacá,call 733 of 2015,Mayra Eleonora Beltrán Pineda</t>
  </si>
  <si>
    <t>Abbasi, E., Milani, M., Fekri, S., Kouhi, M., Akbarzadeh, A., Nasrabadi, H., Nikasa, P., Samiei, M., Silver nanoparticles: synthesis methods, bioapplications and properties (2014) Crit Rev Microbiol, 42 (2), pp. 173-180; Abdeen, S., Isaac, R., Geo, S., Sornalekshmi, S., Rose, A., Praseetha, P., Evaluation of antimicrobial activity of biosynthesized iron and silver nanoparticles using the fungi Fusarium oxysporum and Actinomycetes sp. on human pathogens (2013) Nano Biomed Eng, 5 (1), pp. 39-45; AbdelRahim, K., Mahmoud, S., Ali, A., Extracellular biosynthesis of silver nanoparticles using Rhizopus stonililifer (2016) Saudi J Biol Sci; Ahluwalia, V., Kumar, J., Sisodia, R., Shakil, N., Walia, S., Green synthesis of silver nanoparticles by Trichoderma harzianum and their bio-efficacy evaluation against Staphylococcus aureus and Klebsiella pneumonia (2014) Ind Crops Prod, 55, pp. 202-206; Ahmad, A., Mukherjee, P., Senapati, S., Mandal, D., Khan, I., Kumar, R., Sastry, M., Extracellular biosynthesis of silver nanoparticles using the fungus Fusarium oxysporum (2003) Colloids Surf B, 28, pp. 313-318; Al Juraifani, A., Ali Ghazwani, A., Biosynthesis of silver nanoparticles by Aspergillus niger, Fusarium oxysporum and Alternaria solani (2015) Afr J Biotechnol, 14 (26), pp. 2170-2174; Al-Askar, A., Hafez, E., Kabeil, S., Meghad, A., Bioproduction of silver-nano particles by Fusarium oxysporum and their antimicrobial activity against some plant pathogenic bacteria and fungi (2013) Life Sci J, 10 (3), pp. 2470-2475; Alghuthaymi, M., Almoammar, H., Rai, M., Said-Galiev, E., Abd-Elsalam, K., Myconanoparticles: synthesis and their role in phytopathogens management (2015) Biotechnol Biotechnol Equip, 29 (2), pp. 221-236; Amerasan, D., Nataraj, T., Murugan, K., Panneerselvam, C., Madhiyazhagan, P., Nicoletti, M., Benelli, G., Myco-synthesis of silver nanoparticles using Metarhizium anisopliae against the rural malaria vector Anopheles culicifacies Giles (Diptera: Culicidae) (2016) J Pest Sci Sci; Anand, P., Isar, J., Saran, S., Saxena, R., Bioaccumulation of copper by Trichoderma viride (2006) Biores Technol, 97, pp. 1018-1025; Anbazhagan, S., Azeez, S., Morukattu, G., Rajan, R., Venkatesan, K., Puthupalayam, K., Synthesis, characterization and biological applications of mycosynthesized silver nanoparticles (2017) 3 Biotech; Antony, J., Periyasamy, S., Siva, D., Kamalakkannan, S., Anbarasu, K., Sukirtha, R., Krishnan, M., Achiraman, S., Comparative evaluation of antibacterial activity of silver nanoparticles synthesized using Rhizophora apiculata and glucose (2011) Colloids Surf B, 88, pp. 134-140; Ashajyothi, C., Prabhurajeshwar, C., Handral, H., Kelmani, C., Investigation of antifungal and anti-mycelium activities using biogenic nanoparticles: an eco-friendly approach (2016) Environ Nanotechnol Monit Manag, 5, pp. 81-87; Asmathunisha, N., Kathiresan, K., A review on biosynthesis of nanoparticles by marine organisms (2013) Colloids Surf B, 103, pp. 283-287; Awad, M., Eid, A., Elsheikh, T., Al-Faifi, Z., Saad, N., Sultan, M., Selim, S., Fouda, A., Mycosynthesis, characterization, and mosquitocidal activity of silver nanoparticles fabricated by Aspergillus niger strain (2022) J Fungi, 8, p. 396; Azmath, P., Baker, S., Rakshith, D., Satish, S., Mycosynthesis of silver nanoparticles bearing antibacterial activity (2016) Saudi Pharm J, 24, pp. 140-146; Bagur, H., Sekhar, R., Somu, P., Jayakumar, P., Shekhar, C., Kumar, P., Govindappa, M., Chinna, C., Endophyte fungal isolate mediated biogenic synthesis and evaluation of biomedical applications of silver nanoparticles (2020) Mater Technol; Balaji, D., Basavaraja, S., Deshpande, R., Mahesh, D., Prabhakara, B., Venkataraman, A., Extracellular biosynthesis of functionalized silver nanoparticles by strains of Cladosporium cladosporioides fungus (2009) Colloids Surf B, 68, pp. 88-92; Balakumaran, M., Ramachandran, R., Kalaichelvan, P., Exploitation of endophytic fungus, Guignardia mangiferae for extracellular synthesis of silver nanoparticles and their in vitro biological activities (2016) Microbiol Res, 178, pp. 9-17; Balakumaran, M., Ramachandran, R., Balashanmugam, P., Mukeshkumar, D., Kalaichelvana, P., Mycosynthesis of silver and gold nanoparticles: optimization, characterization and antimicrobial activity against human pathogens (2016) Microbiol Res, 182, pp. 8-20; Basavaraja, S., Balaji, S., Lagashetty, A., Rajasab, A., Venkataraman, A., Extracellular biosynthesis of silver nanoparticles using the fungus Fusarium semitectum (2008) Mater Res Bull, 43 (5), pp. 1164-1170; Bawaskar, M., Gaikwad, S., Ingle, A., Rathod, D., Gade, A., Duran, N., Marcato, P., Rai, M., A new report on mycosynthesis of silver nanoparticles by Fusarium culmorum (2010) Curr Nanosci, 6, pp. 376-380; Beveridge, T., Hughes, M., Lee, H., Leung, K., Poole, R., Savvaidis, I., Silver, S., Trevors, J., Metal–microbe interactions: contemporary approaches (1997) Adv Microb Physiol, 38, pp. 178-243; Beyene, H., Werkneh, A., Bezabh, A., Ambaye, T., Synthesis paradigm and applications of silver nanoparticles (AgNPs), a review (2017) Sustain Mater Technol, 13, pp. 18-23; Bhainsa, K., D’Souza, S., Extracellular biosynthesis of silver nanoparticles using the fungus Aspergillus fumigates (2006) Colloids Surf B, 47, pp. 160-164; Bhat, R., Ganachari, S., Deshpande, R., Bedre, M., Venkataraman, A., Biosynthesis and characterization of silver nanoparticles using extract of fungi Acremonium diospyri (2012) Int J Sci Res, 1 (4), pp. 314-316; Bhattacharya, D., Gupta, R., Nanotechnology and potential of microorganisms (2005) Crit Rev Biotechnol, 25, pp. 199-201; Binupriyaa, A., Sathishkumara, M., Yun, S.-I., Biocrystallization of silver and gold ions by inactive cell filtrate of Rhizopus stolonifer (2010) Colloids Surf B: Biointerfaces, 79, pp. 531-534; Birla, S., Tiwari, V., Gade, A., Ingle, P., Yadav, A., Rai, M., Fabrication of silver nanoparticles by Phoma glomerata and its combined effect against Escherichia coli, Pseudomonas aeruginosa and Staphylococcus aureus (2009) Lett Appl Microbiol, 48, pp. 173-179. , COI: 1:CAS:528:DC%2BD1MXjtlWgurY%3D; Birla, S., Gaikwad, S., Gade, A., Rai, M., Rapid synthesis of silver nanoparticles from Fusarium oxysporum by optimizing physicocultural conditions (2013) Sci World J; Biswas, S., Mulaba, A., Optimization of process variables for the biosynthesis of silver nanoparticles by Aspergillus wentii using statistical experimental design (2016) Adv Nat Sci Nanosci Nanotechnol; Caballero, N., Alves, O., Esposito, E., de Souza, G., Gaspari, P., (2008) Patente WO 2008/034207 Al, , . Brasil; Calderón-Jiménez, B., Montoro, A., Pereira, R., Paniagua, S., Vega-Baudrit, J., Novel pathway for the sonochemical synthesis of silver nanoparticles with near-spherical shape and high stability in aqueous media (2022) Sci Rep, 12, p. 882; Carbone, M., Donia, D., Sabbatella, G., Antiochia, R., Silver nanoparticles in polymeric matrices for fresh food packaging (2016) J King Saud Univ Sci, 28, pp. 273-279; Castro, E., Vilchis, A., Avalos, M., Biosynthesis of silver, gold and bimetallic nanoparticles using the filamentous fungus Neurospora crassa (2011) Colloids Surf B, 83, pp. 42-48; Cavassin, E., de Figueiredo, L., Otoch, J., Seckler, M., de Oliveira, R., Franco, F., Marangoni, V., Costa, S., Comparison of methods to detect the in vitro activity of silver nanoparticles (AgNP) against multidrug resistant bacteria (2015) J Nanobiotechnol, 13, p. 64; Chan, Y., Don, A., Biosynthesis and structural characterization of Ag nanoparticles from white rot fungi (2013) Mater Sci Eng C, 33, pp. 282-288; Chen, H., Yada, R., Nanotechnologies in agriculture: new tols for sustainable development (2011) Trends Food Sci Technol, 22, pp. 585-594; Chen, J., Lin, Z., Ma, X., Evidence of the production of silver nanoparticles via pretreatment of Phoma sp.3.2883 with silver nitrate (2003) Lett Appl Microbiol, 37, pp. 105-108; Cunha, F., Cunha, M., da Frota, S., Mallmann, E., Freire, T., Costa, L., Paula, A., Fechine, P., Biogenic synthesis of multifunctional silver nanoparticles from Rhodotorula glutinis and Rhodotorula mucilaginosa: antifungal, catalytic and cytotoxicity activities (2018) World J Microbiol Biotechnol, 34, p. 127; Dameron, C., Reese, R., Mehra, R., Kortan, A., Carrol, P., Steigerwald, M., Brus, L., Winge, D., Biosynthesis of cadmiun sulphide quantum semiconductor crystallites (1989) Natura, 388 (13), pp. 596-597; Da Silva, P., Machado, R., Pironi, A., Alves, R., De Araújo, P., Dragalzew, A., Dalberto, I., Chorilli, M., Recent advances in the use of metallic nanoparticles with antitumoral action-review (2019) Curr Med Chem, 26, pp. 2108-2146; de Souza, A., Gomes, A., (2015) Biosynthesis of silver nanoparticles by fungi in Fungal biomolecules: Sources, applications, and recent developments., , Editors, Dr. Vijai Kumar Gupta, Prof. Robert L. Mach,Prof. S. Sreenivasaprasad. ISBN 978–1–118–95829–2; Devi, L., Joshi, S., Ultrastructures of silver nanoparticles biosynthesized using endophytic fungi (2014) J Microsc Ultrastruct, 3, pp. 29-37; Dhanasekaran, D., Latha, S., Saha, S., Thajuddin, E., Panneerselvam, A., Biosynthesis and antimicrobial potential of metal nanoparticles (2011) Int J Green Nanotechnol, 3 (1), pp. 72-82; Dhillon, G., Brar, S., Kaur, S., Verma, M., Green approach for nanoparticle biosynthesis by fungi: current trends and applications (2011) Crit Rev Biotechnol, 32 (1), pp. 49-73; Du, L., Xu, Q., Huang, M., Xian, L., Feng, J., Synthesis of small silver nanoparticles under light radiation by fungus Penicillium oxalicum and its application for the catalytic reduction of methylene blue (2015) Mater Chem Phys, 160, pp. 40-47; Durán, N., Marcato, P., Alves, O., De Souza, G., Esposito, E., Mechanistic aspects of biosynthesis of silver nanoparticles by several Fusarium oxysporum strains (2005) J Nanobiotechnol, 3, p. 8; Durán, N., Marcato, P., De Souza, G., Alves, O., Esposito, E., Antibacterial effect of silver nanoparticles produced by fungal process on textile fabrics and their effluent treatment (2007) J Biomed Nanotechnol, 3, pp. 203-208; Durán, N., Marcato, P., Durán, M., Yadav, A., Gade, A., Rai, M., Mechanistic aspects in the biogenic synthesis of extracelular metal nanoparticles by peptides, bacteria, fungi, and plants (2011) Appl Microbiol Biotechnol, 90, pp. 1609-1624; Elahian, F., Reiisi, S., Shahidi, A., Mirzaei, A., High-throughput bioaccumulation, biotransformation, and production of silver and selenium nanoparticles using genetically engineered Pichia pastoris (2016) Nanomedicine; Elizabath, A., Babychan, M., Mathew, A., Syriac, G., Applications of nanotechnology in agriculture (2019) Int J Pure App Biosci, 7 (2), pp. 131-139; El-Moslamy, S., Elkady, M., Rezk, A., Abdel-Fattah, Y., Applying Taguchi design and largescale strategy for mycosynthesis of nano-silver from endophytic Trichoderma harzianum SYA.F4 and its application against phytopathogens (2017) Sci Rep; Fathima, B., Balakrishnan, R., Biosynthesis and optimization of silver nanoparticles by endophytic fungus Fusarium solani (2014) Mater Lett, 132, pp. 428-431; Fatima, F., Bajpai, P., Pathak, N., Singh, S., Priya, S., Verma, S., Antimicrobial and immunomodulatory efficacy of extracellularly synthesized silver and gold nanoparticles by a novel phosphate solubilizing fungus Bipolaris tetramera (2015) BMC Microbiol, 15, p. 52; Fayaz, A., Balaji, K., Girilal, M., Kalaichelvan, P., Venkatesan, R., Mycobased synthesis of silver nanoparticles and their incorporation into sodium alginate films for vegetable and fruit preservation (2009) Agric Food Chem, 57, pp. 6246-6252; Fernández, J., Fernández, M., Berni, E., Cani, G., Durán, N., Raba, J., Sanz, I., Production of silver nanoparticles using yeasts and evaluation of their antifungal activity against phytopathogenic fungi (2016) Process Biochem; Gade, A., Bonde, P., Ingle, A., Marcato, P., Durán, N., Rai, M., Exploitation of Aspergillus Niger for synthesis of silver nanoparticles (2008) J Biobased Mater Bioenerg, 2, pp. 1-5; Gade, A., Gaikwad, S., Duran, N., Rai, M., Green synthesis of silver nanoparticles by Phoma glomerata (2014) Micron, 59, pp. 52-59; Gaikwad, S., Birla, S., Ingle, A., Gade, A., Marcato, P., Rai, M., Durán, N., Screening of different Fusarium species to select potential species for the synthesis of silver Nanoparticles (2013) J Braz Chem Soc, 24 (12), pp. 1974-1982; Gajbhiye, M., Kesharwani, J., Ingle, A., Gade, A., Rai, M., Fungus mediated synthesis of silver nanoparticles and their activity against pathogenic fungi in combination with fluconazole (2009) Nanomedicine, 5, pp. 382-386; Gao, W., Thamphiwatana, S., Angsantikul, P., Zhang, L., Nanoparticle approaches against bacterial infections (2014) Wiley Interdiscip Rev Nanomed Nanobiotechnol, 6 (6), pp. 532-547; Gericke, M., Pinches, A., Biological synthesis of metal nanoparticles (2006) Hydrometallurgy, 83, pp. 132-140; Gholami-Shabani, M., Akbarzadeh, A., Norouzian, D., Amini, A., Gholami-Shabani, Z., Imani, A., Chiani, M., Razzaghi-Abyaneh, M., Antimicrobial activity and physical characterization of silver nanoparticles green synthesized using nitrate reductase from Fusarium oxysporum (2014) Appl Biochem Biotechnol, 172, pp. 4084-4098; Gnanamangai, B., Ponnusamy, P., (2012), Patent US 2012/0108425A1. United states; Gudikandulaa, K., Vadapally, P., Charyaa, M., Biogenic synthesis of silver nanoparticles from white rot fungi: their characterization and antibacterial studies (2017) OpenNano, 2, pp. 64-78; Guo-Shan, Y., (2009), Patent TW20070125134 20070710. China; Hamedi, S., Shojaosadati, S., Shokrollahzadeh, S., Najafabadi, S., Extracellular biosynthesis of silver nanoparticles using a novel and non-pathogenic fungus, Neurospora intermedia: controlled synthesis and antibacterial activity (2014) World J Microbiol Biotechnol, 30, pp. 693-704; Hamedi, S., Ghaseminezhad, M., Shokrollahzadeh, S., Shojaosadati, S., Controlled biosynthesis of silver nanoparticles using nitrate reductase enzyme induction (2017) Artif Cells, Nanomed Biotechnol, 45 (8), pp. 1588-1596; Honary, S., Barabadi, H., Gharae, E., Naghibi, F., Green synthesis of silver nanoparticles induced by the fungus Penicillium citrinum (2013) Trop J Pharm Res, 12 (1), pp. 7-11; Hulkoti, N., Taranath, T., Biosynthesis of nanoparticles using microbes—A review (2014) Colloids Surf B, 121, pp. 474-483; Husseiny, S., Salah, T., Anter, H., Biosynthesis of size controlled silver nanoparticles by Fusarium oxysporum, their antibacterial and antitumor activities (2015) Beni-Suef Univ J Basic Appl Sci, 4, pp. 225-231; Ingale, A., Chaudhari, A., Biogenic synthesis of nanoparticles and potential applications: an eco- friendly approach (2013) Nanomed Nanotechol, 4 (2), pp. 1-7; Ingle, A., Gade, A., Pierrat, S., Sonnichsen, C., Rai, M., Mycosynthesis of silver nanoparticles using the fungus Fusarium acuminatum and its activity against some human pathogenic bacteria (2008) Curr Nanosci, 4, pp. 141-144; Ingle, A., Gade, A., Bawaskar, M., Rai, M., Fusarium solani, a novel biological agent for the extracellular synthesis of silver nanoparticles (2009) J Nanoparticle Res, 11, pp. 2079-2085; Jaidev, L., Narasimha, G., Fungal mediated biosynthesis of silver nanoparticles, characterization and antimicrobial activity (2010) Colloids Surf B, 81, pp. 430-433; Jalal, M., Ansari, M., Alzohairy, M., Ali, S., Khan, H., Almatroudi, A., Raees, K., Biosynthesis of silver nanoparticles from oropharyngeal Candida glabrata isolates and their antimicrobial activity against clinical strains of bacteria and fungi (2018) Nanomaterials, 8, p. 586; Jebali, A., Ramezani, F., Kazemi, B., Biosynthesis of silver nanoparticles by Geotricum sp (2011) J Clust Sci, 22, pp. 225-232; Kamil, D., Prameeladevi, T., Ganesh, S., Prabhakaran, N., Nareshkumar, R., Thomas, S., Green synthesis of silver nanoparticle by enthomopathogenic fungus Beauveria bassiana and their bioefficacy against mustard aphid (Lipaphys erysimi Kalt.) (2017) Indian J Exp Biol, 55, pp. 555-561. , COI: 1:CAS:528:DC%2BC1cXit1Wrsb7M; Kathiresan, K., Manivannan, S., Nabeel, M., Dhivya, B., Studies on silver nanoparticles synthesized by a marine fungus, Penicillium fellutanum isolated from coastal mangrove sediment (2009) Colloids Surf B, 71, pp. 133-137; Keat, C., Aziz, A., Eid, A., Elmarzugi, A., Biosynthesis of nanoparticles and silver nanoparticle (2015) Bioresour Bioprocess; Khan, A., Malik, N., Khan, M., Cho, M., Khan, M., Fungi-assisted silver nanoparticle synthesis and their applications (2017) Bioprocess Biosyst Eng; Kharissova, O., Dias, H., Kharisov, B., Perez, B., Jimenez, V., The greener synthesis of nanoparticles (2013) Trends Biotechnol, 31 (4), pp. 240-248; Kirthi, A.V., Rahuman, A.A., Jayaseelan, C., Karthik, L., Marimuthu, S., Santhoshkumar, T., Venkatesan, J., Rao, K.V.B., Novel approach to synthesis silver nanoparticles using plant pathogenic fungi, Puccinia graminis (2012) Mater Lett, 81, pp. 69-72; Korbekandi, H., Iravani, S., Abbasi, S., Production of nanoparticles using organisms (2009) Crit Rev Biotechnol, 29 (4), pp. 279-306; Kotval, S., Tessi, J., Parmar, K., A review: fabrication of biogenic silver nanoparticles and applications (2016) J Chem Biol Phys Sci, 6 (3), pp. 997-1009. , COI: 1:CAS:528:DC%2BC2sXhs1KmurzI; Kowshik, M., Ashtaputre, S., Kharrazi, S., Vogel, W., Urban, J., Kulkarni, S., Paknikar, K., Extracellular synthesis of silver nanoparticles by a silver-tolerant yeast strain MKY3 (2003) Nanotechnology, 14, pp. 95-100; Kumar, S., Kazemian, M., Gosavi, S., Kulkarni, S., Pasricha, R., Ahmad, A., Khan, M., ( (2007) Biotechnol Lett, 29, pp. 439-445. , https://doi.org/10.1007/s10529-006-9256-7; Kumar, R., Priyadharsani, P., Thamaraiselvi, K., Mycogenic synthesis of silver nanoparticles by the Japanese environmental isolate Aspergillus tamari (2012) J Nanoparticle Res, 14, pp. 860-868; Li, G., He, D., Qian, Y., Guan, B., Gao, S., Cui, Y., Yokoyama, K., Wang, L., Fungus-mediated green synthesis of silver nanoparticles using Aspergillus terreus (2012) Int J Mol Sci, 13, pp. 466-476; Liong, M., France, B., Bradley, K.A., Zink, J.I., Antimicrobial activity of silver nanocrystals encapsulated in mesoporous silica nanoparticles (2009) Adv Mater, 21, pp. 1684-1689; Li, Y., Wenyong, P., Leizeng, Y., (2017) Patent CN107653267A, , China; Ma, L., Su, W., Liu, J., Zeng, X., Huang, Z., Li, W., Liu, Z., Tang, J., Optimization for extracellular biosynthesis of silver nanoparticles by Penicillium aculeatum Su1 and their antimicrobial activity and cytotoxic effect compared with silver ions (2017) Mater Sci Eng C; Madakkaa, M., Jayarajub, N., Rajesha, N., Mycosynthesis of silver nanoparticles and their characterization (2018) MethodsX, 5, pp. 20-29; Majeed, S., Abdullah, M., Nanda, A., Ansari, M., In vitro study of the antibacterial and anticancer activities of silver nanoparticles synthesized from Penicillium brevicompactum (MTCC-1999) (2016) J. Taibah Univ. Sci.; Maliszewska, I., Szewczyk, K., Waszak, K., Biological synthesis of silver nanoparticles (2009) J Phys Conf Ser; Maliszewska, I., Juraszek, A., Bielska, K., Green synthesis and characterization of silver nanoparticles using ascomycota fungi Penicillium nalgiovense AJ12 (2013) J Clust Sci; Mandal, D., Bolander, M., Mukhopadhyay, D., Sarkar, G., Mukherjee, P., The use of microorganisms for the formation of metal nanoparticles and their application (2006) Appl Microbiol Biotechnol, 69, pp. 485-492; Manimozhi, R., Anitha, R., Mycosynthesis of silver nanoparticles using aqueous extract of Aspergillus Flavus mycelium and its characterization (2014) Int J Pharm Drug Anal, 2 (9), pp. 734-739; Mansoori, G., (2010) Patent US 2010/0055199 A1, , United States; Marsili, E., Das Sujoy, K., Biosynthetic nanoparticles for biotechnological and biomedical applications (2016) Enzyme Microb Technol, 95, pp. 1-3; Mekkawy, A., El-Mokhtar, M., Nafady, N., Yousef, N., Hamad, M., El-Shanawany, S., Ibrahim, E., Elsabahy, M., In vitro and in vivo evaluation of biologically synthesized silver nanoparticles for topical applications: effect of surface coating and loading into hydrogels (2017) Int J Nanomedicine, 12, pp. 759-777; Meyer, V., Genetic engineering of filamentous fungi progress, obstacles and future trends (2008) Biotechnol Adv, 26, pp. 177-185; Mishra, S., Singh, H., Biosynthesized silver nanoparticles as a nanoweapon against phytopathogens: exploring their scope and potential in agriculture (2015) Appl Microbiol Biotechnol, 99, pp. 1097-1107; Moghaddam, A., Namvar, F., Moniri, M., Tahir, P., Azizi, S., Mohamad, R., Nanoparticles biosynthesized by fungi and yeast: a review of their preparation, properties, and medical applications (2015) Molecules, 20, pp. 16540-16565; Mohammadian, A., Sho Jaosadati, S., Rezaee, M., Fusarium oxysporum mediates photogeneration of silver nanoparticles (2007) Sci Iran., 14 (4), pp. 323-326. , COI: 1:CAS:528:DC%2BD2sXhtVOqu77L; Mohammed, O., Jamal, R., Taher, S., The effects of Fusarium graminarum silver nanoparticles on leishmania tropica (2019) J Phys Conf Ser; Mohanpuria, P., Rana, N., Yadav, S., Biosynthesis of nanoparticles: technological concepts and future applications (2008) J Nanopart Res, 10, pp. 507-517; Moharekar, V., Moharekar, S., Bora, P., Daithankar, V., Uplane, M., Exploitation of Aspergillus niger for synthesis of silver nanoparticles and their use to improve shelf life of fruits and toxic dye degradation (2014) Int J Innov Pharm Sci Res, 2, pp. 1915-1927; Mokhtari, N., Daneshpajouh, S., Seyedbagheri, S., Atashdehghan, R., Abdi, K., Sarkar, S., Minaian, S., Shahverdi, H., A Biological synthesis of very small silver nanoparticles by culture supernatant of Klebsiella pneumonia: the effects of visible-light irradiation and the liquid mixing process (2009) Mater Res Bull, 44, pp. 1415-1421; Moritz, M., Moritz, M., The newest achievements in synthesis, immobilization and practical applications of antibacterial nanoparticles (2013) Chem Eng J, 228, pp. 596-613; Morsi, R., Alsabagh, A., Nasr, S., Zaki, M., Multifunctional nanocomposites of chitosan, silver nanoparticles, copper nanoparticles and carbon nanotubes for water treatment: antimicrobial characteristics (2017) Int J Biol Macromol, 97, pp. 264-269; Moteshafi, H., Mousavi, S., Shojaosadati, S., The possible mechanisms involved in nanoparticles biosynthesis (2012) J Ind Eng Chem, 18, pp. 2046-2050; Moustafa, M., Removal of pathogenic bacteria from wastewater using silver nanoparticles synthesized by two fungal species (2017) Water Sci, 31, pp. 164-176; Mukherjee, P., Ahmad, A., Mandal, D., Senapati, S., Sainkar, S., Khan, M., Parishcha, R., Sastry, M., Fungus-mediated synthesis of silver nanoparticles and their immobilization in the mycelial matrix: a novel biological approach to nanoparticle synthesis (2001) Nano Lett, 1 (10), pp. 515-519; Mukherjee, P., Extracellular synthesis of gold nanoparticles by the fungus Fusarium oxysporum (2004) Chem Bio Chem, 3 (5), pp. 461-463; Mukherjee, P., Roy, M., Mandal, B., Dey, G., Mukherjee, P., Ghatak, J., Tyagi, A., Kale, S., Green synthesis of highly stabilized nanocrystalline silver particles by a nonpathogenic and agriculturally important fungus Trichoderma asperellum (2008) Nanotechnolology, 19; Mukherjee, S., Chowdhury, D., Kotcherlakota, R., Patra, S., Vinothkumar, B., Pal Bhadra, M., Sreedhar, B., Ranjan, C., (2014) Potential theranostics application of bio-synthesized silver nanoparticles (4-in-1 system), 4 (3), pp. 316-335. , https://doi.org/10.7150/thno.7819; Musarrat, J., Dwivedi, S., Singh, B., Al-KhedhairyA, A.A., Naqvi, A., Production of antimicrobial silver nanoparticles in water extracts of the fungus Amylomyces rouxii strain KSU-09 (2010) Bioresour Technol, 101, pp. 8772-8776; Mustapha, T., Misni, N., Ithnin, N., Daskum, A., Unyah, N., Review on plants and microorganisms mediated synthesis of silver nanoparticles, role of plants metabolites and applications (2022) Int J Environ Res Public Health, 19, p. 674; Nam, G., Purushothaman, B., Rangasamy, S., Song, J., Investigating the versatility of multifunctional silver nanoparticles: preparation and inspection of their potential as wound treatment agents (2016) Int Nano Lett, 6, pp. 51-63; Narayanan, K., Sakthivel, N., Biological synthesis of metal nanoparticles by microbes (2010) Adv Colloid Interface Sci, 156, pp. 1-13; Naveen, H., Kumar, G., Karthik, L., Bhaskara, R., Extracellular biosynthesis of silver nanoparticles using the filamentous fungus Penicillium sp (2010) Arch Appl Sci Res, 2 (6), pp. 161-167; Nayak, R., Pradhan, N., Behera, D., Pradhan, K., Mishra, S., Sukla, L., Mishra, B., Green synthesis of silver nanoparticle by Penicillium purpurogenum NPMF: the process and optimization (2011) J Nanopart Res; Nayak, B., Nanda, A., Prabhakar, V., Biogenic synthesis of silver nanoparticle from wasp nest soil fungus, Penicillium italicum and its analysis against multidrug resistance pathogens (2018) Biocatal Agric Biotechnol; Nithya, R., Ragunathan, R., Synthesis of silver nanoparticle using Pleurotus sajor caju and its antimicrobial study (2009) Dig J Nanomater Biostructures, 4 (4), pp. 623-629; Nithya, R., Ragunathan, R., (2010) Proceedings on decolorization of the dye congo red by Aspergillus niger nanoparticle, , Nation Semi. Anna Univer, Trichy; Ortashi, K., Awad, M., Hendi, A., Abdelaziz, A., Hendi, A., Alahmed, A., (2016) Patent US 9,701,552 B1., , United States; Ottoni, C., Simões, M., Fernandes, S., dos Santos, J., da Silva, E., de Souza, R., Maiorano, A., Screening of filamentous fungi for antimicrobial silver nanoparticles synthesis (2018) Nanomaterials, 8, p. 586; Owaid, M., Raman, J., Lakshmanan, H., Al-Saeedi, S., Sabaratnam, V., Abed, I., Mycosynthesis of silver nanoparticles by Pleurotus cornucopiae var. citrinopileatus and its inhibitory effects against Candida sp (2015) Mater Lett, 153, pp. 186-190; Perelshtein, I., Applerot, G., Perkas, N., Guibert, G., Mikhailov, S., Gedanken, A., Sonochemical coating of silver nanoparticles on textile fabrics (nylon, polyester and cotton) and their antibacterial activity (2008) Nanotechnology; Philip, D., Biosynthesis of Au, Ag and Au/Ag nanoparticles using edible mushroom extract (2009) Spectrochim Acta A Part a, 73, pp. 374-381; Prabhu, S., Poulose, E., Silver nanoparticles: mechanism of antimicrobial action, synthesis, medical applications, and toxicity effects (2012) Int Nano Lett; Pradhan, N., Nayak, R., Pradhan, A., Sukla, L., Mishra, B., Green synthesis of silver nanoparticle by Penicillium purpurogenum NPMF: the process and optimization (2011) Nanosci Nanotechnol Lett, 3, pp. 1-7; Qian, Y., Yu, H., He, D., Yang, H., Wang, W., Wan, X., Wang, L., Biosynthesis of silver nanoparticles by the endophytic fungus Epicoccum nigrum and their activity against pathogenic fungi (2013) Bioprocess Biosyst Eng, 36, pp. 1613-1619; Quester, K., Avalos-Borja, E., Castro-Longoria, E., Biosynthesis and microscopic study of metallic nanoparticles (2013) Micron, 54-55, pp. 1-27; Raheman, F., Deshmukh, S., Ingle, A., Gade, A., RaiSilver, M., Nanoparticles: novel antimicrobial agent synthesized from an endophytic fungus Pestalotia sp. Isolated from leaves of Syzygium cumini (L) (2011) Nano Biomed. Eng., 3 (3), pp. 174-178. , COI: 1:CAS:528:DC%2BC38Xos1ar; Rai, M., Yadav, A., Gade, A., Silver nanoparticles as a new generation of antimicrobials (2009) Biotechnol Adv, 27, pp. 76-83; Ramalingmam, P., Muthukrishnan, S., Thangaraj, P., Biosynthesis of silver nanoparticles using an endophytic fungus, Curvularia lunata and its antimicrobial potential (2015) J Nanosci Nanoeng, 1 (4), pp. 241-247; Ramos, M., dos Morais, S.E., da Sena, S.I., Lima, A., de Oliveira, F., de Freitas, C., Fernandes, C., Ferreira, I., Silver nanoparticle from whole cells of the fungi Trichoderma spp isolated from brazilian Amazon (2020) Biotechnol Lett; Rani, R., Sharma, D., Chaturvedi, M., Yadav, J., Green synthesis, characterization and antibacterial activity of silver nanoparticles of endophytic fungi Aspergillus terreus (2017) J Nanomed Nanotechnol, 8, p. 457; Ravindra, B., Rajasab, H., A comparative study on biosynthesis of silver nanoparticles using four different fungal species (2014) Int J Pharm Pharm Sci, 6 (1), pp. 372-376; Riedel, S., Martin, K., The highest oxidation states of the transition metal elements (2009) Coord Chem Rev, 253 (5-6), pp. 606-624; Rodríguez, C., Guzmán, J., Chávez, A., Rodríguez, V., Ortega, J., Ramírez, R., Biosynthesis of silver nanoparticles by Fusarium scirpi and its potential as antimicrobial agent against uropathogenic Escherichia coli biofilms (2020) PLoS ONE, 15 (3); Rónavári, A., Igaz, N., Gopisetty, M., Szerencsés, B., Kovács, D., Papp, C., Vágvölgyi, C., Pfeiffer, I., Biosynthesized silver and gold nanoparticles are potent antimycotics against opportunistic pathogenic yeasts and dermatophytes (2018) Int J Nanomed, 13, pp. 695-703; Roy, A., Bulut, O., Some, S., Mandal, A., Yilmaz, D., Green synthesis of silver nanoparticles: biomolecule-nanoparticle organizations targeting antimicrobial activity (2019) RSC Adv, 9, p. 2673; Sadowski, Z., Maliszewska, I., Grochowalska, B., Polowczyk, I., Koźlecki, T., Synthesis of silver nanoparticles using microorganisms (2008) Mater Sci-Pol, 26 (2), pp. 419-424. , COI: 1:CAS:528:DC%2BD1cXosVWru7Y%3D; Saha, S., Sarkar, J., Chattopadhyay, D., Patra, S., Chakraborty, A., Acharya, K., Production of silver nanoparticles by a phytopathogenic fungus Bipolaris nodulosa and its antimicrobial activity (2010) Dig J Nanomater Biostructures, 5 (4), pp. 887-895; Saifuddin, N., Nian, C., Zhan, L., Ning, K., Chitosan-silver nanoparticles composite as point of use drinking water filtration system for household to remove pesticides in water (2011) Asian J Biochem, 6, pp. 142-159; Salvadori, M., Ando, R., Nascimento, C., Corrêa, B., Dead biomass of Amazon yeast: a new insight into bioremediation and recovery of silver by intracellular synthesis of nanoparticles (2017) J Environ Sci Health, Part A; Sanghi, R., Verma, P., Biomimetic synthesis and characterization of protein capped silver nanoparticles (2009) Bioresour Technol, 100, pp. 501-504; Saravanan, M., Nanda, A., Extracellular synthesis of silver bionanoparticles from Aspergillus clavatus and its antimicrobial activity against MRSA and MRSE (2010) Colloids Surf B, 77, pp. 214-218; Sarsar, V., Selwal, M., Selwal, K., Biofabrication, characterization and antibacterial efficacy of extracellular silver nanoparticles using novel fungal strain of Penicillium atramentosum KM (2015) J Saudi Chem Soc, 19, pp. 682-688; Saxena, J., Sharma, P., Sharma, M., Singh, A., Process optimization for green synthesis of silver nanoparticles by Sclerotinia sclerotiorum MTCC 8785 and evaluation of its antibacterial properties (2016) Springer plus; Schröfel, A., Kratošová, G., Šafarík, I., Šafarková, M., Raška, I., Shor, L., Applications of biosynthesized metallic nanoparticles—A review (2014) Acta Biomater, 10, pp. 4023-4042; Shahzad, A., Saeed, H., Iqtedar, M., Hussain, S., Kaleem, A., Abdullah, R., Sharif, S., Chaudhary, A., Size-Controlled production of silver nanoparticles by Aspergillus fumigatus BTCB10: likely Antibacterial and Cytotoxic Effects (2019) J Nanomater; Shaligram, N., Bule, M., Bhambure, R., Singhal, R., Singh, S., Szakacs, G., Pandey, A., Biosynthesis of silver nanoparticles using aqueous extract from the compactin producing fungal strain (2009) Process Biochem, 44, pp. 939-943; Sharma, V., Yngard, R., Lin, Y., Silver nanoparticles: green synthesis and their antimicrobial activities (2009) Adv Colloid Interface Sci, 145, pp. 83-96; Shelar, G., Chavan, A., Fusarium semitectum mediated extracellular synthesis of silver nanoparticles and their antibacterial activity (2014) Int J Biomed Adv, 5 (7), pp. 1-4; Sheng, Z., Liu, Y., Effects of silver nanoparticles on wastewater biofilms (2011) Water Res, 45, pp. 6039-6050; Siddiqi, K., Husen, A., Fabrication of metal nanoparticles from fungi and metal salts: scope and Application (2016) Nanoscale Res Lett, 11, p. 98; Siddiqi, K., Husen, A., Rao, R., A review on biosynthesis of silver nanoparticles and their biocidal properties (2018) J Nanobiotechnol, 16 (14), pp. 1-28; Singh, D., Rathod, V., Ninganagouda, S., Hiremath, J., Singh, A., Mathew, J., Optimization and characterization of silver nanoparticle by endophytic fungi Penicillium sp. isolated from Curcuma longa (Turmeric) and application studies against MDR E. coli. and S. aureus (2014) Bioinorg Chem Appl; Singh, P., Kim, Y., Zhang, D., Yang, D., Biological synthesis of nanoparticles from plants and microorganisms (2016) Trends Biotechnol, 34 (7), pp. 588-599; Sinha, S., Pan, I., Chanda, P., Sen, S., Nanoparticle</t>
  </si>
  <si>
    <t>Suárez H., Reyes A., Suárez Y.</t>
  </si>
  <si>
    <t>38762165900;55951683100;57204524356;</t>
  </si>
  <si>
    <t>Arabian Journal of Mathematics</t>
  </si>
  <si>
    <t>https://www.scopus.com/inward/record.uri?eid=2-s2.0-85143595395&amp;doi=10.1007%2fs40065-022-00410-z&amp;partnerID=40&amp;md5=a21500cd61cff024f2cf12e0b7f8ab45</t>
  </si>
  <si>
    <t>Escuela de Matemáticas y Estadística, Universidad Pedagógica y Tecnológica de Colombia, Sede Tunja, Colombia; Departamento de Matemáticas, Universidad Nacional de Colombia, Sede Bogotá, Colombia</t>
  </si>
  <si>
    <t>Suárez, H., Escuela de Matemáticas y Estadística, Universidad Pedagógica y Tecnológica de Colombia, Sede Tunja, Colombia; Reyes, A., Departamento de Matemáticas, Universidad Nacional de Colombia, Sede Bogotá, Colombia; Suárez, Y., Escuela de Matemáticas y Estadística, Universidad Pedagógica y Tecnológica de Colombia, Sede Tunja, Colombia</t>
  </si>
  <si>
    <t>In this paper, we provide a new and more general filtration to the family of noncommutative rings known as skew PBW extensions. We introduce the notion of σ-filtered skew PBW extension and study some homological properties of these algebras. We show that the homogenization of a σ-filtered skew PBW extension A over a ring R is a graded skew PBW extension over the homogenization of R. Using this fact, we prove that if the homogenization of R is Auslander-regular, then the homogenization of A is a domain Noetherian, Artin–Schelter regular, and A is Noetherian, Zariski and (ungraded) skew Calabi–Yau. © 2022, The Author(s).</t>
  </si>
  <si>
    <t>Acosta, J.P., Lezama, O., Universal property of skew PBW extensions (2015) Algebra Discrete Math., 30 (1), pp. 1-12; Andruskiewitsch, N., Dumas, F., Peña, H.M., (2021) On the double of the Jordan plane; Artamonov, V.A., Derivations of skew PBW extensions (2015) Commun. Math, Stat, 3 (4), pp. 449-457. , https://doi.org/10.1007/s40304-015-0067-9; Artin, M., Schelter, W.F., Graded algebras of global dimension 3 (1987) Adv. Math., 66 (2), pp. 171-216; Bell, A., Goodearl, K., Uniform rank over differential operator rings and Poincaré-Birkhoff-Witt extensions (1988) Pac. J. Math., 131 (11), pp. 13-37; Bell, A.D., Smith, S.P., (1990) Some 3-Dimensional Skew Polynomial Ring, , University of Wisconsin-Milwaukee and University of Washington; Cassidy, T., Shelton, B., PBW-deformation theory and regular central extensions (2007) J. Reine Angew. Math., 610, pp. 1-12; Cassidy, T., Shelton, B., Generalizing the notion of Koszul algebra (2008) Math. Z., 260 (1), pp. 93-114; Chirvasitu, A., Smith, S.P., Wong, L.Z., Noncommutative geometry of homogenized quantum sl(2, C) (2018) Pacific J. Math., 292 (2), pp. 305-354; Fajardo, W., Gallego, C., Lezama, O., Reyes, A., Suárez, H., Venegas, H., (2020) Skew PBW Extensions: Ring and Module-theoretic Properties, Matrix and Gröbner Methods, and Applications, , Algebra and Applications, Springer Cham; Gaddis, J., PBW deformations of Artin-Schelter regular algebras (2016) J. Algebra Appl., 15 (4). , (,), (,)., https://doi.org/10.1142/S021949881650064X; Gallego, C., Lezama, O., Gröbner bases for ideals of σ -PBW extensions (2011) Comm. Algebra, 39 (1), pp. 50-75; Gómez, J., Suárez, H., Double Ore extensions versus graded skew PBW extensions (2020) Comm. Algebra, 48 (1), pp. 185-197; Greenfeld, B., Smoktunowicz, A., Ziembowski, M., Five solved problems on radicals of Ore extensions (2019) Publ. Mat., 63 (2), pp. 423-444; Hashemi, E., Khalilnezhad, K., Alhevaz, A., (Σ, Δ) -Compatible skew PBW extension ring (2017) Kyungpook Math. J., 57 (3), pp. 401-417; Hashemi, E., Khalilnezhad, K., Alhevaz, A., Extensions of rings over 2-primal rings (2019) Matematiche, 74 (1), pp. 141-162; Hashemi, E., Khalilnezhad, K., Ghadiri, M., Baer and quasi-Baer properties of skew PBW extensions (2019) J. Algebr. Syst., 7 (1), pp. 1-24. , https://doi.org/10.22044/JAS.2018.6762.1333; Le Bruyn, L., Smith, S.P., Homogenized sl(2) (1993) Proc. Amer. Math. Soc., 118 (3), pp. 725-730; Le Bruyn, L., Smith, S.P., Van den Bergh, M., Central extensions of three dimensional Artin-Schelter algebras (1996) Math. Z., 222 (2), pp. 171-212; Levasseur, T., Some properties of non-commutative regular graded rings (1992) Glasglow Math. J., 34 (3), pp. 277-300; Lezama, O., Computation of point modules of finitely semi-graded rings (2020) Comm. Algebra, 48 (2), pp. 866-878; Lezama, O., Some Open Problems in the Context of Skew PBW Extensions and Semi-graded Rings (2021) Commun. Math. Stat., 9 (3), pp. 347-378; Lezama, O., Gallego, C., d -Hermite rings and skew PBW extensions (2016) São Paulo J. Math. Sci., 10 (1), pp. 60-72; Lezama, O., Gallego, C., Projective modules and Gröbner bases for skew PBW extensions (2017) Dissertationes Math., 521, pp. 1-50; Lezama, O., Gómez, J., Koszulity and Point Modules of Finitely Semi-Graded Rings and Algebras (2019) Symmetry, 11 (7), p. 881. , (,), (,)., https://doi.org/10.3390/sym11070881; Lezama, O., Latorre, E., Non-commutative algebraic geometry of semi-graded rings (2017) Internat. J. Algebra Comput., 27 (4), pp. 361-389; Lezama, O., Reyes, A., Some Homological Properties of Skew PBW Extensions (2014) Comm. Algebra, 42 (3), pp. 1200-1230; Lezama, O., Venegas, H., Some homological properties of skew PBW extensions arising in non-commutative algebraic geometry (2017) Discuss. Math. Gen. Algebra Appl., 37 (1), pp. 45-57; Lezama, O., Venegas, H., Center of skew PBW extensions (2020) Internat. J. Algebra Comput., 30 (8), pp. 1625-1650; Li, H., Van Oystaeyen, F., Dehomogenization of gradings to Zariskian filtrations and aplications to invertible ideals (1992) Proc. Amer. Math. Soc., 115 (1), pp. 1-11; Li, H., van Oystaeyen, F., (1996) Zariskian Filtrations. K -Monographs in Mathematics, , Springer Science; Liu, Y., Wang, S., Wu, Q.-S., Twisted Calabi-Yau property of Ore extensions (2014) J. Noncommut. Geom., 8 (2), pp. 587-609; Louzari, M., Reyes, A., Minimal prime ideals of skew PBW extensions over 2-primal compatible rings (2020) Rev. Colombiana Mat, 54 (1), pp. 39-63. , (,) (,)., https://doi.org/10.15446/recolma.v54n1.89788; McConnell, J., Robson, J., Noncommutative Noetherian Rings (2001) Graduate Studies in Mathematics, AMS; Ore, O., Theory of Non-Commutative Polynomials (1933) Ann. of Math. (2), 34 (3), pp. 480-508. , (,), -, (,),., https://doi.org/10.2307/1968173; Phan, C., The Yoneda algebra of a graded Ore extension (2012) Comm. Algebra, 40 (3), pp. 834-844; Redman, I.T., The homogenization of the three dimensional skew polynomial algebras of type I (1999) Comm. Algebra, 27 (11), pp. 5587-5602; Reyes, A., Suárez, H., Enveloping algebra and skew Calabi-Yau algebras over skew Poincaré-Birkhoff-Witt extensions (2017) Far East J. Math. Sci. (FJMS), 102 (2), pp. 373-397. , (,) (,)., https://doi.org/10.17654/MS102020373; Reyes, A., Suárez, H., A notion of compatibility for Armendariz and Baer properties over skew PBW extensions (2018) Rev. Un. Mat. Argentina, 59 (1), pp. 57-78; Reyes, A., Suárez, H., Skew Poincaré-Birkhoff-Witt extensions over weak zip rings (2019) Beitr. Algebra Geom., 60 (2), pp. 197-216; Reyes, A., Suárez, H., Skew Poincaré-Birkhoff-Witt extensions over weak compatible rings (2020) J. Algebra Appl., 19 (12). , https://doi.org/10.1142/S0219498820502254; Reyes, A., Suárez, H., Radicals and Köthe’s conjecture for skew PBW extensions (2021) Commun. Math. Stat., 9 (2), pp. 119-138; Reyes, A., Suárez, Y., On the ACCP in skew Poincaré-Birkhoff-Witt extensions (2018) Beitr. Algebra Geom., 59 (4), pp. 625-643; Rogalski, D., Zhang, J.J., Regular algebras of dimension 4 with 3 generators (2012) Contemp. Math. (AMS), 562, pp. 221-241. , https://doi.org/10.1090/conm/562/11130; Rosenberg, A.L., (1995) Noncommutative Algebraic Geometry and Representations of Quantized Algebras. Mathematics and Its Applications, 330. , Kluwer Academic Publishers; Shen, Y., Lu, D.-M., Nakayama automorphisms of PBW deformations and Hopf actions (2016) Sci. China Math., 59 (4), pp. 661-672. , https://doi.org/10.1007/s11425-015-5077-2; Suárez, H., Koszulity for graded skew PBW extensions (2017) Comm. Algebra, 45 (10), pp. 4569-4580. , (,) (, a,)., https://doi.org/10.1080/00927872.2016.1272694; Suárez, H., (2017) N -Koszul Algebras, Calabi-Yau Algebras and Skew PBW Extensions. Ph.D. Thesis, , Universidad Nacional de Colombia, Bogotá, Colombia, (b; Some special determinants in graded skew PBW extensions (2021) Rev. Integr. Temas Mat, 39 (1), pp. 91-107. , https://doi.org/10.18273/revint.v39n1-2021007; Suárez, H., Lezama, O., Reyes, A., Calabi-Yau property for graded skew PBW extensions (2017) Rev. Colombiana Mat., 51 (2), pp. 221-238; Tumwesigye, A.B., Richter, J., Silvestrov, S., Centralizers in PBW Extensions (2020) Algebraic Structures and Applications. SPAS 2017, Springer Proceedings in Mathematics &amp; Statistics, Vol., 317. , Silvestrov S., Malyarenko A., Rancic M. (eds), Springer; Wu, Q., Zhu, C., Poincaré-Birkhoff-Witt deformation of Koszul Calabi-Yau algebras (2013) Algebr. Represent. Theor., 16 (2), pp. 405-420; Zambrano, B.A., Poisson brackets on some skew PBW extensions (2020) Algebra Discrete Math, 29 (2), pp. 277-302. , (,) (,)., https://doi.org/10.12958/adm1037; Zhang, J.J., Zhang, J., Double Ore extensions (2008) J. Pure Appl. Algebra, 212 (12), pp. 2668-2690; Zhang, J.J., Zhang, J., Double extension regular algebras of type (14641) (2009) J. Algebra, 322 (2), pp. 373-409</t>
  </si>
  <si>
    <t>Reyes, A.; Departamento de Matemáticas, Colombia; email: mareyesv@unal.edu.co</t>
  </si>
  <si>
    <t>2-s2.0-85143595395</t>
  </si>
  <si>
    <t>Cuintaco L.Á., Cuervo O.P., Cuervo D.P.</t>
  </si>
  <si>
    <t>57998511000;57998255900;57997999300;</t>
  </si>
  <si>
    <t>The instant messaging niche for snack culture [La mensajería instantánea nicho para la cultura snack]</t>
  </si>
  <si>
    <t>RISTI - Revista Iberica de Sistemas e Tecnologias de Informacao</t>
  </si>
  <si>
    <t>https://www.scopus.com/inward/record.uri?eid=2-s2.0-85143594283&amp;partnerID=40&amp;md5=4b736e01d43a3c87ef4ab1863aab8483</t>
  </si>
  <si>
    <t>Colegio Gimnasio Santander, Tunja, 150001, Colombia; Universidad Pedagógica y Tecnológica de Colombia, Tunja, 150001, Colombia</t>
  </si>
  <si>
    <t>Cuintaco, L.Á., Colegio Gimnasio Santander, Tunja, 150001, Colombia; Cuervo, O.P., Universidad Pedagógica y Tecnológica de Colombia, Tunja, 150001, Colombia; Cuervo, D.P., Universidad Pedagógica y Tecnológica de Colombia, Tunja, 150001, Colombia</t>
  </si>
  <si>
    <t>With the intention of analyzing the perceptions of the interactions mediated by the instant messaging services of young university students, the text presents the epistolary exchange as an introductory scenario to characterize the subject proper to this genre and contrast it with the subject constituted in the WhatsApp era., the meme and the emoji. Instant messaging, immediacy and new languages are related as thematic entities that converge in the contemporary communicative scenario. It proceeds methodologically from an exploratory approach with theoretical sampling. 174 students from the Pedagogical and Technological University of Colombia who were studying the subject ICT and Learning Environments (interdisciplinary subject for teacher training careers) were selected. The conclusions relate to the loss of waiting and the use of instant messaging, the study subjects as prone to digital addictions and the investigated scenario as a niche for snack culture. © 2022, Associacao Iberica de Sistemas e Tecnologias de Informacao. All rights reserved.</t>
  </si>
  <si>
    <t>immediacy; instant messaging; snack culture; virtuality</t>
  </si>
  <si>
    <t>Binetti, M. J., El estadio estético de Kierkegaard en en las categorías lógicas de Hegel: Inmediatez, reflexión y posibilidad formal (2010) Enfoques, XXII (1), pp. 31-51; Han, B., (2014) En el enjambre, , Herder; Carrion, J., (2020) Lo Viral, , Galaxia Gutenberg; Cervantes, C., Alvites-Huamaní, C., WhatsApp como recurso educativo y tecnológico en la educación (2021) HAMUT’AY, 8 (2), p. 69. , https://doi.org/10.21503/hamu.v8i2.2294; Diago, E. R., (2002) El hombre que quería escribir una carta, , Editorial Norma; Díaz, J. S. R., Londoño, J. J. Y., Panorama de riesgos por el uso de la tecnología en América Latina (2022) Trilogía: Ciencia Tecnología Sociedad, 14 (26). , https://dialnet.unirioja.es/servlet/articulo?codigo=8388899, ((Enero-Abril)); Domènech, J. M. C., Formas de aparición. La carta fílmica como enigma (2019) Área Abierta, 19 (3), pp. 267-286. , https://doi.org/10.5209/arab.61942; Fernández, M. O. G., La capacitación docente para una educación remota de emergencia por la pandemia de la COVID-19 (2021) Revista Tecnología, Ciencia y Educación, 19, pp. 81-102; García, D., El whatsapp de odiseo. Potencial desinformativo y estrategias retóricas del audio fake (2021) En Manual de periodismo y verificación de noticias en la era de las fake news, pp. 99-132. , https://doi.org/10.5944/m.periodismo.verificacion.2021, UNED; Gascón, J. F. F., Pascual, J. M., Bernal, P. M., López, M. P., Usos del WhatsApp en el estudiante universitario español. Pros y contras (2019) Revista Latina de Comunicación Social, 74, p. 46; González Álvarez, P., García, Fernández, (2020) Envío seguro de información a través de aplicaciones de mensajería móvil [Working Paper], , http://calderon.cud.uvigo.es/handle/123456789/373, (advisor), N. Centro Universitario de la Defensa de Marín; González, J. R. V., Fahara, M. F., (2018) Fundamentos de investigación educativa, 2. , Volumen y 3. Editorial Digital del Tecnológico de Monterrey; Hernández, R. J. A., Islas, A. C., Otero, M. E. P., Velázquez, J. G. F., La mensajería instantánea como ecosistema mediático bajo el modelo Innis. Un análisis de su impacto social y tecnológico (2021) FACE: Revista de la Facultad de Ciencias Económicas y Empresariales, 21 (3), pp. 34-48; Kelly, S. E., (2012) Examining the Role of Perceived Immediacy as a Mediator: Revisiting the Relationships among Immediate Behaviors, Liking, and Disclosure, , [PhD diss]. University of Tennessee; Krasniqi, F., (2014) La carta literaria: Historia y formas, , Editorial de la Universidad de Granada; Lima Hallwass, L. C., Hessler Bredow, V., WhatsApp como ambiente de interação social e aprendizagens durante o ensino remoto emergencial | Hallwass | Revista Educação e Emancipação (2021) Revista Educação e Emancipação, 14 (2), pp. 62-83; Mallamaci, M. G., Conectados, demasiado conectados. Poder, técnica y virtualización desde el pensamiento de Paul Virilio (2020) Revista de Filosofía, 45 (2), p. 247; Mathias, L. G., Helena; Palomino Forero, Jorge Alberto; Gutiérrez Castañeda, David; Bermejo Camacho, Catherine; Torres Cruz, César; Vacarezza, Nayla Luz; Salazar Vélez, Adriana; Klitgård (2022) Lecturas interdisciplinares de los cuerpos: Discursos, emociones y afectos, , de O., Universidad Central; Qutishat, M. G., AI Dameery, Q., AI Omari, O., AI Qadire, M., Correlation between Fear of Missing out and Night Eating Syndrome among University Students— ProQuest (2022) Iran J Psychiatry, 17 (2). , https://www.proquest.com/openview/b8b02e5e3d240e2a15568c3ebd3a588b/1?pq-origsite=gscholar&amp;cbl=105762; Robles, F. J. M., (2014) Servicios de Red e Internet, , Grupo Editorial RA-MA; Rodríguez, J. R., Alvarez, M. R., Calcular la fiabilidad de un cuestionario o escala mediante el SPSS: El coeficiente alfa de Cronbach (2020) REIRE: revista d’innovació i recerca en educació, 13 (2), p. 8; Roman, R. M., Los emoticonos como código de mediación entre lenguas y emociones: Su papel en la L2 (2021), https://dialnet.unirioja.es/servlet/articulo?codigo=8265939, Dykinson; Romero, C., Krichesky, G., Zacarías, N., Escuelas WhatsApp y Escuelas Zoom” Desigualdad y segregación educativa durante la pandemia Covid 19 en Argentina (2021), https://ideas.repec.org/p/udt/wpecon/wp_gob_2021_10.html, En School of Government Working Papers (wp_gob_2021_10; School of Government Working Papers). Universidad Torcuato Di Tella; Ruiz-Bolivar, C., (2013) Instrumentos y Tecnicas de Investigación Educativa, , https://www.academia.edu/37886948/Instrumentos_y_Tecnicas_de_Investigaci%C3%B3n_Educativa_Carlos_Ruiz_Bolivar_pdf; Sampieri, R. H., (2010) Metodología de la investigación (5ta Edición), , McGRAW-HILL; Sampietro, A., (2016) Emoticonos y emojis. Análisis de su historia, difusión y uso en la comunicación digital actual, , [Tesis doctoral]; Sánchez, R., La imagen circulante del rey: El sello postal y las representaciones visuales de la nación en España (1849-1882) (2019) Hispania, 79 (262), pp. 443-470. , https://doi.org/10.3989/hispania.2019.013; Sánchez, Sofia, (2020) Sistema Seguro de Mensajería Instantánea Certificada [Tesis de pregrado], , Escuela Técnica Superior de Ingenieros informáticos; Scolari, C., (2020) Cultura Snack: Lo bueno si breve, , (1a ed). la marca editora; Soriano Sánchez, J. G., Factores psicológicos y consecuencias del Síndrome Fear of Missing Out: Una Revisión Sistemática (2022) Revista de Psicología y Educación-Journal of Psychology and Education, 17, p. 69. , https://doi.org/10.23923/rpye2022.01.217; (2020) Apps de mensajería instantánea: Usuarios mundiales 2014-2022, , https://es.statista.com/estadisticas/638221/numero-mundial-de-usuarios-de-apps-de-mensajeria-movil/, Statista; (2021) Whatsapp users in Colombia 2025, , https://www.statista.com/forecasts/1146311/whatsapp-users-in-colombia, Statista; Trybisz, M., Los adjetivos de inmediatez temporal en español y sus equivalentes en polaco (2016) Itinerarios. Revista de estudios lingüísticos, literarios, históricos y antropológicos, p. 23; Virilio, P., (1997) El cibermundo la politica de lo peor, , Ediciones Catedra S.A</t>
  </si>
  <si>
    <t>Associacao Iberica de Sistemas e Tecnologias de Informacao</t>
  </si>
  <si>
    <t>Rev. Iberica Sist. Tecnol. Inf.</t>
  </si>
  <si>
    <t>2-s2.0-85143594283</t>
  </si>
  <si>
    <t>Ponsatí I., Cassú D., Amador M.</t>
  </si>
  <si>
    <t>57192066678;56239659200;35434442700;</t>
  </si>
  <si>
    <t>Melodic dictation: analysis of the students’ performance in the access examinations to music professional grade in Catalonia [El dictado melódico: análisis del rendimiento de los estudiantes en la prueba de acceso al grado profesional de música en Cataluña]</t>
  </si>
  <si>
    <t>Revista Electronica Complutense de Investigacion en Educacion Musical</t>
  </si>
  <si>
    <t>10.5209/reciem.77634</t>
  </si>
  <si>
    <t>https://www.scopus.com/inward/record.uri?eid=2-s2.0-85143285987&amp;doi=10.5209%2freciem.77634&amp;partnerID=40&amp;md5=0c689d44f547b5d415cf132c52fa71d9</t>
  </si>
  <si>
    <t>Conservatori de Música Isaac Albéniz de Girona, Spain; Atmira Consultora Madrid, Spain; Universitat Autònoma de Barcelona, Spain</t>
  </si>
  <si>
    <t>Ponsatí, I., Conservatori de Música Isaac Albéniz de Girona, Spain; Cassú, D., Atmira Consultora Madrid, Spain; Amador, M., Universitat Autònoma de Barcelona, Spain</t>
  </si>
  <si>
    <t>Melodic dictation is regarded as a fundamental activity in the aural education of the Music Theory students in music professional schools and conservatories in Catalonia. The objective of the present study was to carry out an exploratory analysis of the performance of students when undertaking the melodic dictation included in the access examination to the first course of professional grade in a music professional conservatory in Catalonia. The sample was composed of 50 students, with an average age of 12.2 years old (SD = 1.6 years old). The durations, pitches and intervals of the transcriptions were analyzed. On the one hand, among other results the study made it possible to confirm the existence of statistically-significant differences among (1) the durations, pitches and intervals, in favor of the durations; (2) the ascending and descending intervals, in favor of the ascending ones; (3) the steps and leaps, in favor of the steps; and (4) the first and second fragment of the melody, in favor of the first one for the three analyzed parameters. On the other hand, no significant differences were detected between pitches and intervals. The rationalization of the performance attained in melodic dictation with regards to the durations, pitches and intervals may encourage and help teachers in understanding the melodic perception of their students. Thanks to that, the teaching practice might be improved by elaborating pedagogical proposals that allow teachers to develop students’ relative pitch skills more efficiently. © 2022 Universidad Complutense de Madrid. All rights reserved.</t>
  </si>
  <si>
    <t>access examinations; aural education; Melodic dictation; melodic intervals; Music Theory; pitches; rhythm</t>
  </si>
  <si>
    <t>We would like to express our gratitude to Grup de Recerca en Educació Auditiva Musical (GREAM) for the advice and support along all the stages of the study.</t>
  </si>
  <si>
    <t>Andreu, M., Ponsatí, I., Cassú, D., Godall, P., Amador, M., Miranda, J., La evaluación de las pruebas de acceso a las Enseñanzas Profesionales de Música de Cataluña (2021) Revista Internacional de Educación Musical, 9 (1), pp. 84-97. , https://doi.org/10.1177/23074841211046717; Andrianopoulou, M., (2020) Aural education: Reconceptualising ear training in higher music learning, , Routledge; Arias, C. A., Enfoques teóricos sobre la percepción que tienen las personas (2006) Horizontes Pedagógicos, 8 (1), pp. 9-22. , https://horizontespedagogicos.ibero.edu.co/article/view/08101; Baker, D. J., (2019) Modeling melodic dictation, , https://digitalcommons.lsu.edu/gradschool_dissertations/4960, [Doctoral dissertation, Louisiana State University]. LSU Doctoral Dissertations. 4960; Beckett, C. A., Directing student attention during two-part dictation (1997) Journal of Research in Music Education, 45 (4), pp. 613-625. , https://doi.org/10.2307/3345426; Buonviri, N. O., An exploration of undergraduate music majors’ melodic dictation strategies (2014) Update: Applications of Research in Music Education, 33 (1), pp. 21-30. , https://doi.org/10.1177/8755123314521036; Buonviri, N. O., Effects of a preparatory singing pattern on melodic dictation success (2015) Journal of Research in Music Education, 63 (1), pp. 102-113. , https://doi.org/10.1177/0022429415570754; Buonviri, N. O., Effects of music notation reinforcement on aural memory for melodies (2015) International Journal of Music Education, 33 (4), pp. 442-450. , https://doi.org/10.1177/0255761415582345; Buonviri, N. O., Effects of two listening strategies for melodic dictation (2017) Journal of Research in Music Education, 65 (3), pp. 347-359. , https://doi.org/10.1177/0022429417728925; Buonviri, N. O., Effects of silence, sound, and singing on melodic dictation accuracy (2019) Journal of Research in Music Education, 66 (4), pp. 365-374. , https://doi.org/10.1177/0022429418801333; Buonviri, N. O., Effects of two approaches to rhythmic dictation (2021) Journal of Research in Music Education, 68 (4), pp. 469-481. , https://doi.org/10.1177/0022429420946308; Buonviri, N. O., Paney, A. S., Melodic dictation instruction: A survey of Advanced Placement Music Theory teachers (2015) Journal of Research in Music Education, 63 (2), pp. 224-237. , https://doi.org/10.1177/0022429415584141; Cornelius, N., Brown, J. L., The interaction of repetition and difficulty for working memory in melodic dictation tasks (2020) Research Studies in Music Education, 42 (3), pp. 368-382. , https://doi.org/10.1177/1321103X18821194; Cruz de Menezes, R., (2010) Les stratégies cognitives utilisées lors de la transcription musicale et des facteurs cognitifs pouvant influencer leur résultat, , http://hdl.handle.net/20.500.11794/22124, [Master’s thesis, Université Laval]. Université Laval’s Institucional Repository; (2021) Orientacions per a la prova específica d’accés als ensenyaments professionals de Música, , http://ensenyament.gencat.cat/web/.content/home/serveis-tramits/proves/provesacces/ensenyam-prof-musica-dansa/continguts-mostres-orientacions/orientacions-prova-especifica-musica-professional.pdf, Primer curs; Dooley, K., Deutsch, D., Absolute pitch correlates with high performance on musical dictation (2010) The Journal of the Acoustical Society of America, 128 (2), pp. 890-893. , https://doi.org/10.1121/1.3458848; Dowling, W. J., Context effects on melody recognition: Scale-step versus interval representations (1986) Music Perception, 3 (3), pp. 281-296. , https://doi.org/10.2307/40285338; Field, A., (2009) Discovering statistics using SPSS, , Sage; Foulkes-Levy, L., Tonal markers, melodic patterns, and musicianship training: Part I: Rhythm reduction (1997) Journal of Music Theory Pedagogy, 11, pp. 1-24. , https://jmtp.appstate.edu/tonal-markers-melodic-patterns-and-musicianship-training-parti-rhythm-reduction; Geringer, J., Madsen, C., Pitch and tone quality discrimination and preference: Evidence for a hierarchical model of musical elements (1989) Canadian Music Educator, 30 (2), pp. 29-38; Hallam, S., Bautista, A., Processes of instrumental learning: The development of musical expertise (2012) The Oxford handbook of music education, 1, pp. 658-676. , G. E. McPherson &amp; G. Welch (Eds), –). Oxford University Press; Hedges, D. P., (1999) Taking notes: The history, practice, and innovation of musical dictation in English and American aural skills pedagogy, , (Publicatio 9942849) [Doctoral dissertation, Indiana University]. ProQuest Dissertations &amp; Theses Global; Hernández, R., Fernández, C., Baptista, P., (2006) Metodología de la investigación, , McGraw-Hill; Hofstetter, F., Computer-based recognition of perceptual patterns and learning styles in rhythmic dictation exercises (1981) Journal of Research in Music Education, 29 (4), pp. 265-277. , https://doi.org/10.2307/3345003; Hoppe, K. M., (1991) The melodic dictation strategies of musicians and common pitch and rhythm errors, , (Publicatio 9128254) [Doctoral dissertation, University of Texas at Austin]. ProQuest Dissertations &amp; Theses Global; Karpinski, G. S., A model for music perception and its implications in melodic dictation (1990) Journal of Music Theory Pedagogy, 4 (2), pp. 191-229; Karpinski, G. S., (2000) Aural skills acquisition: The development of listening, reading, and performing skills in college-level musicians, , Oxford University Press; Killam, R. N., Lorton, P. V., Schubert, E. D., Interval recognition. Identification of harmonic and melodic intervals (1975) Journal of Music Theory, 19 (2), pp. 212-234. , https://www.jstor.org/stable/843589; Klonoski, E., Improving dictation as an aural-skills instructional tool (2006) Music Educators Journal, 93 (1), pp. 54-59. , https://doi.org/10.1177/002743210609300124; Krumhansl, C. L., Rhythm and pitch in music cognition (2000) Psychological Bulletin, 126 (1), pp. 159-179. , https://doi.org/10.1037/0033-2909.126.1.159; Lake, W. E., Interval and scale-degree strategies in melodic perception (1993) Journal of Music Theory Pedagogy, 7, pp. 55-67. , https://jmtp.appstate.edu/interval-and-scale-degree-strategies-melodic-perception; Lerdahl, F., Tonal pitch space (1988) Music Perception, 5 (3), pp. 315-349. , https://doi.org/10.2307/40285402; Lerdahl, F., Jackendoff, R., (1983) A generative theory of tonal music, , MIT Press; Long, P. A., Relationships between pitch memory in short melodies and selected factors (1977) Journal of Research in Music Education, 25 (4), pp. 272-282. , https://doi.org/10.2307/3345268; McPherson, G. E., Bailey, M., Sinclair, K. E., Path Analysis of a Theoretical Model to Describe the Relationship among Five Types of Musical Performance (1997) Journal of Research in Music Education, 45 (1), pp. 103-129. , https://doi.org/10.2307/3345469; Moreno, M. T., Brauer, V., Identificación de las estrategias utilizadas por los estudiantes durante la resolución de un dictado (2007) Proceedings in II Jornadas de Educación Auditiva Universidad Pedagógica y Tecnológica de Colombia, pp. 94-102. , Colombia; Palmer, C., Krumhansl, C. L., Mental representations for musical meter (1990) Journal of Experimental Psychology: Human Perception &amp; Performance, 16 (4), pp. 728-741. , https://doi.org/10.1037/0096-1523.16.4.728; Paney, A. S., The effect of directing attention on melodic dictation testing (2016) Psychology of Music, 44 (1), pp. 15-24. , https://doi.org/10.1177/0305735614547409; Paney, A. S., Buonviri, N. O., Teaching melodic dictation in Advanced Placement music theory (2014) Journal of Research in Music Education, 6 (4), pp. 396-414. , https://doi.org/10.1177/0022429413508411; Paney, A. S., Buonviri, N. O., Developing melodic dictation pedagogy: A survey of college theory instructors (2017) Update: Applications of Research in Music Education, 36 (1), pp. 51-58. , https://doi.org/10.1177/8755123316686815; Pallant, J., (2011) SPSS survival manual a step by step guide to data analysis using the SPSS program, , Allen &amp; Unwin; Paraczky, A., (2009) Näkeekö taitava muusikko sen, minkä kuulee? Melodiadiktaatin ongelmat suomalaisessa ja unkarilaisessa taidemusiikin ammattikoulutuksessa, , https://jyx.jyu.fi/handle/123456789/20355, [Doctoral dissertation, Jyväskylä University]. JYX Digital Repository; Pembrook, R. G., Interference of the transcription process and other selected variables on perception and memory during melodic dictation (1986) Journal of Research in Music Education, 34 (4), pp. 238-261. , https://doi.org/10.2307/3345259; Pembrook, R. G., The Effect of Vocalization on Melodic Memory Conservation (1987) Journal of Research in Music Education, 35 (3), pp. 155-169. , https://doi.org/10.2307/3344958; Pembrook, R. G., Riggins, H. L., Send help!”: Aural skills instruction in U.S. colleges and universities (1990) Journal of Music Theory Pedagogy, 4, pp. 231-242; Ponsatí, I., Miranda, J., Amador, M., Godall, P., La identificación auditiva de los intervalos armónicos musicales: una propuesta de innovación didáctica basada en la metodología observacional (2014) Lista Electrónica Europea de Música en la Educación, 33, pp. 40-55. , https://ojs.uv.es/index.php/LEEME/article/view/9858; Potter, G., Identifying successful dictation strategies (1990) Journal of Music Theory Pedagogy, 4 (1), pp. 63-71; Prince, J. B., Contributions of pitch contour, tonality, rhythm, and meter to melodic similarity (2014) Journal of Experimental Psychology: Human Perception and Performance, 40 (6), pp. 2319-2337. , https://doi.org/10.1037/a0038010; Prince, J. B., Schmuckler, M. A., Thompson, W. F., The effect of task and pitch structure on pitch-time interactions in music (2009) Memory &amp; Cognition, 37, pp. 368-381. , https://doi.org/10.3758/MC.37.3.368; Rogers, M. R., (1984) Teaching approaches in music theory: An overview of pedagogical philosophies, , Northwestern University Press; Samplaski, A., Interval and interval class similarity: Results of a confusion study (2005) Psychomusicology, 19 (1), pp. 59-74. , https://doi.org/10.1037/h0094040; Taylor, J. A., Pembrook, R. G., Strategies in memory for short melodies: An extension of otto ortmann’s 1933 study (1983) Psychomusicology: A Journal of Research in Music Cognition, 3 (1), pp. 16-35. , https://doi.org/10.1037/h0094258; Wapnick, J., Bourassa, G., Sampson, J., The perception of tonal intervals in isolation and in melodic context (1982) Psychomusicology: A Journal of Research in Music Cognition, 2 (1), pp. 21-37. , https://doi.org/10.1037/h0094264</t>
  </si>
  <si>
    <t>Universidad Compultense Madrid</t>
  </si>
  <si>
    <t>Rev. Electron. Complut. Invest. Music.</t>
  </si>
  <si>
    <t>2-s2.0-85143285987</t>
  </si>
  <si>
    <t>Camargo Caicedo Y., Borja Pérez H., Muñoz Fuentes M., Vergara-Vásquez E., Vélez-Pereira A.M.</t>
  </si>
  <si>
    <t>56313737800;57991158700;57991158800;57991439500;55817731200;</t>
  </si>
  <si>
    <t>Assessment of fungal aerosols in a public library with natural ventilation</t>
  </si>
  <si>
    <t>Aerobiologia</t>
  </si>
  <si>
    <t>10.1007/s10453-022-09772-5</t>
  </si>
  <si>
    <t>https://www.scopus.com/inward/record.uri?eid=2-s2.0-85143229006&amp;doi=10.1007%2fs10453-022-09772-5&amp;partnerID=40&amp;md5=061db8c658abdcecab5c073d8b2ab4d5</t>
  </si>
  <si>
    <t>Programa de Ingeniería Ambiental y Sanitaria, Facultad de Ingeniería, Universidad del Magdalena, Carrera 32 No. 22-08, Santa Marta, Colombia; Grupo de Investigación en Modelación de Sistemas Ambientales- GIMSA, Facultad de Ingeniería, Universidad del Magdalena, Santa Marta, Colombia; Departamento de Ingeniería Mecánica, Facultad de Ingeniería, Universidad de Tarapacá, Av. 18 de Septiembre 2222, Arica, Chile; Laboratorio de Investigaciones Medioambientales de Zonas Áridas, Facultad de Ingeniería, Universidad de Tarapacá, Arica, Chile</t>
  </si>
  <si>
    <t>Camargo Caicedo, Y., Programa de Ingeniería Ambiental y Sanitaria, Facultad de Ingeniería, Universidad del Magdalena, Carrera 32 No. 22-08, Santa Marta, Colombia, Grupo de Investigación en Modelación de Sistemas Ambientales- GIMSA, Facultad de Ingeniería, Universidad del Magdalena, Santa Marta, Colombia; Borja Pérez, H., Grupo de Investigación en Modelación de Sistemas Ambientales- GIMSA, Facultad de Ingeniería, Universidad del Magdalena, Santa Marta, Colombia; Muñoz Fuentes, M., Grupo de Investigación en Modelación de Sistemas Ambientales- GIMSA, Facultad de Ingeniería, Universidad del Magdalena, Santa Marta, Colombia; Vergara-Vásquez, E., Programa de Ingeniería Ambiental y Sanitaria, Facultad de Ingeniería, Universidad del Magdalena, Carrera 32 No. 22-08, Santa Marta, Colombia, Grupo de Investigación en Modelación de Sistemas Ambientales- GIMSA, Facultad de Ingeniería, Universidad del Magdalena, Santa Marta, Colombia; Vélez-Pereira, A.M., Departamento de Ingeniería Mecánica, Facultad de Ingeniería, Universidad de Tarapacá, Av. 18 de Septiembre 2222, Arica, Chile, Laboratorio de Investigaciones Medioambientales de Zonas Áridas, Facultad de Ingeniería, Universidad de Tarapacá, Arica, Chile</t>
  </si>
  <si>
    <t>Fungal aerosols deteriorate library collections and can impact human health, mainly via respiratory diseases. Their spread is influenced by factors such as temperature and relative humidity. This study aims to assess the concentration of fungal aerosols in the interior environment of the Popular Library of Gaira in the District of Santa Marta, Colombia, using a two-stage cascade impactor utilizing Sabouraud dextrose agar on Petri dishes for the collection of samples. The sampler was positioned at 1.5 m above ground level, operated with a flow rate of 28.3 l/min for 4 min and thermo-hygrometric conditions were also recorded. Concentrations in the air of up to 1197.0 CFU/m3 were reported, with a mean value close to 150 CFU/m3. Higher values during the morning samples were noted. Seven genera of fungi were found, Aspergillus and Curvularia were the most abundant. The temperature was between 30.80 and 33.51 °C, and the relative humidity was between 62.61 and 64.80%. Statistical analysis showed a significant correlation between the fungal aerosol concentration and relative humidity, where an increase of 10% in moisture could double the fungal aerosol concentration. We concluded that potentially favorable conditions exist indoors for the growth and survival of the following fungi: Aspergillus, Penicillium, Cladosporium, and Curvularia, and to a lesser extent for Chrysonilia, Cunninghamella, and Paecylomices. Relative humidity was seen to be the factor that affects the concentration of aerosols fungal in the library most significantly. © 2022, The Author(s).</t>
  </si>
  <si>
    <t>Aspergillus; Books collection; Cascade impactors; Indoor environment; Thermo-hygrometric conditions</t>
  </si>
  <si>
    <t>Universidad del Magdalena, UNIMAGDALENA</t>
  </si>
  <si>
    <t>Open Access funding provided by Colombia Consortium. The research leasing to these results received funding from Universidad del Magdalena under Grant Agreement No. CFP-PCTeI 12–09.</t>
  </si>
  <si>
    <t>Abbasi, F., Samaei, M.R., Manoochehri, Z., Jalili, M., Yazdani, E., The effect of incubation temperature and growth media on index microbial fungi of indoor air in a hospital building in Shiraz, Iran (2020) Journal of Building Engineering, 31; Alam, S., Nisar, M., Bano, S.A., Ahmad, T., Impact of aerial fungal spores on human health (2022) Hazardous environmental micro-pollutants, health impacts and allied treatment technologies, emerging contaminants and associated treatment technologies, pp. 219-240. , Ahmed T, Hashmi MZ, (eds), Springer International Publishing; Almaguer, K.L.D., González, A.D., Rivero, D.P., Zayas, B.A., Factores que afectan el fondo bibliográfico de la biblioteca de la Filial de Ciencias Médicas Mario Muñoz Monroy. Las Tunas (2020) Innovación Tecnológica Las Tunas, 26, pp. 1-11; Almaguer, M., Díaz, L., Fernández-González, M., Salas, S., Assessment of airborne Curvularia propagules in the atmosphere of Havana, Cuba (2021) Aerobiologia, 37, pp. 53-69; Alzate Guarín, F., Quijano Abril, M.A., Alvarez, A., Fonnegra, R., Atmospheric pollen and spore content in the urban area of the city of Medellin, Colombia (2015) Hoehnea, 42, pp. 09-19; Anaya, M., Borrego, S.F., Gámez, E., Castro, M., Molina, A., Valdés, O., Viable fungi in the air of indoor environments of the National Archive of the Republic of Cuba (2016) Aerobiologia, 32, pp. 513-527; Anees-Hill, S., Douglas, P., Pashley, C.H., Hansell, A., Marczylo, E.L., A systematic review of outdoor airborne fungal spore seasonality across Europe and the implications for health (2022) Science of the Total Environment, 818; Apetrei, I.C., Drăgănescu, G.E., Popescu, I.T., Carp-Cărare, C., Guguianu, E., Mihăescu, T., Ştefanache, A., Patraş, X., Possible cause of allergy for the librarians: Books manipulation and ventilation as sources of fungus spores spreading (2009) Aerobiologia, 25, pp. 159-166; Barnett, H.L., Hunter, B.B., (1987) Illustrated Genera of Imperfect Fungi, , Macmillan; (2020) La bioseguridad en los archivos cubanos y la Covid-19, 23, pp. 246-261. , https://doi.org/10.22201/dgbsdi.0187750xp.2020.2.1139; Borrego, S., Perdomo, I., Caracterización de la micobiota aérea en dos depósitos del Archivo Nacional de la República de Cuba (2014) Revista Iberoamericana De Micología, 31, pp. 182-187; Carmargo Caicedo, Y., Efectos de los aerosoles biológicos (2011) Emisiones atmosféricas de origen biológico (Primera edición), pp. 80-97. , Santa Marta, Colombia, Fondo Editorial UniMagdalena; Camargo, Y., Henao, D.M., Vélez-Pereira, A.M., (2011) Emisiones atmosféricas de origen biológico (Primera.), , Fondo Editorial UniMagdalena, Santa Marta, Colombia; Carrera, R.M., Paladínez, R.C., Carrera, R.M., Paladínez, R.C., Estudio de las condiciones de trabajo en bibliotecas de la ciudad de Quito y la exposición de sus trabajadores a hongos (2017) Enfoque UTE, 8, pp. 94-106. , https://doi.org/10.29019/enfoqueute.v8n2.160; Carrillo, L., Los hongos de los alimentos y forrajes (2003) Universidad Nacional De Salta, Argentina, 118, p. 20; Chadeganipour, M., Ojaghi, R., Rafiei, H., Afshar, M., Hashemi, S., T. (2013) (2011) Bio-Deterioration of Library Materials: Study of Fungi Threatening Printed Materials of Libraries in Isfahan University of Medical Sciences In; Chakrabarti, H.S., Das, S., Gupta-Bhattacharya, S., Outdoor airborne fungal spora load in a suburb of Kolkata, India: Its variation, meteorological determinants and health impact (2012) International Journal of Environmental Health Research, 22, pp. 37-50; (2000) Protection of workers from risks related to exposure to biological agents at work (Seventh individual directive within the meaning of Article 16(1) of Directive 89/391/EEC); (2019) Por La Que Se Modifican Los Anexos I, III, V Y VI De La Directiva 2000/54/CE Del Parlamento Europeo Y Del Consejo Con Adaptaciones De carácter Estrictamente técnico, DIRECTIVA (UE) 2019/1833.; De Linares, C., Navarro, D., Puigdemunt, R., Belmonte, J., Airborne alt a 1 dynamic and its relationship with the airborne dynamics of Alternaria conidia and Pleosporales spores (2022) Journal of Fungi, 8, p. 125; Delgado, K.L.A., Díaz, A.G., Palomino, D.R., Aguilera, B., Factores que afectan el fondo bibliográfico de la biblioteca de la Filial de Ciencias Médicas Mario Muñoz Monroy, Las Tunas (2020) Innovación Tecnológica, 26, pp. 1-11; Dey, D., Ghosal, K., Bhattacharya, S.G., Aerial fungal spectrum of Kolkata, India, along with their allergenic impact on the public health: A quantitative and qualitative evaluation (2019) Aerobiologia, 35, pp. 15-25; Díaz, L.V., Cruz, R.S., Sánchez, K.C.E., Almaguer, M.C., Caracterización fisiológica de nuevos registros fúngicos de la atmósfera de La Habana, Cuba (2020) Revista Del Jardín Botánico Nacional, 41, pp. 37-44; Díez, A.H., Sabariego, S.R., Gutiérrez, M.B., Cervigón, P.M., Study of airborne fungal spores in Madrid, Spain (2006) Aerobiologia, 22, p. 133; Erhart, T., Guerlich, D., Schulze, T., Eicker, U., Experimental validation of basic natural ventilation air flow calculations for different flow path and window configurations (2015) Energy Procedia, 6Th International Building Physics Conference, IBPC 2015, 78, pp. 2838-2843. , https://doi.org/10.1016/j.egypro.2015.11.644; Ferrara, G., Panizo, M.M., Colmenares, L., Rodríguez-Adrián, L., Mucormicosis rinosinusal por Cunninghamella bertholletiae en un paciente con leucemia: A propósito de un caso (2017) Revista De La Sociedad Venezolana De Microbiología, 37, pp. 71-74; Fizialetti, G., Ventura, A., Fidomanzo, M., Filippucci, M.G., (2017) Entomological and thermo-hygrometric monitoring at the angelica library in Rome (Italy), 38, pp. 153-179. , https://doi.org/10.1515/res-2016-0026; Flores, M.E.B., Medina, P.G., Camacho, S.P.D., de Jesús Uribe Beltrán, M., De La Cruz Otero, M., Del, C., Ramírez, I.O., Hernández, M.E.T., Fungal spore concentrations in indoor and outdoor air in university libraries, and their variations in response to changes in meteorological variables (2014) International Journal of Environmental Health Research, 24, pp. 320-340. , https://doi.org/10.1080/09603123.2013.835029; Frankel, M., Bekö, G., Timm, M., Gustavsen, S., Hansen, E.W., Madsen, A.M., Seasonal variations of indoor microbial exposures and their relation to temperature, relative humidity, and air exchange rate (2012) Applied and Environment Microbiology, 78, pp. 8289-8297; García, J.C.R., Rosales, B.R., Alonso, S.F.B., Evaluación de la calidad micológica ambiental para la conservación de los fondos documentales del Museo Nacional de la Música de Cuba en época de lluvia (2014) AUGMDOMUS, 6, pp. 123-146; Ghosh, B., Lal, H., Kushwaha, R., Hazarika, N., Srivastava, A., Jain, V.K., Estimation of bioaerosol in indoor environment in the university library of Delhi (2013) Sustainable Environment Research, 23, pp. 199-207. , COI: 1:CAS:528:DC%2BC2MXjsFKjsrw%3D; Grinn-Gofroń, A., Bosiacka, B., Effects of meteorological factors on the composition of selected fungal spores in the air (2015) Aerobiologia, 31, pp. 63-72; Grinshpun, S.A., Buttner, M.P., Mainelis, G., Willeke, K., Sampling for airborne Microorganisms (2016) Manual of Environmental Microbiology, pp. 2-1. , https://doi.org/10.1128/9781555818821.ch3.2.2, John Wiley &amp; Sons, Ltd; Grzyb, J., Podstawski, Z., Bulski, K., Bacterial aerosol, particulate matter, and microclimatic parameters in the horse stables in Poland (2022) Environmental Science and Pollution Research, 29, pp. 26992-27006; Haleem Khan, A.A., Mohan Karuppayil, S., Fungal pollution of indoor environments and its management (2012) Saudi Journal of Biological Sciences, 19, pp. 405-426; Harkawy, A., Górny, R.L., Ogierman, L., Wlazło, A., Ławniczek-Wałczyk, A., Niesler, A., Bioaerosol assessment in naturally ventilated historical library building with restricted personnel access (2011) Annals of Agricultural and Environmental Medicine, 18, pp. 323-329; Hassan, A., Zeeshan, M., Bhatti, M.F., Indoor and outdoor microbiological air quality in naturally and mechanically ventilated university libraries (2021) Atmospheric Pollution Research, 12; Hayleeyesus, S.F., Ejeso, A., Derseh, F.A., Quantitative assessment of bio-aerosols contamination in indoor air of University dormitory rooms (2015) International Journal of Health Sciences, 9, pp. 249-256; Hernandez-Ramirez, G., Barber, D., Tome-Amat, J., Garrido-Arandia, M., Diaz-Perales, A., Alternaria as an Inducer of Allergic Sensitization (2021) Journal of Fungi, 7, p. 838; Hoseinzadeh, E., Taha, P., Sepahvand, A., Sousa, S., Indoor air fungus bioaerosols and comfort index in day care child centers (2017) Toxin Reviews, 36, pp. 125-131; (2014), Regionalización de Colombia según la estacinalidad de la preciítación media mensual,a través de análisis de componentes principales (ACP) (No. 1). Instituto de Hidrología, Meteorología y Estudios Ambientales, Colombia; Jeong, S.B., Ko, H.S., Heo, K.J., Shin, J.H., Jung, J.H., Size distribution and concentration of indoor culturable bacterial and fungal bioaerosols (2022) Atmospheric Environment: X, 15; Kalwasinska, A., Burkowska, A., Wilk, I., Microbial air contamination in indoor environment of a university library (2012) Annals of Agricultural and Environmental Medicine, 19 (1); Kasprzyk, I., Grinn-Gofroń, A., Ćwik, A., Kluska, K., Cariñanos, P., Wójcik, T., Allergenic fungal spores in the air of urban parks (2021) Aerobiologia, 37, pp. 39-51; Kwan, S.E., Shaughnessy, R., Haverinen-Shaughnessy, U., Kwan, T.A., Peccia, J., The impact of ventilation rate on the fungal and bacterial ecology of home indoor air (2020) Building and Environment, 177; Li, X., Liu, D., Yao, J., Aerosolization of fungal spores in indoor environments (2022) Science of the Total Environment, 820; Li, Y., Ge, Y., Wu, C., Guan, D., Liu, J., Wang, F., Assessment of culturable airborne bacteria of indoor environments in classrooms, dormitories and dining hall at university: A case study in China (2020) Aerobiologia, 36, pp. 313-324; Liu, Z., Wang, L., Rong, R., Fu, S., Cao, G., Hao, C., Full-scale experimental and numerical study of bioaerosol characteristics against cross-infection in a two-bed hospital ward (2020) Building and Environment, 186; López-García, A., Ruiz-Tagle, A., Petlacalco-Sánchez, B., Díaz-Munive, K., Guadalupe-Valiente, J., Rivera-Tapia, A., Estudio microbiológico de la biblioteca “Lafragua” de la Benemerita Universidad Autónoma de Puebla, México (2011) Rev. Médica UAS, 2, pp. 80-87; Madsen, A.M., Effects of Airflow and Changing Humidity on the Aerosolization of Respirable Fungal Fragments and Conidia of Botrytis cinerea (2012) Applied and Environment Microbiology, 78, pp. 3999-4007; Mandal, J., Brandl, H., Bioaerosols in indoor environment - a review with special reference to residential and occupational locations (2011) The Open Environmental &amp; Biological Monitoring Journal, 4; Manibusan, S., Mainelis, G., Passive bioaerosol samplers: A complementary tool for bioaerosol research. A Review (2022) Journal of Aerosol Science, 163; Marcovecchio, F., Perrino, C., Contribution of primary biological aerosol particles to airborne particulate matter in indoor and outdoor environments (2021) Chemosphere, 264; Micheluz, A., Manente, S., Tigini, V., Prigione, V., Pinzari, F., Ravagnan, G., Varese, G.C., The extreme environment of a library: Xerophilic fungi inhabiting indoor niches (2015) International Biodeterioration and Biodegradation, 99, pp. 1-7; Molina-Veloso, A., Borrego-Alonso, S.F., Hongos alergénicos viables en un depósito documental del Archivo Nacional de Cuba (2017) Revista Alergia México, 64, pp. 40-51; Morales, L.E.F., Mateos, P.R., Domínguez, E.E., Rodríguez, I.A., Zárate, M.D.G.M., González, J.F.C., Aislamiento de hongos alergenos en una biblioteca universitaria (2015) Acta Universitaria, 25, pp. 32-38; Okpalanozie, O.E., Adebusoye, S.A., Troiano, F., Cattò, C., Ilori, M.O., Cappitelli, F., Assessment of indoor air environment of a Nigerian museum library and its biodeteriorated books using culture-dependent and –independent techniques (2018) International Biodeterioration and Biodegradation, 132, pp. 139-149; Pasquarella, C., Balocco, C., Saccani, E., Capobianco, E., Viani, I., Veronesi, L., Pavani, F., Albertini, R., Biological and microclimatic monitoring for conservation of cultural heritage: A case study at the De Rossi room of the Palatina library in Parma (2020) Aerobiologia, 36, pp. 105-111; Prakash, H., Singh, S., Rudramurthy, S.M., Singh, P., Mehta, N., Shaw, D., Ghosh, A.K., An aero mycological analysis of Mucormycetes in indoor and outdoor environments of northern India (2020) Medical Mycology, 58, pp. 118-123; Pyrri, I., Tripyla, E., Zalachori, A., Chrysopoulou, M., Parmakelis, A., Kapsanaki-Gotsi, E., Fungal contaminants of indoor air in the National Library of Greece (2020) Aerobiologia, 36, pp. 387-400; Pyrri, I., Zoma, A., Barmparesos, N., Assimakopoulos, M.N., Assimakopoulos, V.D., Kapsanaki-Gotsi, E., Impact of a green roof system on indoor fungal aerosol in a primary school in Greece (2020) Science of the Total Environment, 719; Raper, K.B., Fennell, D.I., (1965) The Genus Aspergillus, , Williams &amp; Wilkins; Reboux, G., Rocchi, S., Laboissière, A., Ammari, H., Bochaton, M., Gardin, G., Rame, J.-M., Millon, L., Survey of 1012 moldy dwellings by culture fungal analysis: Threshold proposal for asthmatic patient management (2019) Indoor Air, 29, pp. 5-16; Reponen, T., Grinshpun, S.A., Conwell, K.L., Wiest, J., Anderson, M., Aerodynamic versus physical size of spores: Measurement and implication for respiratory deposition (2001) Grana, 40, pp. 119-125; Richardson, M.D., Rautemaa-Richardson, R., Aspergillus in Indoor Environments (2021) Encyclopedia of Mycology, pp. 107-115. , Zaragoza Ó, Casadevall A, (eds), Elsevier; Rodríguez-Segovia, M.A., Arguello-Hidalgo, S.J., Carrera-Castro, M.C., Hongos anamorfos biodegradan los libros del Área Histórica de la Universidad Central del Ecuador (UCE) (2020) Boletín Micológico; Rojas, T.I., Aira, M.J., Fungal biodiversity in indoor environments in Havana, Cuba (2012) Aerobiologia, 28, pp. 367-374; Rowan, N.R., Storck, K.A., Schlosser, R.J., Soler, Z.M., The role of home fungal exposure in allergic fungal rhinosinusitis (2020) American Journal of Rhinology &amp; Allergy, 34, pp. 784-791; Rúa Giraldo, A.L., (2013) Aerobiología De Las Esporas De Pleosporales En Ambientes Intra Y Extradomiciliarios De Barcelona. Aplicación a La clínica En población alérgica, , Ph.D. Thesis; Sánchez Espinosa, K.C., Rojas Flores, T.I., Davydenko, S.R., Venero Fernández, S.J., Almaguer, M., Fungal populations in the bedroom dust of children in Havana, Cuba, and its relationship with environmental conditions (2021) Environmental Science and Pollution Research International, 28, pp. 53010-53020; Savković, Ž., Stupar, M., Unković, N., Ivanović, Ž., Blagojević, J., Popović, S., Vukojević, J., Grbić, M.L., Diversity and seasonal dynamics of culturable airborne fungi in a cultural heritage conservation facility (2021) International Biodeterioration and Biodegradation, 157; Savoldelli, S., Cattò, C., Villa, F., Saracchi, M., Troiano, F., Cortesi, P., Cappitelli, F., Biological risk assessment in the History and Historical Documentation Library of the University of Milan (2021) Science of the Total Environment, 790; Sindt, C., Besancenot, J.-P., Thibaudon, M., Airborne Cladosporium fungal spores and climate change in France (2016) Aerobiologia, 32, pp. 53-68; Skjøth, C.A., Damialis, A., Belmonte, J., De Linares, C., Fernández-Rodríguez, S., Grinn-Gofroń, A., Jędryczka, M., Werner, M., Alternaria spores in the air across Europe: Abundance, seasonality and relationships with climate, meteorology and local environment (2016) Aerobiologia, 32, pp. 3-22; Skóra, J., Gutarowska, B., Pielech-Przybylska, K., Stępień, Ł., Pietrzak, K., Piotrowska, M., Pietrowski, P., Assessment of microbiological contamination in the work environments of museums, archives and libraries (2015) Aerobiologia, 31, pp. 389-401; Soto, T., Indoor airborne microbial load in a Spanish university (2009) Anales De Biología, pp. 109-115; Sykes, P., Jones, K., Wildsmith, J.D., Managing the potential public health risks from bioaerosol liberation at commercial composting sites in the UK: An analysis of the evidence base (2007) Resources, Conservation and Recycling, 52, pp. 410-424; Thorne, P.S., Industrial Livestock Production Facilities: Airborne Emissions☆ (2019) Encyclopedia of Environmental Health, pp. 652-660. , Nriagu J, (ed), 2, Elsevier; Toloza-Moreno, D.L., Lizarazo-Forero, L.M., Aeromicrobiología del Archivo Central de la universidad pedagógica y Tecnológica de Colombia (Tunja-Boyacá) (2011) Acta Biológica Colomb., 16, pp. 185-194; Van Tilburg Bernardes, E., Gutierrez, M.W., Arrieta, M.-C., The Fungal Microbiome and Asthma (2020) Frontiers in Cellular and Infection Microbiology, 10; Vélez-Pereira, A., Caicedo, Y.C., Rincones, S.R.B., Distribución espacio-temporal de aerobacterias en el relleno sanitario Palangana, Santa Marta (Colombia) (2010) INTROPICA, 5, pp. 5-18; Vélez-Pereira, A.M., Camargo Caicedo, Y., Aerobacterias en las unidades de cuidado intensivo del Hospital Universitario “Fernando Troconis”, Colombia (2014) Revista Cubana De Salud Pública, 40, pp. 362-368; Vélez-Pereira, A.M., Camargo Caicedo, Y., Análisis de los factores ambientales y ocupacionales en la concentración de aerobacterias en unidades de cuidado intensivo del Hospital Universitario Fernando Troconis 2009 Santa Marta-Colombia (2014) Revista Cuidarte, 5, pp. 595-605; Vélez-Pereira, A.M., De Linares, C., Delgado, R., Belmonte, J., Temporal trends of the airborne fungal spores in Catalonia (NE Spain), 1995–2013 (2016) Aerobiologia, 32, pp. 23-37; Vélez-Pereira, A.M., De Linares, C., Canela, M.-A., Belmonte, J., Logistic regression models for predicting daily airborne Alternaria and Cladosporium concentration levels in Catalonia (NE Spain) (2019) International Journal of Biometeorology, 63, pp. 1541-1553; Vélez-Pereira, A.M., De Linares, C., Canela, M., Belmonte, J., Spatial distribution of fungi from the analysis of aerobiological data with a gamma function (2021) Aerobiologia, 37, pp. 461-477; Walker, A., Basic preservation guidelines for library and archive collections., 5th editions (2013) The British Library Board; Wang, Y., Yu, Y., Ye, T., Bo, Q., Ventilation characteristics and performance evaluation of different window-opening forms in a typical office room (2021) Applied Sciences, 11, p. 8966; Welsh, K.G., Holden, K.A., Wardlaw, A.J., Satchwell, J., Monteiro, W., Pashley, C.H., Gaillard, E.A., Fungal sensitization and positive fungal culture from sputum in children with asthma are associated with reduced lung function and acute asthma attacks respectively (2021) Clinical and Experimental Allergy, 51, pp. 790-800; Wu, D., Zhang, Y., Tian, Y., Li, A., Li, Y., Xiong, J., Gao, R., On-site investigation of the concentration and size distribution characteristics of airborne fungi in a university library (2020) Environmental Pollution, 261; Wu, D., Zhang, Y., Qin, W., Zhao, C., Li, J., Hou, Y., Xiong, J., Gao, R., Seasonal structural characteristics of indoor airborne fungi in library rooms by culturing and high-throughput sequencing (2021) Building and Environment, 206; Zhao, B., Shi, S., Ji, J.S., The WHO Air Quality Guidelines 2021 promote great challenge for indoor air (2022) Science of the Total Environment, 827</t>
  </si>
  <si>
    <t>Camargo Caicedo, Y.; Programa de Ingeniería Ambiental y Sanitaria, Carrera 32 No. 22-08, Colombia; email: ycamargo@unimagdalena.edu.co</t>
  </si>
  <si>
    <t>Vélez-Pereira</t>
  </si>
  <si>
    <t>AROBF</t>
  </si>
  <si>
    <t>2-s2.0-85143229006</t>
  </si>
  <si>
    <t>Luna-Rodríguez S.A., Rojas-Rodríguez C.I.</t>
  </si>
  <si>
    <t>57205020608;57991205900;</t>
  </si>
  <si>
    <t>Ergonomic considerations for the inclusive communication of low vision people academic spaces [CONSIDERACIONES ergonómicas PARA LA COMUNICACIÓN INCLUSIVA DE PERSONAS DE baja visión EN ESPACIOS ACADÉMICOS]</t>
  </si>
  <si>
    <t>Legado de Arquitectura y Diseno</t>
  </si>
  <si>
    <t>https://www.scopus.com/inward/record.uri?eid=2-s2.0-85143208962&amp;partnerID=40&amp;md5=c1273111766eb413fa2149caebe8128a</t>
  </si>
  <si>
    <t>Universidad Autónoma Nuevo León, Mexico; Universidad Pedagógica y Tecnológica de Colombia, Colombia</t>
  </si>
  <si>
    <t>Luna-Rodríguez, S.A., Universidad Autónoma Nuevo León, Mexico; Rojas-Rodríguez, C.I., Universidad Pedagógica y Tecnológica de Colombia, Colombia</t>
  </si>
  <si>
    <t>Educational institutions must embrace public policies that guarantee the social inclusion of all people without discrimination of any kind. To achieve this objective, the diversity of needs and abilities of the people must be considered, favoring them full access and effective interaction with the spaces. In response to these challenges of inclusion, and particularly considering people with low vision (Clasificación Internacional del Funcionamiento CIF de la OMS), this project was proposed to explore from three Latin American universities (Universidad Pedagógica y Tecnológica de Colombia; UniversidadAutónoma de Nuevo León, México; Universidad de Bueno Aires, Argentina), the communication needs of this population group, from the three indispensable categories to achieve autonomy within the university space: Informative, guiding and directional signage. This is due to the fact that from some previous studies, important differences in behavior and response have been found during the interaction with open spaces and closed spaces between people with low vision and people with total blindness. From this perspective, the research proposal seeks to establish through an exploratory study and an experiential process, the conceptual elements that from the ergonomic perspective are required to develop efficient alternatives of signage and signaling that use new technologies and facilitate orientation, information, and displacement of people with low vision inside the academic spaces. © Legado de Arquitectura y Diseno 2022.</t>
  </si>
  <si>
    <t>design; ergonomics; Inclusion; low vision; signaling; university</t>
  </si>
  <si>
    <t>Acevedo, I.A., López, M.A.F., (2006) El proceso de la entrevista, , Limusa, México; Avellaneda, M., López, M., Sobrado, P., Usón, E., Baja Visión y Rehabilitación Visual: Una Alternativa Clínica (2007) Laboratorios Thea, , https://www.laboratoriosthea.com/medias/thea_superficie_ocular_38.pdf, Disponible en consultado el 10 de abril de 2021; ¿Qué hacemos? (2011), https://www.gob.mx/conadis/que-hacemos, CONADIS. Gobierno de México. México. Disponible en consultado el 15 de diciembre de 2019; Costa, J., (2007) Señalética corporativa, , Costa Punto Com, España; (2003) ¿Cómo obtener productos con alta usabilidad? Guía práctica para fabricantes de productos de la vida diaria y ayudas técnicas, , DATUS Instituto de Biomecánica de Valencia; Downs, R. M., Cognitive Maps and Spacial Behavior: Process and Products (1973) Imagen and Environments, pp. 8-26; Guber, S., (2006) La etnografía, método, campo y reflexividad, , Ed. Grupo Editorial Norma, Colombia; López, O., (2008) Señalética para no videntes y videntes (con énfasis semiótico): plan piloto de señalización para no videntes y videntes en la ciudad de Quito en el tramo Av. Amazonas desde Av. Patria hasta Av. Orellana (Tesis de pregrado), , Pontificia Universidad Católica del Ecuador, Quito, Ecuador; Moriña, A., (2004) Teoría y práctica de la educación inclusiva, , Editorial Aljibe, Málaga; Munari, B., Lo Intangible del Diseño Tangible (1977) Lo tangible e intangible del diseño de evaluación de objetos, mensajes, espacios, , En J. Nasser Farías, Universidad Autónoma Metropolitana Azcapotzalco, Ciudad de México; (2006) Revised Field of Science and Technology (FOS) classification in the frascati manual, , https://www.oecd.org/science/inno/38235147.pdf, Organisation de Coopération et de Développement Economiques Disponible en consultado el 1 de abril de 2021; (2000) Objetivos de desarrollo sostenible, , http://www.cepal.org/es/acerca-de-la-agenda-para-el-desarrollo-post-2015, Disponible en consultado el 1 de abril de 2021; (2006) Compendio Mundial de la Educación 2006. Comparación de las estadísticas de educación en el mundo, , http://www.uis.unesco.org/Library/Documents/ged06_es.pdf, Organización de las Naciones Unidas (ONU) Disponible en consultado el 8 de enero de 2021; (2014) Salud ocular universal. Un plan de acción mundial para 2014-2019, , http://www.who.int/blindness/AP2014_19_Spanish.pdf, Organización Mundial de la Salud (OMS) Disponible en consultado el 8 de enero de 2021; Ocampo, A., Inclusión de estudiantes en situación de discapacidad a la educación superior. Desafíos y oportunidades (2011) Revista Latinoamericana de Educación Inclusiva, 6 (2), pp. 227-239; Pérez, C., (2016) La respuesta educativa a los estudiantes con discapacidad visual, , Organización de Estados Iberoamericanos; Quintana, R., (2010) Diseño de sistemas de señalización y señalética, , Universidad de Londres; Sanabria, R. L. B., Mapeo Cognitivo y exploración háptica para comprender la disposición del espacio de videntes e invidentes (2007) TED: Tecné, Episteme y Didaxis, (21), pp. 45-65. , http://revistas.pedagogica.edu.co/index.php/TED/article/viewFile/359/336, Disponible en consultado el 10 de abril de 2021; Sims, M., (1991) Gráfica del entorno: signos, señales y rótulos, técnicas y procedimientos, , Gustavo Gilli, Barcelona; (2016) Designing for Web Accessibility-Tips for Getting Started. Web Accessibility Initiative (WAI), , https://www.w3.org/WAI/tips/designing/, Disponible en consultado el 8 de enero de 2021; Zimmerman, J., Stolterman, F., Forlizzi, J., An Analysis and Critique of Research through Design: towards a formalization of a research approach DIS 10 (2010) Proceedings of the 8th ACM Conference on Designing Interactive Systems, pp. 310-319; Zúñiga, S., Martínez, V., Izquierdo, J., La inclusión educativa de ciegos y baja visión en el nivel superior. Un estudio de caso (2012) Sinéctica Revista electrónica de educación, 39 (1), pp. 1-21</t>
  </si>
  <si>
    <t>Luna-Rodríguez, S.A.; Universidad Autónoma Nuevo LeónMexico; email: sofia.lunard@uanl.edu.mx</t>
  </si>
  <si>
    <t>Universidad Autonoma del Estado de Mexico</t>
  </si>
  <si>
    <t>Legado. Arquit. Diseno.</t>
  </si>
  <si>
    <t>2-s2.0-85143208962</t>
  </si>
  <si>
    <t>Guerrero-Balaguera J.-D., Galasso L., Sierra R.L., Sanchez E., Reorda M.S.</t>
  </si>
  <si>
    <t>Evaluating the impact of Permanent Faults in a GPU running a Deep Neural Network</t>
  </si>
  <si>
    <t>Proceedings - 2022 IEEE International Test Conference in Asia, ITC-Asia 2022</t>
  </si>
  <si>
    <t>10.1109/ITCAsia55616.2022.00027</t>
  </si>
  <si>
    <t>https://www.scopus.com/inward/record.uri?eid=2-s2.0-85143171461&amp;doi=10.1109%2fITCAsia55616.2022.00027&amp;partnerID=40&amp;md5=577952e44d7ad0444b0bf15161f0ada3</t>
  </si>
  <si>
    <t>Politecnico di Torino, Department of Control and Computer Engineering (DAUIN), Italy; Universidad Pedagogica y Tecnologica de Colombia (UPTC), Electronic Engineering School, Colombia</t>
  </si>
  <si>
    <t>Guerrero-Balaguera, J.-D., Politecnico di Torino, Department of Control and Computer Engineering (DAUIN), Italy; Galasso, L., Politecnico di Torino, Department of Control and Computer Engineering (DAUIN), Italy; Sierra, R.L., Universidad Pedagogica y Tecnologica de Colombia (UPTC), Electronic Engineering School, Colombia; Sanchez, E., Politecnico di Torino, Department of Control and Computer Engineering (DAUIN), Italy; Reorda, M.S., Politecnico di Torino, Department of Control and Computer Engineering (DAUIN), Italy</t>
  </si>
  <si>
    <t>Currently, Deep Neural Networks (DNNs) are fun-damental computational structures deployed in a wide range of modern application domains (e.g., data analysis, healthcare, automotive, robotics). The computational complexity is inherent in these cognitive models, which demand high-performance devices like Graphics Processing Units (GPUs). Therefore, the implementation of DNNs on GPU devices is becoming increasingly frequent, even for cutting-edge safety-critical applications (e.g., autonomous and semi-autonomous cars). Thus, the reliability evaluation of these applications is mandatory because several phenomena (including aging) may produce permanent defects in the GPU, thus inducing the DNN to produce wrong results. Until now, the effects of permanent faults on DNNs have been mainly investigated at the application level, only, e.g., acting on the parameters of the network. This paper presents an environment allowing for the first time a more detailed experimental evaluation of the impact of permanent faults in a GPU on the reliability of a DNN running on it, based on considering faults at the architectural level. The results of the fault injection campaigns we performed on the GPU register files are compared with those at the application level, proving that the latter ones are generally optimistic. © 2022 IEEE.</t>
  </si>
  <si>
    <t>Artificial Neural Networks; Deep Neural Net-works; Graphics Processing Units (GPUs); Reliability evaluation</t>
  </si>
  <si>
    <t>Autonomous vehicles; Computer graphics; Computer graphics equipment; Deep neural networks; Program processors; Safety engineering; Application level; Applications domains; Computational structure; Deep neural net-work; Deep neural nets; Graphic processing unit; Modern applications; Net work; Permanent faults; Reliability Evaluation; Graphics processing unit</t>
  </si>
  <si>
    <t>Mun, H., Recycling of adversarial attacks on the dnn of autonomous cars (2021) 2021 International Conference on Information Networking (ICOIN), pp. 814-817; Hatcher, W.G., Yu, W., A survey of deep learning: Platforms, applications and emerging research trends (2018) IEEE Access, 6, pp. 24411-24432; Ravindran, R., Multi-object detection and tracking, based on dnn, for autonomous vehicles: A review (2021) IEEE Sensors Journal, 21 (5), pp. 5668-5677; Chen, Y., A survey of accelerator architectures for deep neural networks (2020) Engineering, 6 (3), pp. 264-274; Mittal, S., A survey on hardware security of dnn models and accelerators (2021) Journal of Systems Architecture, 117, p. 102163; (2022) NVIDIA DRIVE End-to-End Solutions for Autonomous Vehicles, , https://developer.nvidia.com/drive, NVIDIA, [Online; accessed 21-April-2022]; Torres-Huitzil, C., Girau, B., Fault and error tolerance in neural networks: A review (2017) IEEE Access, 5, pp. 17322-17341; Hong, S., Terminal brain damage: Exposing the graceless degradation in deep neural networks under hardware fault attacks (2019) 28th USENIX Conference on Security Symposium, pp. 497-514. , ser. SEC'19. USA: USENIX Association; Ruospo, A., Investigating data representation for efficient and reliable convolutional neural networks (2021) Microprocessors and Microsystems, 86, p. 104318; Ruospo, A., A pipelined multi-level fault injector for deep neural networks (2020) 2020 IEEE International Symposium on Defect and Fault Tolerance in VLSI and Nanotechnology Systems (DFT), pp. 1-6; Bukasa, S.K., When fault injection collides with hardware complexity (2019) Foundations and Practice of Security, pp. 243-256. , Cham: Springer International Publishing; Ruospo, A., Sanchez, E., On the reliability assessment of artificial neural networks running on ai-oriented mpsocs (2021) Applied Sciences, 11 (14); Ruospo, A., Evaluating convolutional neural networks reliability depending on their data representation (2020) 2020 23rd Euromicro Conference on Digital System Design (DSD), pp. 672-679; Tsai, T., Nvbitfi: Dynamic fault injection for gpus (2021) 2021 51st Annual IEEE/IFIP International Conference on Dependable Systems and Networks (DSN), pp. 284-291; Hari, S.K.S., Sassifi: An architecture-level fault injection tool for gpu application resilience evaluation (2017) 2017 IEEE International Symposium on Performance Analysis of Systems and Software (ISPASS), pp. 249-258; Garrett, T., George, A.D., Improving dependability of onboard deep learning with resilient tensorflow (2021) 2021 IEEE Space Computing Conference (SCC), pp. 134-142; Ibrahim, Y., Soft error resilience of deep residual networks for object recognition (2020) IEEE Access, 8, pp. 19490-19503; Younis, I., Soft errors in dnn accelerators: A comprehensive review (2020) Microelectronics Reliability, 115, p. 113969; Santos, F.F.D., Analyzing and increasing the reliability of convolutional neural networks on gpus (2019) IEEE Transactions on Reliability, 68 (2), pp. 663-677; Das, H.S., Roy, P., Chapter 5 - a deep dive into deep learning techniques for solving spoken language identification problems (2019) Intelligent Speech Signal Processing, pp. 81-100. , N. Dey, Ed. Academic Press; Redmon, J., (2013) Darknet: Open source neural networks in c, , http://pjreddie.com/darknet/; Leveugle, R., Statistical fault injection: Quantified error and confidence (2009) 2009 Design, Automation Test in Europe Conference Exhibition, pp. 502-506</t>
  </si>
  <si>
    <t>Guerrero-Balaguera, J.-D.; Politecnico di Torino, Italy</t>
  </si>
  <si>
    <t>Galasso</t>
  </si>
  <si>
    <t>Reorda</t>
  </si>
  <si>
    <t>et al.;IEEE;IEEE Computer Society;IEEE Council on Electronic Design Automation (CEDA);Ministry of Education;TTTC</t>
  </si>
  <si>
    <t>6th IEEE International Test Conference in Asia, ITC-Asia 2022</t>
  </si>
  <si>
    <t>24 August 2022 through 26 August 2022</t>
  </si>
  <si>
    <t>Proc. - IEEE Int. Test Conf. Asia, ITC-Asia</t>
  </si>
  <si>
    <t>2-s2.0-85143171461</t>
  </si>
  <si>
    <t>Soto Villagrán P., Mejía Dorantes L.</t>
  </si>
  <si>
    <t>55353928000;54383612300;</t>
  </si>
  <si>
    <t>URBAN PROJECTS AND PUBLIC SPACE IN LATIN AMERICA AND THE CARIBBEAN: Walking Towards a Paradigm of Gender Equality</t>
  </si>
  <si>
    <t>The Routledge Handbook of Urban Studies in Latin America and the Caribbean: Cities, Urban Processes, and Policies</t>
  </si>
  <si>
    <t>10.4324/9781003132622-26</t>
  </si>
  <si>
    <t>https://www.scopus.com/inward/record.uri?eid=2-s2.0-85142840346&amp;doi=10.4324%2f9781003132622-26&amp;partnerID=40&amp;md5=685cff659e4013eba6b1e6c6ffcf132f</t>
  </si>
  <si>
    <t>Sociology Department, UAM University, Mexico; French Institute IFSTTAR, Transport Economics and Sociology Department, France</t>
  </si>
  <si>
    <t>Soto Villagrán, P., Sociology Department, UAM University, Mexico; Mejía Dorantes, L., French Institute IFSTTAR, Transport Economics and Sociology Department, France</t>
  </si>
  <si>
    <t>In 1995, the Beijing Declaration and Platform for Action affirmed that equality between women and men is a human right and necessary for social justice. Later, in 2015, the UN defined gender equality as one of the 17 Sustainable Development Goals to transform the world. During all these years, gender and urban space have been the subject of studies, research, interventions, reflections, and discussions worldwide but also in Latin America and the Caribbean region. Following the path of urban equality, this chapter presents a systematic review of the current predominant orientations in urban studies in Latin America and the Caribbean, organized according to three thematic axes, which are of utmost importance in the built environment: fear and insecurity, care, and mobility, putting special emphasis on the differences that gender constructs in the ways of conceiving the space and the city, the definition of women as research subjects, and gender as a category of urban analysis. A systematic and rigorous review of the available evidence is carried out. For this purpose, we set three stages of analysis. First, we examine the theoretical and conceptual debates around the incorporation of gender in urban studies. Second, we turn our attention to empirical studies that point to the centrality of the urban environment in gender analysis. In the last section, a review of the main institutional responses to mobility, insecurity, and care problems in the region is carried out, and manifold examples of interventions are presented. Our study shows that to achieve better results, gender equality needs to be reinforced by a participatory design approach involving all stakeholders, it needs to be achieved in all areas influencing urban and transport planning, and finally, specific measures should be implemented to reduce the impact of the COVID-19 pandemic. © 2023 selection and editorial matter, Jesús Manuel González-Pérez, Clara Irazábal, and Rubén Camilo Lois-González.</t>
  </si>
  <si>
    <t>Allen, H., Cárdenas, G., Pereyra, L., Sagaris, L., (2018) Ella se mueve segura (ESMS)-Un estudio sobre la seguridad personal de las mujeres y el transporte público en tres ciudades de América Latina, , http://scioteca.caf.com/handle/123456789/1405, Caracas: CAF y FIA Foundation. Retrieved from; Arkinson, S., Lawson, V., Willes, J., Care of the body: Spaces of practice (2011) Social and Cultural Geography, 12 (6), pp. 563-572; Arvizu, C., Ciudades Cuidadoras y Vivienda: Un camino hacia la igualdad sustantiva entre hombres y mujeres (2020) Revista Vivienda Infonavit, 4 (1), pp. 94-99. , https://online.flippingbook.com/view/240864/4-5/, Retrieved from; Avellaneda, P., Lazo, A., Aproximación a la movilidad cotidiana en la periferia pobre de dos ciudades Latinoamericanas. los casos de Lima y Santiago de Chile (2011) Revista Transporte y Territorio, 4, pp. 47-58. , www.redalyc.org/articulo.oa?id=3330/333027082004, Retrieved from; Bonnin Roncerel, A., Perch, L., McCue, J., Zermoglio, F., (2020) Building resilience with nature and gender in the Eastern Caribbean-a toolkit to mainstream ecosystem-based adaptation gender equality and social inclusion, , https://drive.google.com/file/d/1qT84dEEb9Q1CJydJ0oJa9DcrunlBRxtg/view, Organisation of Eastern Caribbean States. Retrieved from; Bru, J., El cuerpo como mercancía (2006) Las otras geografías, pp. 465-491. , Valencia: Editorial Tirant lo Blanch; Carrasco, C., Sostenibilidad de la vida y ceguera patriarcal. Una reflexión necesaria (2016) Revista Internacional de Estudios Feministas, 1 (1), pp. 34-57; Carrasco, J., Jirón, P., Rebolledo, M., Observing gendered interdependent mobility barriers using an ethnographic and time use approach (2020) Transportation Research Part A: Policy and Practice, 140, pp. 204-214; Ceccato, V., Loukaitou-Sideris, A., (2020) Transit Crime and Sexual Violence in Cities: International Evidence and Prevention, , Routlegde; (2021), https://genderandsecurity.org/, Retrieved February 3, 2021, from; Crenshaw, K., Demarginalizing the intersection of race and sex: A Black feminist critique of antidiscrimination doctrine, feminist theory and antiracist politics (1989) University of Chicago Legal Forum, 1989 (1), pp. 139-167; Damián, L., Flores, J., Feminicidios y Políticas Publicas: Declaratorias de alertas de violencia de género en México, 2015-2017 (2018) Perspectiva Geográfica, 23 (2), pp. 33-57. , https://revistas.uptc.edu.co/index.php/perspectiva/article/view/7287, Retrieved from; Dammert, L., Entre el temor difuso y la realidad de la victimización femenina en América Latina (2007) Ciudades para convivir sin violencia contra las mujeres, pp. 89-112. , Santiago: Ediciones Sur; Dankelman, I., (2010) Gender and Climate Change: An Introduction; del Valle, T., (1997) Andamios para una Nueva Ciudad: Lecturas desde la Antropología, , Madrid: Cátedra; Duahu, E., Estudios urbanos: Problemas y perspectivas en los años noventa (2000) Sociológica, 42 (15), pp. 13-35. , www.sociologicamexico.azc.uam.mx/index.php/Sociologica/article/view/490, Enero-Abril, Retrieved from; (2019) Employment situation in Latin America and the Caribbean: Evolution of and prospects for women’s labour participation in Latin America, 21. , LC/TS.2019/66; (2016) What is gender mainstreaming?, , https://eige.europa.eu/, Retrieved from; Farha, L., The shift: Right to housing (2021) #MakeTheShift, , www.make-the-shift.org/, Retrieved May 11, 2021, from; Gendered innovations in science, health and medicine, engineering, and environment (2020) Gendered Innovations, , http://genderedinnovations.stanford.edu/index.html, Retrieved January 29, 2021, from; (2020) Total work time, , https://oig.cepal.org/en, ECLAC-UN. Retrieved February 1, 2021, from; Gertten, F., (2019) Push [Film], , www.pushthefilm.com/, WG Film AB. Retrieved from; Gutiérrez, A., Reyes, M., Mujeres entre la libertad y la obligación. Prácticas de movilidad cotidiana en el Gran Buenos Aires (2017) Transporte y Territorio, 16, pp. 147-166. , http://revistascientificas.filo.uba.ar/index.php/rtt/article/view/3607/3302, Retrieved from; Holpuch, A., The “shecession”: Why economic crisis is affecting women more than men (2020) The Guardian, , www.theguardian.com/business/2020/aug/04/shecession-coronavirus-pandemic-economic-fallout-women, August 4, Retrieved from; Imaz, M., Blásquez, N., Chao, V., Castañeda, I., Beristain, A., (2016) Cambio climático, miradas de género, , https://sustentabilidad.unam.mx/pdf/publicaciones/generoycc.pdf, (Primera edición electrónica ed.). UNIVERSIDAD NACIONAL AUTÓNOMA DE MÉXICO. Retrieved from; (2014) Transporte público masivo en la zona metropolitana del Valle de México. Proyecciones de demanda y soluciones al 2024, , Mexico: Instituto de Políticas para el Transporte y el Desarrollo; Jirón, P., Implicancias de género en las experiencias de movilidad cotidiana urbana en Santiago de Chile (2007) Revista Venezolana de Estudios de la Mujer, 12 (29), pp. 173-198. , http://ve.scielo.org/scielo.php?script=sci_arttextandpid=S1316-37012007000200011, Retrieved from; Jirón, P., Gómez, J., Interdependencia, cuidado y género desde las estrategias de movilidad en la ciudad de Santiago (2014) Tempo Socia, 30 (2), pp. 55-72; Kash, G., Always on the defensive: The effects of transit sexual assault on travel behavior and experience in Colombia and Bolivia (2019) Journal of Transport and Health, pp. 234-246. , June 13; Kash, G., Transportation professionals’ visions of transit sexual assault: The problem of deproblematizing beliefs (2020) Transportation Research Part A: Policy and Practice, 139, pp. 200-216. , September; Koskela, H., “Gendered exclusions”: Women’s fear of violence and changing relations to space (1999) Geografiska Annaler. Series B, Human Geography, 81 (2), pp. 111-124. , www.jstor.org/stable/491020, Retrieved febrero 11, 2021, from; Kunieda, M., Gauthier, A., (2007) Gender and Urban Transport: Smart and Affordable, , GTZ; Laub, C., Violencia urbana, violencia de género y políticas de seguridad ciudadana (2007) Ciudades para convivir sin violencia hacia las mujeres, pp. 67-81. , Santiago: Ediciones SUR; Massey, D., (1993) Space, place and gender, , Minneapolis. The University of Minnesota Press; Massolo, A., (1992) Mujeres y Ciudades. Participación social, vivienda y vida cotidiana, , www.jstor.org/stable/j.ctv5135mh, México: El Colegio de México. Retrieved from; Massolo, A., (2004) Una mirada de género a la ciudad de México, , México: RNIU, UAM-Azcapotzalco; Mathivet, C., El derecho a la ciudad: Claves para entender la propuesta de crear otra ciudad posible (2011) Ciudades para tod@s. Por el derecho a al ciudad propuestas y experiencias, pp. 26-39. , www.hic-net.org/es/ciudades-para-tods-por-el-derecho-a-la-ciudad-propuestas-y-experiencias-segunda-edicion/, Hábitat International Coalition. Retrieved from; McDowell, L., (2000) Género, identidad y lugar. Un estudio de las Geografías feministas, , Madrid: Cátedra; Mejía Dorantes, L., An example of working women in Mexico City: How can their vision reshape transport policy? (2018) Transportation Research Part A: Policy and Practice, 116, pp. 97-111. , www.sciencedirect.com/science/article/abs/pii/S0965856417306134, Retrieved from; Mejia Dorantes, L., Discussing measures to reduce the gender gap in transport companies: A qualitative approach (2019) Research in Transportation Business and Management; Mejia Dorantes, L., Soto Villagrán, P., A review on the influence of barriers on gender equality to access the city: A synthesis approach of Mexico City and its Metropolitan Area (2020) Cities, p. 96. , www.sciencedirect.com/science/article/pii/S0264275118309983, Retrieved from; Milligan, C., Willes, J., Landscapes of care (2010) Progress in Human Geography, 34 (6), pp. 736-754; Mogollon, I., Fernández, A., (2016) Arquitecturas del Cuidado, Viviendas colaborativas para personas mayores. Un acercamiento al contexto vasco y las realidades europeas, , País Vasco: EMAKUNDE; Molina, I., (2006) Rompiendo Barreras: Género y espacio en el campo y en la ciudad, , Santiago. Tercer Actor; Monárrez, J., La cultura del feminicidio en Ciudad Juárez, 1993-1999 (2000) Frontera Norte, 12 (23), pp. 87-107. , www.scielo.org.mx/scielo.php?script=sci_arttextandpid=S0187-73722000000100004andlng=esandtlng=es, Retrieved from; Montoya Robledo, V., Escovar-Álvarez, G., Domestic workers’ commutes in Bogotáa: Transportation, gender and social exclusion (2020) Transportation Research Part A: Policy and Practice, 139, pp. 400-411; (2020) Women at the core of the fight against COVID-19 crisis, , https://read.oecd-ilibrary.org/view/?ref=127_127000-awfnqj80meandtitle=Women-at-the-core-of-the-fight-against-COVID-19-crisis, Retrieved from; (2017) Estudio sobre acoso sexual y otras formas de violencia sexual contra las mujeres y niññas en espacios púublicos en la Ciudad de Guatemala, , https://lac.unwomen.org/es/digiteca/publicaciones/2020/06/estudio-acoso-sexual-y-otras-formas-de-violencia-espacios-publicos-guatemala, Retrieved from; Ortiz, A., Hacia una ciudad no sexista. Algunas reflexiones a partir de la geografía humana feminista para la planeación del espacio urbano (2007) Territorios, 16-17, pp. 11-28. , https://revistas.urosario.edu.co/index.php/territorios/article/view/838/758, Retrieved from; Pérez-Fragoso, L., (2016) ¿Quién cuida en la ciudad?: Oportunidades y propuestas en la Ciudad de México, , Santiago. CEPAL; Quirós, T., Mehndiratta, S., Ochoa, M.C., (2014) Gender, Travel and Job Access: Evidence from Buenos Aires, , World Bank; Ramírez, F., Cuestionamientos a la Geografía a partir del Cruising entre Hombres en Bogotá (2013) Revista Latino-americana de Geografia e Gênero, 2 (4), pp. 134-147; Rico, M., Género, ambiente y pobreza. Un estudio exploratorio en el medio urbano popular de Santiago (1996) Género y ambiente en Latinoamérica, pp. 185-240. , Velázquez, M. (coord.), México: Centro Regional de Investigaciones Multidisciplinarias. México: CRIM-UNAM; Rico, M., Asentamientos humanos en América Latina y el Caribe. Una mirada desde la perspectiva de género y desarrollo (1996) Asentamientos humanos, pobreza y género, pp. 77-96. , Santiago: Ministerio de Urbanismo/GTZ-Cooperación Técnica Alemana; Rico, M.N., Segovia, O., (2017) ¿Quién cuida en la ciudad? Aportes para políticas urbanas de igualdad, , www.cepal.org/es/publicaciones/42424-quien-cuida-la-ciudad-aportes-politicas-urbanas-igualdad, Santiago: CEPAL. Retrieved from; Sabaté, A., Rodríguez, J., Díaz, A., (1995) Mujeres, Espacio y Sociedad, Hacia una Geografía del Género, , Madrid: Síntesis; Sabido, O., La proximidad sensible y el género en las grandes urbes: Una perspectiva sensorial (2020) Estudios sociológicos, 38 (120), pp. 201-231; Sánchez, I., Vivienda, movilidad y urbanismo para la igualdad en la diversidad: Ciudades, género y dependencia (2009) Ciudad y Territorio, 41 (161-162), pp. 581-598. , https://recyt.fecyt.es/index.php/CyTET/issue/view/3649, Retrieved from; Sánchez, I., Mobility of Care: Introducing New Concepts in Urban Transport (2013) Fair Shared Cities. The Impact of Gender Planning in Europe, , Londres: Taylor and Francis Group; Schteingert, M., (2009) Pobreza, condiciones de vida y salud en la ciudad de México, , México: El Colegio de México; Scuro, L., Vaca-Trigo, I., La distribución del tiempo en el análisis de las desigualdades en las ciudades de América Latina (2017) ¿Quién cuida en la ciudad? Aportes para políticas urbanas de igualdad, pp. 117-148. , Santiago:CEPAL; Segovia, O., (2020) Programa Ciudades y Espacios Púublicos Seguros para Mujeres y Niññas en Améerica Latina: Informe de Resultados, , https://lac.unwomen.org/es/digiteca/publicaciones/2020/12/informe-resultados-programa-ciudades-seguras-en-america-latina, ONU Mujeres. Retrieved from; Segovia, O., Falú, A., (2007) Ciudades para convivir sin violencia contra las mujeres, , Santiago: Ediciones SUR; Silva, J.N., (2009) Geografias Subversivas: Discursos sobre espaço, gênero e sexualidades, , Ponta Grossa. Todapalavra; Soto, P., El miedo de las mujeres a la violencia en la Ciudad de México: Una cuestión de justicia espacial (2012) Revista INVI, 27 (75), pp. 145-169. , http://revistainvi.uchile.cl/index.php/INVI/article/view/612, Retrieved from; Soto, P., (2019) Análisis de la movilidad, accesibilidad y seguridad de las mujeres en tres Centros de Transferencia Modal (CETRAM) de la Ciudad de México, , https://publications.iadb.org/es/analisis-de-la-movilidad-accesibilidad-y-seguridad-de-las-mujeres-en-tres-centros-de-transferencia, Banco Interamericano de Desarrollo. Retrieved from; Ulloa, A., Escobar, E.M., Donato, L.M., Pía, E., (2008) Mujeres indígenas y cambio climático. Perspectivas latinoamericanas, , www.unodc.org/documents/colombia/2013/Agosto/DA2013/MUJERES-INDIGENAS-CAMBIO-CLIMATICO.2008.pdf, (1st ed.). Fundación Natura. UNODC.UNAL. Retrieved from; (2021) Goal 11: Sustainable cities and communities, , www.undp.org/sustainable-development-goals#sustainable-cities-and-communities, online, United Nations Development Programme. Retrieved May 11, from; (2015) Reporte Nacional de Movilidad Urbana en México 2014-2015, , www.gphabitatmexico.org, Retrieved from; (2021) Housing Rights, , https://unhabitat.org/programme/housing-rights, online, 2012-2021 United Nations Human Settlements Programme. Retrieved April 8, from; (2021) The right to adequate housing toolkit, , www.ohchr.org/EN/Issues/Housing/toolkit/Pages/RighttoAdequateHousingToolkit.aspx, United Nations Human Rights Office of the High Commissioner. Retrieved May 11, 2021, from; (2015) Objetivos de dessarrollo sostenible, , www.un.org/sustainabledevelopment/es/, United Nations. Retrieved January 15, 2021, from; (2020) The right to housing, , www.unhousingrapp.org/, UN Special Rapporteur on the Right to Housing. Retrieved May 11, 2021, from; (2015) The Beijing platform for action turns 20, , https://beijing20.unwomen.org/en/about, United Nations Entity for Gender Equality and the Empowerment of Women. Retrieved 2021, from; (2020) Gender mainstreaming: A global strategy for achieving gender equality and the empowerment of women and girls; (2020) COVID-19 and its economic toll on women: The story behind the numbers, , www.unwomen.org/en/news/stories/2020/9/feature-covid-19-economic-impacts-on-women, September 16. UN-Women. Retrieved February 1, 2021, from; Uteng, T.P., Cresswell, T., (2008) Gendered mobilities, , London: Tanu Priya and Creswell; Valdivia, B., Del urbanismo androcéntrico a la ciudad cuidadora (2018) Hábitat y Sociedad, p. 11; Vega, C., Reproducción social y cuidados en la reinvención de lo común: Aportes conceptuales y analíticos desde los feminismos (2019) Revista de Estudios Sociales, 70, pp. 49-63; Vega, S., Hogares urbanos y medioambiente: Comportamientos ambientales y salud familiar (1996) Género y ambiente en Latinoamérica, , México. CRIM-UNAM; (2014) Gender, climate change and health, , www.who.int/globalchange/publications/reports/gender_climate_change/en/, Retrieved from</t>
  </si>
  <si>
    <t>Taylor and Francis</t>
  </si>
  <si>
    <t>The Routledge Handb. of Urban Studies in Latin America and the Caribbean: Cities, Urban Processes, and Policies</t>
  </si>
  <si>
    <t>2-s2.0-85142840346</t>
  </si>
  <si>
    <t>González C.L.B., Leiva M.Á.C., Torres A., Rodríguez S.</t>
  </si>
  <si>
    <t>57224678114;57843789500;57844819500;57983221600;</t>
  </si>
  <si>
    <t>Communications in Computer and Information Science</t>
  </si>
  <si>
    <t>1659 CCIS</t>
  </si>
  <si>
    <t>10.1007/978-3-031-18082-8_26</t>
  </si>
  <si>
    <t>https://www.scopus.com/inward/record.uri?eid=2-s2.0-85142726309&amp;doi=10.1007%2f978-3-031-18082-8_26&amp;partnerID=40&amp;md5=45b568e15feb05aa06788e430448fa90</t>
  </si>
  <si>
    <t>Military Aviation School (EMAVI), Santiago de Cali, Colombia; Mayor University, Santiago, Chile; University Corporation Comfacauca - Unicomfacauca, Popayán, Colombia</t>
  </si>
  <si>
    <t>González, C.L.B., Military Aviation School (EMAVI), Santiago de Cali, Colombia, Mayor University, Santiago, Chile; Leiva, M.Á.C., Mayor University, Santiago, Chile; Torres, A., University Corporation Comfacauca - Unicomfacauca, Popayán, Colombia; Rodríguez, S., University Corporation Comfacauca - Unicomfacauca, Popayán, Colombia</t>
  </si>
  <si>
    <t>Virtual training is a mechanism that enables contemporary society to be literate, allowing up-to-date information on the technological environment, improving cognitive abilities as well as soft skills required in the workplace where individuals can develop their maximum performance; The following article presents results obtained in the literacy of older adults of Santiago de Chile, belonging to the Los Andes Compensation Fund in the area of Information Security in Electronic Payment Means, through the application of the Alternative Action Research Method under an Apprehensive Level Methodology of the Comparative Analytical type of quantitative data, oriented in the development of a Virtual Object that allows to reduce the knowledge gap and lose the fear of the use of technology through the integration of Media Literacy and Informational (MIL) focused on the transmission of updated knowledge and training in technological resources. © 2022, The Author(s), under exclusive license to Springer Nature Switzerland AG.</t>
  </si>
  <si>
    <t>E-learning; Engineering education; Andragogy; Electronic payment method; Information literacy; Knowledge technologies; Learning and knowledge technology (TAC); Learning technology; Medium and information literacy (AMI); Senior citizens; Training experiences; Virtual training; Security of data</t>
  </si>
  <si>
    <t>López-Bonilla, L.M., López-Bonilla, J.M., Models of adopting information technologies from the attitudinal paradigm (2011) Cad. EBAPE. BR, 9 (1), pp. 176-196. , https://doi.org/10.1590/S1679-39512011000100011; Azofeifa Bolaños, J.B., Evolución conceptual e importancia de la andragogía para la opti-mización del alcance de los programas y proyectos académicos universitarios de desarrollo rural (2017) Rev. Electrónica Educ. (Educare Electron. Journal), 21 (1), pp. 1-16. , https://doi.org/10.15359/ree.21-1.23; Castells, M., (1996) La Sociedad Red, , http://s3de4d611b4ec3006.jimcontent.com/download/version/1393284927/module/9140750878/name/La_sociedad_red_capitulo_2._Castell_Manuel.pdf; Mogollón, E., Una perspectiva integral del adulto mayor en el contexto de la educación (2012) Rev. Interam. Educ. Adultos, 34, p. 74. , https://www.redalyc.org/pdf/4575/457545090005.pdf; Sánchez-Domenech, I., Rubia-Avi, M., ¿Es posible la reconstrucción de la teoría de la educación de personas adultas integrando las perspectivas humanistas, críticas y postmodernas? (2017) Revista Electrónica Educare, 21 (2), p. 1. , https://doi.org/10.15359/ree.21-2.23; (2018) Applied Energy, , Knowles, M.: Self-directed learning: a guide for learners and teachers. SELF-DIRECTED Learn. A Guid. Learn. Teach. Malcol m Knowles New York Assoc. Press. 1975. 135 pp., Pap. First Publ. June 1, 1977 Other https//doi.org/https://doi.org/10.1177/105960117700200220 Artic. Inf. No Access Artic. Informati 2(2), 256–257 (1977). https://doi.org/10.1177/105960 117700200220; Organizaciones de las NAciones Unidad para la Educación, la Ciencia y la Cultura (UNESCO) (2008) La UNESCO Y La Declaración Universal De Derechos Humanos, , https://es.unesco.org/udhr; Martín, L.Y.M., Mendoza, L.G., Nieves, L.M.A., Guía para el diseño de objetos virtuales de aprendizaje (OVA). Aplicación al proceso enseñanza-aprendizaje del área bajo la curva de cálculo integral (2016) Rev. Científica Gen. José María Córdova, 14 (18), pp. 127-147. , https://doi.org/10.21830/19006586.46; Plaza Arias, J.L., Constain Moreno, G., Experiencia de diseño de aplicaciones móviles basada en estrategias de gamificación para el fortalecimiento de habilidades cognitivas Mobile application design experience based on gamification strategies to (2021) Rev. Digit. AIPO, 2 (1), pp. 17-24. , https://revista.aipo.es/index.php/INTERACCION/article/view/31/43; Morales Pacavita, O.S., Leguizamón González, M.C., Teoría andragógica: Aciertos y desacier-tos en la formación docente en tic (2018) Rev. Investig. Y Pedagog. Maest. En Educ. Uptc, 9, pp. 161-181. , https://doi.org/10.19053/22160159.v9.n19.2018.7926; Figueroa, J.G., Martínez, F.V., Impacto de los medios electrónicos de pago sobre la demanda de dinero (2016) Investigación Económica, 75 (295), pp. 93-124. , https://doi.org/10.1016/j.inveco.2016.03.003; Alves, P., (2020) Mastercard. Encuesta Mastercard: 63% De Los Chilenos Quisiera Poder Realizar Pagos En Tiempo Real, , https://www.mastercard.com/news/latin-america/es/sala-de-prensa/comunicados-de-prensa/pr-es/2020/junio/encuesta-mastercard-63-de-los-chilenos-quisiera-poder-realizar-pagos-en-tiempo-real/; Córdoba, M.N., Monsalve, C., Tipos de investigación, predictiva, interactiva, confirma-toria y evaluativa (2008) Fund. Sypal., pp. 139-140. , http://2633518-0.web-hosting.es/blog/didact_mate/9.TiposdeInvestigación.Predictiva%2CProyectiva%2CInteractiva%2CConfir-matoriayEvaluativa.pdf; Hernández Sampieri, R., Fernández Collado, C., Baptista Lucio, M., Del, P., Metodología de la Investigación. Mexico: McGRAW-HILL / INTERAMERICANA EDITORES, S.A (2005) DE C, p. V; (2018) Applied Energy, , Páramo Bernal, P.: La Investigación en Ciencias Sociales: estrategias de investigación. Univ. Pilot. Colomb., 1–8 (2013). https://books.google.com/books?hl=es&amp;lr=&amp;id=2uk0DwAAQ BAJ&amp;oi=fnd&amp;pg=PT75&amp;dq=La+investigación+en+Ciencias+Sociales:+Estrategias+de+ investigación.+&amp;ots=SWIu17_QHM&amp;sig=J87Vg2M_FApbK_l7ltLwGRgjR68; Welch, S., Comer, J., (1988) Quantitative Methods for Public Administration: Techniques and Applications, , 2nd edn. Ill Dorsey Press, Chicago; Galvis Panqueva, A.H., Del Pedraza Vega, L.C., Desafíos del eLearning y del bLearning en educación superior: Análisis de buenas prácticas en instituciones líderes (2013) Cent. Innovación En Tecnol. Y Educ. – Univ. Los Andes., p. 48. , https://conectate.uniandes.edu.co/images/pdf/desafios_conectate.pdf; Paur, A.B., Rosanigo, Z.B., (2008) Objetos De Aprendizaje: Factores Que Potencian Su Reusabilidad. XIV Congr. Argentino Ciencias La Comput. (02965), pp. 1-12. , http://sedici.unlp.edu.ar/handle/10915/22004; Plaza Arias, J.L., (2021) Ambiente Virtual De Aprendizaje Para La Formación En Seguridad Informática; (2018) Applied Energy, , Futures, E.: Knowmad Society. Educ. Futur., 1–273 (2013). http://www.knowmadsociety. com</t>
  </si>
  <si>
    <t>González, C.L.B.; Military Aviation School (EMAVI)Colombia; email: clara.burbano@emavi.edu.co</t>
  </si>
  <si>
    <t>Mata-Rivera M.F.Zagal-Flores R.Barria-Huidobro C.</t>
  </si>
  <si>
    <t>11th International Congress of Telematics and Computing, WITCOM 2022</t>
  </si>
  <si>
    <t>7 November 2022 through 11 November 2022</t>
  </si>
  <si>
    <t>Commun. Comput. Info. Sci.</t>
  </si>
  <si>
    <t>2-s2.0-85142726309</t>
  </si>
  <si>
    <t>Higuera-Martínez O.I., Corazza G.E., Fernández-Samacá L.</t>
  </si>
  <si>
    <t>57204360622;7102210554;36489403400;</t>
  </si>
  <si>
    <t>European Journal of Engineering Education</t>
  </si>
  <si>
    <t>https://www.scopus.com/inward/record.uri?eid=2-s2.0-85142449762&amp;doi=10.1080%2f03043797.2022.2149388&amp;partnerID=40&amp;md5=6ad6d178407523c461944384aa07de42</t>
  </si>
  <si>
    <t>Signal processing research group DSP-UPTC, Universidad Pedagógica y Tecnológica de Colombia, Sogamoso, Colombia; DEI-Marconi Institute for Creativity, University of Bologna Bologna, Italy; LaPEA, Université Paris Cité and University Gustave Eiffel, Boulogne-Billancourt, France</t>
  </si>
  <si>
    <t>Higuera-Martínez, O.I., Signal processing research group DSP-UPTC, Universidad Pedagógica y Tecnológica de Colombia, Sogamoso, Colombia; Corazza, G.E., DEI-Marconi Institute for Creativity, University of Bologna Bologna, Italy, LaPEA, Université Paris Cité and University Gustave Eiffel, Boulogne-Billancourt, France; Fernández-Samacá, L., Signal processing research group DSP-UPTC, Universidad Pedagógica y Tecnológica de Colombia, Sogamoso, Colombia</t>
  </si>
  <si>
    <t>This article presents how Problem- and Project-Based Learning (PBL) in engineering education can exploit the theoretical framework of the Space–Time (ST)-Continuum, according to which educational contexts can be classified in terms of the tightness vs. looseness of the relevant conceptual space S and available time T. By crossing these two dimensions, four quadrants are obtained in the ST-Continuum: tight space and tight time, loose space and tight time, tight space and loose time, loose space and loose time. Different pedagogies are adaptive to different quadrants. We show how PBL can be mapped onto the ST-Continuum depending on the context characteristics or the chosen problem or project. Further, this article discusses how the intelligence and creativity constructs can be developed through diverse educational scenarios, giving examples of PBL interventions that can be located in different quadrants. Moreover, the analysis shows how through suitable planning, it is possible to have educational activities that consider all the quadrants of the ST-Continuum, even in traditional education curricula or teacher-centered approaches. Finally, the article discusses how teaching practices can promote intelligence and creativity in the curricula at different PBL organisational levels depending on their relationship with the ST-Continuum. © 2022 SEFI.</t>
  </si>
  <si>
    <t>creativity; engineering education; problem-based learning; project-based learning; ST-Continuum</t>
  </si>
  <si>
    <t>Curricula; Classifieds; Conceptual spaces; Creativity; Educational context; Learning in engineering; Problem based learning; Problem- and project-based learning; Project based learning; Space-time continuum; Theoretical framework; Engineering education</t>
  </si>
  <si>
    <t>Astutik, S., Prahani, B.K., The Practicality and Effectiveness of Collaborative Creativity Learning (CCL) Model by Using PhET Simulation to Increase Students’ Scientific Creativity (2018) International Journal of Instruction, 11 (4), pp. 409-424; Barrows, H.S., (1988) The Tutorial Process, , Springfield, IL: Southern Illinois University School of Medicine; Bourgeois-Bougrine, S., Sandoz, B., Allena, R., Dallez, B., Group Creativity in Biomedical Engineering Education (2015) Proceedings of the European Conference on Innovation and Entrepreneurship, ECIE, pp. 90-98. , https://www.scopus.com/inward/record.uri?eid=2-s2.0-84994130098%26partnerID=40%26md5=5ff545b7829871f244558043e1dd3fba, Academic Conferences and Publishing International Limited, and,. (Vols. 2015-Janua), edited by; Bravo, L.E.C., Bermudez, G.M.T., Molano, J.I.R., Design and Application of a Creative Strategy Based on the Method of Problem-Based Learning (PBL) in Engineering Students (2018) Learning Technology for Education Challenges. LTEC 2018. Communications in Computer and Information Science, pp. 168-180. , Cham: Springer, and,. edited by, https://doi.org/; Bruhl, J.C., Bruhl, W.G., (2020), https://www.scopus.com/inward/record.uri?eid=2-s2.0-85095737816%26partnerID=40%26md5=500989db50768c93a07fda3394fd7bc7, Engineering Creativity: Ideas from the Visual Arts for Engineering Programs., ASEE Annual Conference and Exposition, Conference Proceedings, 2020-June; Chen, J., Kolmos, A., Du, X., Forms of Implementation and Challenges of PBL in Engineering Education: A Review of Literature (2021) European Journal of Engineering Education, 46 (1), pp. 90-115; Chen, S.-Y., Lai, C.-F., Lai, Y.-H., Su, Y.-S., Effect of Project-Based Learning on Development of Students’ Creative Thinking (2019) The International Journal of Electrical Engineering &amp; Education, , 0020720919846808; Chen, H., Tao, T., Zhou, C., Fostering Creative Young Engineers in Chinese Universities (2018) International Journal of Engineering Education, 34 (2), pp. 329-339. , https://www.scopus.com/inward/record.uri?eid=2-s2.0-85044430127%26partnerID=40%26md5=7500519296d93987138f618a03d76ff3; Corazza, G.E., Potential Originality and Effectiveness: The Dynamic Definition of Creativity (2016) Creativity Research Journal, 28 (3), pp. 258-267; Corazza, G.E., Organic Creativity for Well-Being in the Post-Information Society (2017) Europe’s Journal of Psychology, 13 (4), pp. 599-605; Corazza, G.E., Agnoli, S., The DA VINCI Model for the Creative Thinking Process (2022) Homo Creativus: The 7 C’s of Human Creativity, pp. 49-67. , Lubart T., Botella M., Bourgeois -Bougrine S., Caroff X., Guegan J., Mouchiroud C., Nelson J., Zenasni F., (eds), Springer International Publishing, and,. edited by, https://doi.org/; Corazza, G.E., Agnoli, S., Martello, S., A Creativity and Innovation Course for Engineers (2017) Handbook of Research on Creative Problem-Solving Skill Development in Higher Education, pp. 74-93. , Zhou C., (ed), IGI Global, and,. edited by, https://doi.org/; Corazza, G.E., Darbellay, F., Lubart, T., Panciroli, C., Developing Intelligence and Creativity in Education: Insights from the Space–Time Continuum (2021) Creativity and Learning, pp. 69-87; Corazza, G.E., Glăveanu, V.P., Potential in Creativity: Individual, Social, Material Perspectives, and a Dynamic Integrative Framework (2020) Creativity Research Journal, 32 (1), pp. 81-91; Corazza, G.E., Lubart, T., Intelligence and Creativity: Mapping Constructs on the Space-Time Continuum (2021) Journal of Intelligence, 9 (1); Corazza, G.E., Reiter-Palmon, R., Beghetto, R.A., Lubart, T., Intelligence and Creativity in the Space-Time Continuum for Education, Business, and Development (2021) Journal of Creativity, 31, p. 100003; Cropley, D.H., Creativity in Engineering (2015) Multidisciplinary Contributions to the Science of Creative Thinking, , Springer Singapore,. In, https://doi.org/; Cropley, D.H., (2015) Creativity in Engineering, Novel Solutions to Complex Problems, , Elsevier, (J. Kaufman, Ed, https://doi.org/; Cropley, D.H., Creativity in Engineering (2016) Multidisciplinary Contributions to the Science of Creative Thinking, pp. 155-173. , Corazza G.E., Agnoli S., (eds), Springer Singapore,. edited by, https://doi.org/; de Graaff, E., Kolmos, A., History of Problem-Based and Project-Based Learning (2007) Management of Change, pp. 1-8. , de Graaff E., Kolmos A., (eds), Brill | Sense, and,. edited by, https://doi.org/; Du, X.-Y., de Graaff, E., Kolmos, A., (2009) Research on PBL Practice in Engineering Education, , Rotterdam/Boston/ Taipei:: Sense Publishers; Fernandez-Samaca, L., Higuera-Martinez, O.I., Sanabria-Totaitive, C.A., Building Small Prototypes in a pbl Intervention for Learning Automatic Control Systems (2021) International Journal of Engineering Education, 37 (5), pp. 1274-1288; Fernandez-Samaca, L., Perez-Holguin, W.J., Higuera-Martinez, O.I., A PBL Curriculum Design for an Engineering Electronics Program, from Traditional to Student-Centered Education (2019) 11th International Symposium on Project Approaches in Engineering Education, pp. 109-116; Fernández-Samacá, L., Ramírez, J.M., Orozco-Gutiérrez, M.L., Project-based Learning Approach for Control System Courses (2012) Controle y Automacao, 23 (1), pp. 94-107; Fernandez-Samaca, L., Scarpetta, J.M.R., Rodriguez, O.O., Mejia, E.F., PBL Model for Single Courses of Control Education (2017) International Journal of Engineering Education, 33 (3), pp. 963-973. , https://www.scopus.com/inward/record.uri?eid=2-s2.0-85019753475%26partnerID=40%26md5=91c3f35ad1500fe1ee399b0b1262aee7; Garzón, J., Alfonso, J., Fernandez-Samacá, L., Sanabria, C., (2020) Modeling and Antibalance Control of a Birail Crane, pp. 149-156; Glaveanu, V.P., Thinking Outside the Box of Individualism: Creativity in Light of a Socio-Cultural Approach (2008) Europe’s Journal of Psychology, 4, p. 4; Glaveanu, V.P., Educating Which Creativity? (2018) Thinking Skills and Creativity, 27, pp. 25-32; Higuera-Martinez, O.I., Fernandez-Samaca, L., Fostering Creativity in Engineering Through PBL (2020) Educate for the Future: Pbl, Sustainability and Digitalisation 2020. International Research Symposium on PBL, pp. 410-419. , https://vbn.aau.dk/en/publications/educate-for-the-future-pbl-sustainability-and-digitalisation-2020, Guerra A., Chen J., Winther M., Kolmos A., (eds), Aalborg Universitetsforlag, and,. edited by; Higuera-Martinez, O.I., Fernandez-Samacá, L., Alvarado-Fajardo, A.C., Mesa-Mesa, L.A., (2022), Fostering Creativity Seniors and Freshman Students of Engineering., 2022 IEEE Global Engineering Education Conference (EDUCON), 285–291, https://doi.org/; Higuera Martínez, O.I., Fernández-Samacá, L., Serrano Cárdenas, L.F., Trends and Opportunities by Fostering Creativity in Science and Engineering: A Systematic Review (2021) European Journal of Engineering Education, 46 (6), pp. 1117-1140; Hultman, E., Leijon, M., (2019), Integration of Real-World Project Tasks a Course on Automation and Robot Engineering., 2019 IEEE Global Engineering Education Conference (EDUCON), 107–114, https://doi.org/; Kolmos, A., de Graaff, E., Du, X.-Y., Diversity of PBL-PBL Learning Principles and Models (2009) Research on PBL Practice in Engineering Education, pp. 9-21; Kolmos, A., Hadgraft, R.G., Holgaard, J.E., Response Strategies for Curriculum Change in Engineering (2016) International Journal of Technology and Design Education, 26 (3), pp. 391-411; Koranto, D., Munasir, M., Setiani, R., Suyitno, S., Tresnaningsih, W., &amp; Pramonoadi, S., Effectiveness of Project Based Laboratory Learning to Increase Student’s Science Process Skills and Creativity (2020) Journal of Physics: Conference Series, 1491, p. 12006; Korkmaz, G., Kalayci, N., (2019), Trandformation of PBL through the change Higher Education the 21st Century: A model for an Institution-Level PBL Design; Kuo, H.-C., Yang, Y.T.C., Chen, J.-S., Hou, T.-W., Ho, M.-T., The Impact of Design Thinking PBL Robot Course on College Students’ Learning Motivation and Creative Thinking (2022) IEEE Transactions on Education, 65 (2), pp. 124-131; LaDuca, B., Ausdenmoore, A., Katz-Buonincontro, J., Hallinan, K.P., Marshall, K.L., An Arts-Based Instructional Model for Student Creativity in Engineering Design (2017) International Journal of Engineering Pedagogy, 7 (1), pp. 34-57; Lai, E.R., Viering, M.M., (2012) Assessing 21 st Century Skills : Integrating Research Findings, , Vancouver, B.C: National Council on Measurement Education; Leung, E., Pluskwik, E., (2018), Special Session: Learning and Practice of Engineering Fundamental Principles for Long-Term Retention., 2018 IEEE Frontiers Education Conference (FIE), 1–4, https://doi.org/; Li, Z., Cai, X., Kuznetsova, M., Kurilova, A., Assessment of Scientific Thinking and Creativity in an Electronic Educational Environment (2022) International Journal of Science Education, pp. 1-24; Moesby, E., Reflections on Making a Change Toward POPBL (2004) World Transactions on Engineering and Technology Education, 3 (2), pp. 269-278; Murray, M.C., Pérez, J., Informing and Performing: A Study Comparingadaptive Learning to Traditional Learning (2015) Informing Science: The International Journal of an Emerging Transdiscipline, 18, pp. 111-125. , http://www.inform.nu/Articles/Vol18/ISJv18p111-125Murray1572.pdf; Peteranetz, M.S., Flanigan, A.E., Shell, D.E., Soh, L.-K., Helping Engineering Students Learn in Introductory Computer Science (CS1) Using Computational Creativity Exercises (CCEs) (2018) IEEE Transactions on Education, 61 (3, SI), pp. 195-203; Qattawi, A., Alafaghani, A., Ablat, M.A., Jaman, M.S., A Multidisciplinary Engineering Capstone Design Course: A Case Study for Design-Based Approach (2019) International Journal of Mechanical Engineering Education, , 0306419019882622; Ramirez, C., Hurtado, P., Sanabria, C., Ramirez, K., (2020) Design of a Low-Cost Ball and Plate Prototype for Control Education, pp. 258-265; Rodríguez, J., Laverón-Simavilla, A., del Cura, J.M., Ezquerro, J.M., Lapuerta, V., Cordero-Gracia, M., Project Based Learning Experiences in the Space Engineering Education at Technical University of Madrid (2015) Advances in Space Research, 56 (7), pp. 1319-1330; Savin-Baden, M., (2007), Challenging Models and Perspectives of Problem-Based Learning, (9–29, https://doi.org/; Sawyer, R.K., (2012) Explaining Creativity: The Science of Human Innovation, , 2nd ed, Oxford: Oxford University Press; Sobirova, S.U., Karimova, R., Advantages and Disadvantages of Traditional and Non-Traditional Lessons, Goals, Objectives and Types (2021) European Journal of Innovation in Nonformal Education, 1 (2), pp. 233-236; Torrisi, S., Manfredi, S., Iacopini, I., Latora, V., Creative Connectivity Project-A Network Based Approach to Understand Correlations Between Interdisciplinary Group Dynamics and Creative Performance (2019) 21st International Conference on Engineering and Product Design Education (E&amp;PDE 2019), pp. 530-535. , https://doi.org/; Uden, L., Beaumont, C., (2006) Technology and Problem-Based Learning, , Hershey, PA: IGI Global, https://doi.org/; Valentine, A., (2018) Investigating the Suitability of Computerised Creativity Training Activities for Teaching Creativity and Problem-Solving Skills in Engineering Education, , Melbourne: RMIT University; Wendrich, R.E., Blended Spaces for Integrated Creativity and Play in Design and Engineering Processes (2016) Journal of Computing and Information Science in Engineering, 16 (3); Wu, T.T., Wu, Y.T., Applying Project-Based Learning and SCAMPER Teaching Strategies in Engineering Education to Explore the Influence of Creativity on Cognition, Personal Motivation, and Personality Traits (2020) Thinking Skills and Creativity, 35; Zaher, A.A., Hussain, G.A., (2020), STEAM-based active learning approach to selected topics electrical/computer engineering. R. T. Cardoso A. Alves G.R. (Ed.), IEEE Global Engineering Education Conference, EDUCON, (Vols. 2020-April, 1752–1757). IEEE Computer Society, https://doi.org/; Zhou, C., Integrating Creativity Training Into Problem and Project-Based Learning Curriculum in Engineering Education (2012) European Journal of Engineering Education, 37 (5), pp. 488-499; Zhou, C., (2015), Bridging Creativity and Group by Elements of Problem-Based Learning (PBL) BT - Pattern Analysis, Intelligent Security and the Internet of Things (A. Abraham, A. K. Muda, &amp; Y.-H. Choo, Eds.; 1–9). Springer International Publishing; Zorro, J.F., Barrera, Y.C., Viancha, N.N., Totaitive, C.S., Fernández-Samacá, L., Design and Implementation of a PID Controller for a Didactic Pneumatic Levitation System Monitored by Smartphone (2021) Automática y Robótica en Latinoamérica. Aportes desde la Academia, pp. 111-126. , Pontificia Universidad Javeriana Cali, and, https://doi.org/</t>
  </si>
  <si>
    <t>Higuera-Martínez, O.I.; Signal processing research group DSP-UPTC, Colombia; email: oscar.higuera@uptc.edu.co</t>
  </si>
  <si>
    <t>2-s2.0-85142449762</t>
  </si>
  <si>
    <t>Coha-Vesga P.M., Mendoza-Oliveros M.E., Pérez-Villamil F.R., Coury F.G., Mujica-Roncery L.</t>
  </si>
  <si>
    <t>57762063100;57223922886;57220928170;56396965200;43061545200;</t>
  </si>
  <si>
    <t>Novel Martensitic High Carbon–Nitrogen Steel Produced by Casting at Low Pressure</t>
  </si>
  <si>
    <t>Steel Research International</t>
  </si>
  <si>
    <t>https://www.scopus.com/inward/record.uri?eid=2-s2.0-85142439434&amp;doi=10.1002%2fsrin.202200686&amp;partnerID=40&amp;md5=16cdde6b06d79c17077651fd10829bf9</t>
  </si>
  <si>
    <t>grupo de Investigación en Materiales Siderúrgicos, Universidad Pedagógica y Tecnológica de Colombia, sede Tunja, Avenida Central del Norte # 39-115, Boyaca, Tunja, 150003, Colombia; Departamento de Engenharia de Materiais, Universidade Federal de São Carlos, Rod. Washington Luís, km 235, SP, São Carlos, 13565-905, Brazil</t>
  </si>
  <si>
    <t>Coha-Vesga, P.M., grupo de Investigación en Materiales Siderúrgicos, Universidad Pedagógica y Tecnológica de Colombia, sede Tunja, Avenida Central del Norte # 39-115, Boyaca, Tunja, 150003, Colombia; Mendoza-Oliveros, M.E., grupo de Investigación en Materiales Siderúrgicos, Universidad Pedagógica y Tecnológica de Colombia, sede Tunja, Avenida Central del Norte # 39-115, Boyaca, Tunja, 150003, Colombia; Pérez-Villamil, F.R., grupo de Investigación en Materiales Siderúrgicos, Universidad Pedagógica y Tecnológica de Colombia, sede Tunja, Avenida Central del Norte # 39-115, Boyaca, Tunja, 150003, Colombia; Coury, F.G., Departamento de Engenharia de Materiais, Universidade Federal de São Carlos, Rod. Washington Luís, km 235, SP, São Carlos, 13565-905, Brazil; Mujica-Roncery, L., grupo de Investigación en Materiales Siderúrgicos, Universidad Pedagógica y Tecnológica de Colombia, sede Tunja, Avenida Central del Norte # 39-115, Boyaca, Tunja, 150003, Colombia</t>
  </si>
  <si>
    <t>Nitrogen-containing steels have become an attractive material in industrial fields due to their excellent mechanical properties. Nevertheless, the current manufacturing methods to produce nitrogen steels are linked to technologies with high working pressures. Alloying elements such as Cr, Mn, and Mo enhance the solubility of nitrogen in the melt, which allows the production at atmospheric pressure. Herein, carbon–nitrogen martensitic steels are produced at low pressure (7 × 105 Pa). The composition is designed through the CALPHAD method using two carbon contents (0.7 and 1.3 wt%). The alloy is produced in an induction furnace under N2 atmosphere to mitigate desorption. Thermomechanical and heat treatments are performed. The alloys are analyzed using optical emission spectroscopy, X-ray diffraction, optical microscopy, and scanning electron microscopy (SEM) with energy-dispersive spectroscopy (EDS). The mechanical evaluation is conducted using hardness analysis. The steel presents a nitrogen content of 0.15 wt%, in agreement with the thermodynamic calculations. SEM and EDS results show the presence of Cr and Nb precipitates in a martensitic structure. The highest hardness values are obtained in specimens heat treated by tempering at 400 °C for 2 h and air cooling, achieving 57.4 and 59.7 Hardness Rockwell C for samples with 0.7 and 1.3 wt% C, respectively. © 2022 Wiley-VCH GmbH.</t>
  </si>
  <si>
    <t>carbon–nitrogen steels; cold work tool steels; computational thermodynamic; microstructures; scanning electron microscopy</t>
  </si>
  <si>
    <t>Alloying elements; Atmospheric pressure; Carbon; Energy dispersive spectroscopy; Hardness; Optical emission spectroscopy; Tool steel; 'current; Carbon–nitrogen steel; Cold work tool steels; Computational thermodynamics; High carbons; Industrial fields; Low pressures; Martensitics; Nitrogen steels; Nitrogen-containing steels; Scanning electron microscopy</t>
  </si>
  <si>
    <t>The authors wish to express their gratitude to the Ministry of Science, Technology and Innovation of Colombia for granting the scholarship within the bicentennial doctoral excellence scholarship program, as well as to the Universidad Pedagógica y Tecnológica de Colombia and the Universidade Federal de São Carlos and all its staff for the help provided to carry out this research work.</t>
  </si>
  <si>
    <t>Dhokey, N.B., Upadhye, A., Shah, N., Tharian, K.T., Mater. Today Proc., 43, p. 3023; Shah, N., Arora, K., Dhokey, N.B., Dileep Kumar, N., Tharian, K.T., (2019) Trans. Indian Inst. Met., 72, p. 2121; Bénéteau, A., Weisbecker, P., Geandier, G., Aeby-Gautier, E., Appolaire, B., (2005) Mater. Sci. Eng. A, 393, p. 63; Ping, D.H., Ohnuma, M., (2018) J. Mater. Sci., 53, p. 5339; Park, S.-J., Kim, K.-S., Kang, J.-H., Kim, S.-J., (2022) J. Mater. Res. Technol., 19, p. 2960; Svjażin, A.G., Efimenko, S.P., Kaputkina, L.M., (1999) Mater. Sci. Forum, 318-320, p. 353; Feng, H., Li, H.-B., Jiang, Z.-H., Zhang, T., Dong, N., Zhang, S.-C., Han, P.-D., Chen, Z.-G., (2019) Corros. Sci., 158, p. 108081; Li, H.B., Jiang, Z.H., Ma, Q.F., Zhan, D.P., (2012) Adv. Mater. Res., 455-456, p. 103; Berns, H., Krasokha, N., Seifert, M., (2014) Steel Res. Int., 85, p. 1200; Gavriljuk, V.G., Berns, H., (1999) High Nitrogen Steels, , Springer, Berlin, Heidelberg; Satir, A., Feichtinger, H., (1991) Z. fuer Met., 52, p. 689; Podgornik, B., Belič, I., Leskovšek, V., Godec, M., (2016) Metall. Mater. Trans. A, 47, p. 5650; Hao, Y., Li, J., Li, X., Liu, W., Cao, G., Li, C., Liu, Z., (2020) J. Mater. Process. Technol., 275, p. 116326; Novotny, P.M., Banerjee, M.K., (2016) Reference Module in Materials Science and Materials Engineering, , Elsevier, Amsterdam; Zajac, S., Conf. 43rd Mechanical Working and Steel Processing,, , presented at, Charlotte, NC, October, 2001; Ma, X.P., Wang, L.J., Liu, C.M., Subramanian, S.V., (2012) Mater. Sci. Eng. A, 539, p. 271; Kim, H., Kang, J.-Y., Son, D., Lee, T.-H., Cho, K.-M., (2015) Mater. Character., 107, p. 376; Rasouli, D., Kermanpur, A., Najafizadeh, A., (2019) J. Mater. Res. Technol., 8, p. 2846; Zyska, A., Konopka, Z., Łągiewka, M., Kordas, P., (2017) Arch. Foundry Eng., 17, p. 163; Liu, T., Liang, L., Raabe, D., Dai, L., (2023) J. Mater. Sci. Technol., 134, p. 244; Farayibi, P.K., Blüm, M., Weber, S., (2020) Mater. Sci. Eng. A, 777, p. 139053; Bannykh, O.A., Blinov, V.M., Kostina, M.V., (2003) Met. Sci. Heat Treat., 45, p. 43; Fan, R., Gao, M., Ma, Y., Zha, X., Hao, X., Liu, K., (2012) J. Mater. Sci. Technol., 28, p. 1059; Stein, G., Hucklenbroich, I., (2004) Mater. Manuf. Process., 19, p. 7; Elistratov, A.V., Blinov, V.M., Rakhshtadt, A.G., Aliev, A.A., Malofeeva, A.N., Davydov, A.D., (2003) Met. Sci. Heat Treat., 45, p. 385; Feng, H., Jiang, Z., Li, H., Lu, P., Zhang, S., Zhu, H., Zhang, B., Chen, Z., (2018) Corros. Sci., 144, p. 288; Feng, H., Li, H.-B., Jiao, W.-C., Jiang, Z.-H., Cai, M.-H., Zhu, H.-C., Chen, Z.-G., (2019) Metall. Mater. Trans. A, 50, p. 4987; Jiang, Z., Feng, H., Li, H., Zhu, H., Zhang, S., Zhang, B., Han, Y., Xu, D., (2017) Materials, 10, p. 861; Berezovskaya, V.V., Merkushkin, E.A., Raskovalova, Y.A., (2018) Solid State Phenom., 284, p. 447; Katada, Y., Washizu, N., Baba, H., (2005) Met. Sci. Heat Treat., 47, p. 494; Filippov, M.A., Belozerova, T.A., Blinov, V.M., Kostina, M.A., Val'kov, E.V., (2006) Met. Sci. Heat Treat., 48, p. 170; Ha, V.T., Jung, W.S., (2011) Mater. Sci. Eng. A, 528, p. 7115; Ren, W., Wang, L., (2022) J. Alloys Compd., 905, p. 164013; Xia, T., Wang, R., Bi, Z., Wang, R., Zhang, P., Sun, G., Zhang, J., (2021) Materials, 14, p. 4792; Speer, J., Enloe, C.M., Findley, K., Vantyne, C., Pavlina, E., (2015), Solubility and Precipitation of Carbides Containing Niobium and Molybdenum in Low Alloy Steels; Rejeesh, R., Bhattacharya, A., Haldar, C., Mitra, R., Chakrabarti, D., Das, C.R., Albert, S.K., Bhaduri, A.K., (2021) J. Alloys Compd., 867, p. 158971; Cai, X., Hu, X.-Q., Zheng, L.-G., Li, D.-Z., (2020) Acta Metall. Sin. Eng. Lett., 33, p. 693; Kudryavtsev, A.S., Artem'eva, D.A., Mikhailov, M.S., (2017) Phys. Met. Metallogr., 118, p. 788; (1993) ASM Metal Handbook, , ASM International, Almere, the Netherlands</t>
  </si>
  <si>
    <t>Coha-Vesga, P.M.; grupo de Investigación en Materiales Siderúrgicos, sede Tunja, Avenida Central del Norte # 39-115, Boyaca, Colombia; email: pablo.coha@uptc.edu.co</t>
  </si>
  <si>
    <t>2-s2.0-85142439434</t>
  </si>
  <si>
    <t>López Rivera J.J., Zapata Arizabaleta M., Castañeda Soler D.P., Carrillo Y.D., Gualdron López O., Forero-Castro M.</t>
  </si>
  <si>
    <t>6507551605;57973528700;57973100200;57973664200;57973942300;56725949100;</t>
  </si>
  <si>
    <t>Prenatal cytogenetic diagnosis: results obtained in the specialized laboratory of Clínica Universitaria Colombia from 2013 to 2019</t>
  </si>
  <si>
    <t>Journal of Maternal-Fetal and Neonatal Medicine</t>
  </si>
  <si>
    <t>10.1080/14767058.2021.1949450</t>
  </si>
  <si>
    <t>https://www.scopus.com/inward/record.uri?eid=2-s2.0-85142355280&amp;doi=10.1080%2f14767058.2021.1949450&amp;partnerID=40&amp;md5=a3667f329c33ef15a1489a5c3155d113</t>
  </si>
  <si>
    <t>Specialized Laboratory. Clinica Universitaria Colombia. Research Group in Anatomical and Clinical Pathology (INPAC), Bogotá, Colombia; Science Faculty. Universidad Pedagógica y Tecnológica de Colombia, Grupo de Investigación en Ciencias Biomédicas UPTC (GICBUPTC), Tunja, Colombia</t>
  </si>
  <si>
    <t>López Rivera, J.J., Specialized Laboratory. Clinica Universitaria Colombia. Research Group in Anatomical and Clinical Pathology (INPAC), Bogotá, Colombia; Zapata Arizabaleta, M., Specialized Laboratory. Clinica Universitaria Colombia. Research Group in Anatomical and Clinical Pathology (INPAC), Bogotá, Colombia; Castañeda Soler, D.P., Science Faculty. Universidad Pedagógica y Tecnológica de Colombia, Grupo de Investigación en Ciencias Biomédicas UPTC (GICBUPTC), Tunja, Colombia; Carrillo, Y.D., Specialized Laboratory. Clinica Universitaria Colombia. Research Group in Anatomical and Clinical Pathology (INPAC), Bogotá, Colombia; Gualdron López, O., Specialized Laboratory. Clinica Universitaria Colombia. Research Group in Anatomical and Clinical Pathology (INPAC), Bogotá, Colombia; Forero-Castro, M., Science Faculty. Universidad Pedagógica y Tecnológica de Colombia, Grupo de Investigación en Ciencias Biomédicas UPTC (GICBUPTC), Tunja, Colombia</t>
  </si>
  <si>
    <t>Objective: Prenatal cytogenetic evaluation is a key tool for identifying alterations in pregnant women with high risk for fetal chromosomal abnormalities (CA). In Colombia, there are not large-scale reports about the prevalence and pattern of CA in prenatal cytogenetic analysis. Method: A descriptive study was performed from registers of prenatal cytogenetic analysis on amniotic fluid (AF), chorionic villus biopsy (CVS), and fetal blood (FB) samples sent to the specialized laboratory of the Clínica Universitaria Colombia between 2013 and 2019. Results: The prevalence of CA was 20.9%. The trisomies 21, 18, 13, and monosomy X were the most frequent aneuploidies, and the derivative chromosomes were the most frequent structural abnormalities. Although the rate of CA was higher in women over the age of 35 years old; monosomy X, unbalanced rearrangements, and microduplications were associated with the group of women under the age of 35 (p &lt;.05). Trisomies 21 and 18 were the most common aneuploidies identified by FISH and were found to be altered in 52% of the aCGH studies. Ultrasonographic markers associated with CA were the most frequent clinical indication. Conclusion: In Colombia, the invasive prenatal cytogenetic analysis continues being an important diagnostic tool available for pregnant women with high risk for fetal CA. © 2021 Informa UK Limited, trading as Taylor &amp; Francis Group.</t>
  </si>
  <si>
    <t>chromosomal abnormalities; FISH and aCGH; Invasive prenatal cytogenetic analysis; karyotype</t>
  </si>
  <si>
    <t>aneuploidy; chromosome aberration; chromosome analysis; Colombia; Down syndrome; female; genetics; human; pregnancy; prenatal diagnosis; procedures; trisomy; Turner syndrome; Aneuploidy; Chromosome Aberrations; Colombia; Cytogenetic Analysis; Down Syndrome; Female; Humans; Pregnancy; Prenatal Diagnosis; Trisomy; Turner Syndrome</t>
  </si>
  <si>
    <t>The research is framed under the framework agreement for inter-institutional cooperation between the Universidad Pedagógica y Tecnológica de Colombia (UPTC) and the Fundación Universitaria Sanitas–Colombia. We thank the Medical Directorate of the Colombia University Clinic specialized laboratory for allowing access to the database and cytogenetic information and to the Maternal Fetal Medicine Unit of the Colombia University Clinic and the Reina Sofia Clinic.</t>
  </si>
  <si>
    <t>Caron, L., Tihy, F., Dallaire, L., Frequencies of chromosomal abnormalities at amniocentesis: Over 20 years of cytogenetic analyses in one laboratory (1999) Am J Med Genet, 82 (2), pp. 149-154; Hu, Q., Chai, H., Shu, W., Human ring chromosome registry for cases in the Chinese population: re-emphasizing cytogenomic and clinical heterogeneity and reviewing diagnostic and treatment strategies (2018) Mol Cytogenet, 11, p. 19; Professional guidelines for clinical cytogenetics prenatal diagnosis best practice guidelines (2009) (2009) Prenatal Diagnosis, pp. 1-24; Silva, E., Giraldo, A., Bermúdez, A., Diagnóstico prenatal citogenético: líquido amniótico versus vellosidades coriónicas (1997) Rev Colomb Obstet Ginecol, 48 (3), pp. 169-175; Milunsky, A., The prenatal diagnosis of neural tube and other congenital defects (1986) Genetic disorders and the fetus, pp. 453-519. , US: Springer, Boston, MA,. In:,. p; Shani, H., Goldwaser, T., Keating, J., Chromosomal abnormalities not currently detected by cell-free fetal DNA: a retrospective analysis at a single center (2016) Am J Obstet Gynecol, 214 (6), p. 729; Quintana, J., Quiñones, O., Méndez, L., Resultados del diagnóstico prenatal citogenético en las provincias occidentales de Cuba, 1984–1998 (1999) Rev Cuba Genética Humana, 1 (3), p. 9; Pimentel Benítez, H.I., Aniorland, I., Borrego, G., Diagnóstico Prenatal Citogenético en Camagüey. Resultados de 20 años (2008) Rev Cuba Genet Comunit, 2 (3), pp. 34-38; Becerra, C., Serrano, N., Diagnóstico prenatal de aneuploidías por amniocentesis. Experiencia de dos años de trabajo (1998) Rev Colomb Obstet Y Ginecol, 49 (3), pp. 163-1666; Fandiño, A., Lucumí, B., Ramírez, J., Valor predictivo positivo del diagnóstico prenatal invasivo para alteraciones cromosómicas (2018) Rev Fac Med, 66 (1), pp. 19-24; Huamán, G.M., Quiroga de Michelena, M., Arias, J., Diagnóstico Prenatal de Anomalías Cromosómicas (2007) Rev Peru Ginecol y Obstet, 53 (3), pp. 181-186; Huamán, G.M., Quiroga De Michelena, M., St. Martin, B., Diagnóstico prenatal de anomalías cromosómicas Biopsia de vellosidades coriales y amniocentesis para cariotipo fetal (2016) Rev Peru Ginecol y Obstet, 62 (3), pp. 269-277; Chai, H., Diadamo, A., Grommisch, B., Integrated FISH, karyotyping and aCGH analyses for effective prenatal diagnosis of common aneuploidies and other cytogenomic abnormalities (2019) Med Sci, 7 (2), p. 16; Cerrillo Hinojosa, M., Yerena de Vega, M.C., González Panzzi, M.E., Genetic amniocentesis in high-risk populations. Experience in 3081 cases (2009) Ginecol Obstet Mex, 77 (4), pp. 173-182; Díaz, P.A., Garrido, Y., Guerra, A., Diagnóstico prenatal citogenético en la provincia de Cienfuegos entre los años 2007 y 2010 (2012) MediSur, 10 (5), pp. 399-404; Fanny, C., Citogenética, F.G., Prenatal (2008) Rev Medica Julio, pp. 196-201; Ghosh, S., Feingold, E., Kumar, D.S., Etiology of Down syndrome: evidence for consistent association among altered meiotic recombination, nondisjunction, and maternal age across populations (2009) Am J Med Genet A, 149A (7), pp. 1415-1420; Vraneković, J., Božović, I.B., Grubić, Z., Down syndrome: parental origin, recombination, and maternal age (2012) Genet Test Mol Biomarkers, 16 (1), pp. 70-73; Posso, J., Sinisterra, S., Vásquez, G., Isaza de Lourido, C., Estudio genético en embarazadas (2004) Rev Colomb Obstet Ginecol, 55 (1), pp. 35-39; Milunsky, A., Milunsky, J., Genetic disorders and the fetus: diagnosis, prevention, and treatment, , 7th ed. Wiley Blackwell; 2015. p. 1208; Capalbo, A., Hoffmann, E.R., Cimadomo, D., Human female meiosis revised: New insights into the mechanisms of chromosome segregation and aneuploidies from advanced genomics and time-lapse imaging (2017) Hum Reprod Update, 23 (6), pp. 706-722; Allen, E.G., Freeman, S.B., Druschel, C., Maternal age and risk for trisomy 21 assessed by the origin of chromosome nondisjunction: a report from the Atlanta and National Down syndrome projects (2009) Hum Genet, 125 (1), pp. 41-52; Kim, Y.J., Lee, J.E., Kim, S.H., Maternal age-specific rates of fetal chromosomal abnormalities in Korean pregnant women of advanced maternal age (2013) Obstet Gynecol Sci, 56 (3), p. 160; Park, I.Y., Kwon, J.Y., Kim, Y.H., Maternal age-specific rates of fetal chromosomal abnormalities at 16-20 weeks’ gestation in Korean pregnant women ≥35 years of age (2010) Fetal Diagn Ther, 27 (4), pp. 214-221; Saiyed, N., Bakshi, S., Muthuswamy, S., Young mothers and higher incidence of maternal meiosis-I non- disjunction: Interplay of environmental exposure and genetic alterations during halt phase in trisomy 21 (2018) Reprod Toxicol, 79, pp. 1-7; Stochholm, K., Juul, S., Juel, K., Prevalence, incidence, diagnostic delay, and mortality in Turner syndrome (2006) J Clin Endocrinol Metab, 91 (10), pp. 3897-3902; Oliver, T.R., Feingold, E., Yu, K., New insights into human nondisjunction of chromosome 21 in oocytes (2008) PLOS Genet, 4 (3), pp. e1000033-e9; Arsham, M.S., Barch, M.J., Lawce, H.J., (2017) The AGT cytogenetics laboratory manual, p. 1218. , 4th ed,. Wiley Online Library;,. p; Wellesley, D., Dolk, H., Boyd, P.A., Rare chromosome abnormalities, prevalence and prenatal diagnosis rates from population-based congenital anomaly registers in Europe (2012) Eur J Hum Genet, 20 (5), pp. 521-526; Martínez Fernández, M.L., Estudio clínico epidemiológico de las alteraciones cromosómicas estructurales como causa de anomalías congénitas humanas. Universidad Complutense de Madrid Facultad de Ciencias Biológicas, pp. 69-75. , E-Prints Complutense. Repositorio Institucional de la UCM. Boletin del ECEMC. Serie VI, N° 1, 2011, p; Kan, A.S.Y., Lau, E.T., Tang, W.F., Whole-genome array CGH evaluation for replacing prenatal karyotyping in Hong Kong (2014) PLOS One, 9 (2); Wessel, K., Suleiman, J., Khalaf, T.E., 17q23.2q23.3 de novo duplication in association with speech and language disorder, learning difficulties, incoordination, motor skill impairment, and behavioral disturbances: a case report (2017) BMC Med Genet, 18 (1), pp. 3-7; Querejeta, M.E., Nieva, B., Navajas, J., Cigudosa, J.C., Diagnóstico prenatal y array-CGH II: gestaciones de bajo riesgo (2012) Diagnostico Prenat, 23 (2), pp. 49-55; Li, W., Xia, Y., Wang, C., Identifying human genome-wide CNV, LOH and UPD by targeted sequencing of selected regions (2015) PLOS One, 10 (4), pp. 1-18; Lee, C., The future of prenatal cytogenetic diagnostics: a personal perspective (2010) Prenat Diagn, 30 (7), pp. 706-709; González, R., Maza, M., López, Y., Comportamiento del Programa de Diagnóstico Prenatal Citogenético mediante la amniocentesis en Minas de Matahambre (2013) Rev Ciencias Médicas, 17 (3), pp. 69-79; Kataguiri, M., Júnior, E., Bussamra, L., Influence of second-trimester ultrasound markers for down syndrome in pregnant women of advanced maternal age (2014) J Pregnancy, , 1–6; Hook, E.B., Chromosome abnormalities in older women by maternal age: Evaluation of regression-derived rates in chorionic villus biopsy specimens (1990) Am J Med Genet, 35 (2), pp. 184-187; Trimble, B., Baird, P., Maternal age and Down syndrome: age-specific incidence rates by single-year intervals (1978) Am J Med Genet, 2 (1), pp. 1-5; Colciencias, C.M., (2013) de S y PS-. Guías de práctica clínica para la prevención, detección temprana y tratamiento de las complicaciones del embarazo, parto o puerperio. Para Uso de Profesionales de la Salud, pp. 11-15. , Bogotá D.C: MinSalud Colciencias,; p</t>
  </si>
  <si>
    <t>López Rivera, J.J.; Dirección Médica del Laboratorio especializado, Calle 22 B N° 66-46 piso 4, Colombia; email: jjlopez@colsanitas.com</t>
  </si>
  <si>
    <t>JMNMA</t>
  </si>
  <si>
    <t>J. Matern.-Fetal Neonatal Med.</t>
  </si>
  <si>
    <t>2-s2.0-85142355280</t>
  </si>
  <si>
    <t>Jiménez G., Torres R., Ortíz C., Parra M., Córdoba O., Sosa D.</t>
  </si>
  <si>
    <t>57967995300;57171523200;57201649353;57968923300;57968614800;57967995400;</t>
  </si>
  <si>
    <t>Microwave treatment for gold minerals used in small-scale mining</t>
  </si>
  <si>
    <t>Journal of Applied Research and Technology</t>
  </si>
  <si>
    <t>10.22201/icat.24486736e.2022.20.4.1771</t>
  </si>
  <si>
    <t>https://www.scopus.com/inward/record.uri?eid=2-s2.0-85142015110&amp;doi=10.22201%2ficat.24486736e.2022.20.4.1771&amp;partnerID=40&amp;md5=f05aecd7aa1ee34c2d0df201759eea74</t>
  </si>
  <si>
    <t>Universidad Pedagógica y Tecnológica de Colombia, Facultad de Ingeniería, Escuela de Metalurgia, Avenida central del norte Km 4, Edif. de Ingeniería 201, Tunja, Colombia; Universidad Pedagógica y Tecnológica de Colombia, Facultad de Ciencias, Escuela de Física, Avenida central del norte Km 4, Edificio Centro de Laboratorios, Tunja, Colombia</t>
  </si>
  <si>
    <t>Jiménez, G., Universidad Pedagógica y Tecnológica de Colombia, Facultad de Ingeniería, Escuela de Metalurgia, Avenida central del norte Km 4, Edif. de Ingeniería 201, Tunja, Colombia; Torres, R., Universidad Pedagógica y Tecnológica de Colombia, Facultad de Ingeniería, Escuela de Metalurgia, Avenida central del norte Km 4, Edif. de Ingeniería 201, Tunja, Colombia; Ortíz, C., Universidad Pedagógica y Tecnológica de Colombia, Facultad de Ciencias, Escuela de Física, Avenida central del norte Km 4, Edificio Centro de Laboratorios, Tunja, Colombia; Parra, M., Universidad Pedagógica y Tecnológica de Colombia, Facultad de Ingeniería, Escuela de Metalurgia, Avenida central del norte Km 4, Edif. de Ingeniería 201, Tunja, Colombia; Córdoba, O., Universidad Pedagógica y Tecnológica de Colombia, Facultad de Ingeniería, Escuela de Metalurgia, Avenida central del norte Km 4, Edif. de Ingeniería 201, Tunja, Colombia; Sosa, D., Universidad Pedagógica y Tecnológica de Colombia, Facultad de Ciencias, Escuela de Física, Avenida central del norte Km 4, Edificio Centro de Laboratorios, Tunja, Colombia</t>
  </si>
  <si>
    <t>Gold mining in Colombia has produced wealth that has helped the social and economic development of the country. Studying its extraction process offers artisanal mining broad alternatives that are more profitable for its small-scale production. Through this research, the possibility is offered of extracting 93.10% of gold in 180 minutes from a refractory mineral of pyritic origin with economic and environmentally friendly techniques such as the use of pretreatment with microwave waves, exposing the mineral to 637 ºC for a maximum time of 4 minutes. An alternative leaching agent was used, which is thiourea, and it was handled at concentrations of 0.1 M. When extracting the gold extraction with thiourea without microwave thermal pretreatment, a low extraction percentage is shown, 19.98% of gold. After the process, the effectiveness of heat treatment could be noted as an alternative for small-scale mining where the economic factor is often the predominant cause in the design of metallurgical processes. © 2022 Universidad Nacional Autonoma de Mexico. All rights reserved.</t>
  </si>
  <si>
    <t>artisanal mining; extraction; gold; microwave; thiourea</t>
  </si>
  <si>
    <t>The authors are grateful for the support received from the VIE (Vicerrectoría de Investigación y Extensión) to carry out this research, as well as the Grupo Metalurgia No Ferrosa of the Universidad Pedagógica y Tecnológica de Colombia, Uptc. The authors also thank the interdisciplinary and cooperative work between the Grupo Metalurgia No Ferrosa and Grupo de Superficies Electroquímica y Corrosion.</t>
  </si>
  <si>
    <t>Asamoah, R. K., EDTA-enhanced cyanidation of refractory bio-oxidised flotation gold concentrates (2020) Hydrometallurgy, 193, p. 105312. , https://doi.org/10.1016/j.hydromet.2020.105312; Baláž, P., Achimovičová, M., Bastl, Z., Ohtani, T., Sanchez, M., Influence of mechanical activation on the alkaline leaching of enargite concentrate (2000) Hydrometallurgy, 54 (2-3), pp. 205-216. , https://doi.org/10.1016/S0304-386X(99)00071-7; Córdoba Angarita, O.Y., (2019) Lixiviación a presión con tiourea de un mineral aurífero colombiano, , [Tesis de Maestrí publicada]. Universidad Pedagógica y Tecnológica de Colombia; Daza, C. E., Guáqueta, S. M., Gallego, R. M., Estudio morfológico y estructural de una arcilla Colombiana pilarizada en presencia de ultrasonido y microondas (2011) Scientia et technica, 3 (49), pp. 292-297; de la Cruz, R. T., Mejía, J. J., Reátegui, W., Determinación experimental de los parámetros óptimos de operación en el proceso de electrolixiviación y electrodeposición secuencial de oro en soluciones ácidas de tiourea a partir de sulfuros concentrados (2012) TECNIA, 22 (1), pp. 55-64. , https://doi.org/10.21754/tecnia.v22i1.90; Echeverry, L., Araneda, E., Rojas, N., Caracterización mineralógica de yacimientos auríferos rudimentariamente extraidos con mercurio en Antioquia, Colombia (2016) Revista Infomin, 8 (2), pp. 26-33; (2020) Oro, la oportunidad dorada para Colombia en la pospandemia, , (16 of august). El Tiempo; Eymery, J. P., Ylli, F., Study of a mechanochemical transformation in iron pyrite (2000) Journal of alloys and compounds, 298 (1-2), pp. 306-309. , https://doi.org/10.1016/S0925-8388(99)00659-3; Gaviria, C, Gonzalez, J., Mora, H. F., Using Microwaves In Auriferous Refractory Menas And Their Effect In The Extraction Of Gold (2006) DYNA, 73 (150), pp. 29-37. , A. C; Guiza, L., Small scale mining in Colombia: not such a small activity (2013) Journal Dyna, 80 (181), pp. 109-117; Guo, X. Y., Zhang, L., Tian, Q. H., Qin, H., Stepwise extraction of gold and silver from refractory gold concentrate calcine by thiourea (2020) Hydrometallurgy, 194. , https://doi.org/10.1016/j.hydromet.2020.105330; Haque, K. E., Microwave energy for mineral treatment processes-a brief review (1999) International journal of mineral processing, 57 (1), pp. 1-24. , https://doi.org/10.1016/S0301-7516(99)00009-5; Jiménez, G. A. T., Parra, M. P., Lixiviación de cobre contenido en tarjetas de computador PCB para la extracción de metales preciosos (2018) Revista Ingeniería, Investigación y Desarrollo, 18, pp. 15-21. , https://doi.org/10.19053/1900771X.v18.n2.2018.11873; Lapidus, G., (1993) Modelado matemático de la lixiviación de argentita con sulfato férrico y tiourea, , (Doctoral dissertation, Universidad Autónoma Metropolitana-Iztapalapa México); Littmarck, S., Saeidi, F., (2014) Software COMSOL Multiphysics. COMSOLAB, , https://www.comsol.com/; Lovás, M., Znamenáčková, I., Zubrik, A., Kováčová, M., Dolinská, S., The application of microwave energy in mineral processing-a review (2011) Acta Montanistica Slovaca, 16 (2), pp. 137-148; McGill, S.L., Walkiewicz, J.W., Clark, A.E., (1995) Microwave Heating of Chemicals and Minerals, , Report of investigations, United States; Pantoja Timarán, F. H., Pantoja Barrios, S. D., Artisanal and Small-Scale Gold Mining in Colombia. Problems and Challenges (2016) Revista Facultad de Ciencias Económicas: Investigación y Reflexión, 24 (2), pp. 147-160. , https://doi.org/10.18359/rfce.2217; Minería del país tiene su 'liga B' para subir la producción de oro (2020) Portafolio, , https://www.portafolio.co/economia/mineria-del-pais-tienesu-liga-b-para-subir-la-produccion-de-oro-545237, (1 of october); Rojas-Reyes, N. R., Echeverry-Vargas, L., Cataño-Martínez, J., Caracterización por QEMSCAN y FE-SEM de yacimientos de oro tratados artesanalmente con mercurio en Antioquia, Colombia (2017) Prospectiva, 15 (2), pp. 107-116. , https://doi.org/10.15665/rp.v15i2.1199; Rubiano, M. J., Vélez, M. A., Rueda, X., (2020) Minería de oro artesanal y de pequeña escala. Estrategias para su formalización y diferenciación de la minería ilegal, , Universidad de los Andes, CESED; Snyders, C. A., Akdogan, G., Bradshaw, S. M., van Vreden, J. H., Smith, R., The development of a caustic pre-leaching step for the recovery of Au from a refractory ore tailings heap (2018) Minerals Engineering, 121, pp. 23-30. , https://doi.org/10.1016/j.mineng.2018.02.014; Sun, J., Wang, W., Liu, Z., Ma, Q., Zhao, C., Ma, C., Kinetic study of the pyrolysis of waste printed circuit boards subject to conventional and microwave heating (2012) Energies, 5 (9), pp. 3295-3306. , https://doi.org/10.3390/en5093295; Torres, R., Lapidus, G. T., Base metal citrate pretreatment of complex ores to improve gold and silver leaching with thiourea (2020) Hydrometallurgy, 197, p. 105461. , https://doi.org/10.1016/j.hydromet.2020.105461; Tremblay, L., Deschenes, G., Ghali, E., McMullen, J., Lanouette, M., Gold recovery from a sulphide bearing gold ore by percolation leaching with thiourea (1996) International Journal of Mineral Processing, 48 (3-4), pp. 225-244. , https://doi.org/10.1016/S0301-7516(96)00029-4; Uslu, T., Atalay, Ü., Arol, A. I., Effect of microwave heating on magnetic separation of pyrite (2003) Colloids and Surfaces A: Physicochemical and Engineering Aspects, 225 (1-3), pp. 161-167. , https://doi.org/10.1016/S0927-7757(03)00362-5; Wang, Q., Hu, X., Zi, F., Qin, X., Nie, Y., Zhang, Y., Extraction of gold from refractory gold ore using bromate and ferric chloride solution (2019) Minerals Engineering, 136, pp. 89-98. , https://doi.org/10.1016/j.mineng.2019.02.037; Xie, H., Li, S., Guo, Z., Xu, Z., Extraction of lead from electrolytic manganese anode mud by microwave coupled ultrasound technology (2021) Journal of hazardous materials, 407. , https://doi.org/10.1016/j.jhazmat.2020.124622; Xu, J., Microwave Pretreatment (2015) Pretreatment of Biomass, pp. 157-172. , https://doi.org/10.1016/B978-0-12-800080-9.00009-8; Zhang, X., Kou, J., Sun, C., A comparative study of the thermal decomposition of pyrite under microwave and conventional heating with different temperatures (2019) Journal of Analytical and Applied Pyrolysis, 138, pp. 41-53. , https://doi.org/10.1016/j.jaap.2018.12.002</t>
  </si>
  <si>
    <t>Jiménez, G.; Universidad Pedagógica y Tecnológica de Colombia, Avenida central del norte Km 4, Edif. de Ingeniería 201, Colombia; email: ginna.jimenez@uptc.edu.co</t>
  </si>
  <si>
    <t>J. Appl. Res. Technol.</t>
  </si>
  <si>
    <t>2-s2.0-85142015110</t>
  </si>
  <si>
    <t>Herrera L.K.D., López-Martínez M.</t>
  </si>
  <si>
    <t>57219363445;57204921706;</t>
  </si>
  <si>
    <t>Negotiating and agreeing peace with the FARC-EP: a descriptive state of the art from peace research [Negociar y acordar la paz con las FARC-EP: un estado del arte descriptivo desde las investigaciones para la paz]</t>
  </si>
  <si>
    <t>https://www.scopus.com/inward/record.uri?eid=2-s2.0-85141739677&amp;partnerID=40&amp;md5=ceaff70cbb48b60418564af72781a60e</t>
  </si>
  <si>
    <t>Universidad Nacional de Colombia, Colombia; Universidad de Granada, Spain; Tecnológico de Antioquia, Medellín, Colombia; Universidad de Granada, Spain; Facultad de Ciencias Políticas y Sociología de la UGR, Spain</t>
  </si>
  <si>
    <t>Herrera, L.K.D., Universidad Nacional de Colombia, Colombia, Universidad de Granada, Spain, Tecnológico de Antioquia, Medellín, Colombia; López-Martínez, M., Universidad de Granada, Spain, Facultad de Ciencias Políticas y Sociología de la UGR, Spain</t>
  </si>
  <si>
    <t>The article reviews the contribution of academia to the study of the negotiation process and peace agreement with the FARC-EP signed in 2016 in order to identify paradigms and knowledge gaps. A bibliographic review was carried out in the Scopus, Web of Science, Redalyc and Dialnet databases, the scientific production was classified according to the paradigms associated with peace research (PR). It was found that the negative peace paradigm, hegemonic in research contributions on the Colombian armed conflict, has been giving way to a research agenda interested in post-conflict processes, i.e., truth commission, transitional justice, victims' law; more oriented towards imperfect peace. © 2022 Ariadna Ediciones. All rights reserved.</t>
  </si>
  <si>
    <t>Colombia; peace agreement; peace process; peace research</t>
  </si>
  <si>
    <t>Guzmán, Germán, Borda, Orlando Fals, Luna, Eduardo Umaña, (1962) La violencia en Colombia, , Bogotá: Universidad Nacional; López Martínez, Mario, (2004) Enciclopedia de paz y conflictos Tomo I, , Granada: Editorial Universidad de Granada; Sánchez, Gonzalo, (1987) Colombia, violencia y democracia, , Bogotá: Centro Editorial Universidad Nacional de Colombia; Vélez, Olga, Galeano, Maria, (2002) Estado del arte sobre fuentes documentales en investigación cualitativa, , Medellín: Universidad de Antioquia; Muñoz, Francisco, Jiménez, Juan Manuel, Paz imperfecta y empoderamiento pacifista (2015) Diversas miradas. Un mismo sentir: Comunicación, Ciudadanía y Paz como retos del siglo XXI, pp. 49-66. , En de Paris Alejandro Cabello y Jorge Moreno, México: Plaza y Valdés; Barbosa, Jorge, Barbosa, Juan Carlos, Rodríguez, Margarita, Revisión y análisis documental para estado del arte: una propuesta metodológica desde el contexto de la sistematización de experiencias educativas (2013) Invetsigación bibliotecológica, 27 (nº61), pp. 83-105; Gutiérrez Loaiza, Alderid, Negociaciones de paz en Colombia, 1982-2009. Un estado del arte (2012) Estudios políticos, (40), pp. 175-200. , nº; Harto de Vera, Fernando, La construcción del concepto de paz: paz negativa, paz positiva y paz imperfecta (2016) Cuadernos de estrategia, (183), pp. 119-146. , nº; Jimenéz Bautista, Francisco, Aguilar, Francisco Jimenéz, Una historia de la invetsigación para la paz (2014) Historia actual online, (34), pp. 149-162. , nº; Nasi, Carlo, Rettberg, Angelika, Los estudios sobre conflicto armado y paz: un campo en evolución permanente (2005) Colombia internacional, 62, pp. 64-85; Sandoval, Mary Luz, Investigación sociológica y conflicto armado en Colombia (2014) Revista colombiana de Sociología, pp. 99-119; Valencia, Germán, Presentación. Un balance de los estudios sobre la paz negociada en Colombia (2017) Estudios políticos, 50, pp. 205-215; Amezcua, Manuel, (2015) Cómo estructurar un Trabajo Académico en la modalidad de Revisión de la Literatura, , http://index-f.com/gomeres/?p=993, 14 de 03 de; Martínez Guzmán, Vicent, (2004) Teorías de la guerra en el contexto político de comienzos del siglo XXI, , https://www.ugr.es/~fmunoz/documentos/Teor%C3%ADas%20de%20la%20guerra%20Siglo%20XXI%20no%20endnote.pdf; Muñoz, Francisco, (2001) La paz imperfecta, , https://www.ugr.es/~fmunoz/documentos/pimunozespa%C3%B1ol.pdf, Universidad de Granada; Villarraga, Álvaro, (2015) Los procesos de paz en Colombia, 1982-2014 (Documento resumén), , Bogotá: Fundación Cultura Democrática; Jackson, Richard, How Resistance Can Save Peace Studies (2015) International Studies Association 56th Annual Convention, pp. 18-49; Arnoso, Maitane, Cárdenas, Manuel, Beristain, Carlos, Alfonso, Carla, Conflicto armado, impacto psicosocial y reparación en Colombia: la voz de las mujeres (2017) Universitas Psychologica, 3 (16). , nº; Avila, Carlos, De los Rios, Ignacio, Martín, Susana, Illicit crops substitution and rural prosperity in armed conflict areas: A conceptual proposal based on the Working With People model in Colombia (2018) Land Use Policy, 72, pp. 201-214; Barrios, Marta, Colombian cries: Internal armed conflict and emotions in letters to the editor (2015) journalism, 18 (2), pp. 1-17. , nº; Cabrera, Irene, Echandía, Camilo, Las FARC en política riesgos de seguridad y escenarios electorales en el Catatumbo y el Bajo Putumayo (2018) Revista Colombiana de Sociología, 41, pp. 39-63; Camacho, Adriana, Rodríguez, Catherine, Firm Exit and Armed Conflict in Colombia (2012) Journal of Conflict Resolution, 57 (1), pp. 89-116. , nº; Felbab, Vanda, ¿Quién paga por la paz en Colombia? (2016) Revista de Economía Institucional, 18 (nº35), pp. 13-38; Illera, Olga, Ruiz, Juan, Entre la política y la paz: las Fuerzas Militares tras la firma del Acuerdo de Paz (2018) Araucaria, 20 (nº39), pp. 509-533; Jiménez, Carolina, Justicia territorial para la construcción de la paz (2016) Bitácora urbano territorial, 26 (2), pp. 59-66. , nº; Jonsson, Michael, Elliot, Brennan, Financing War or Facilitating Peace? The Impact of Rebel Drug Trafficking on Peace Negotiations in Colombia and Myanmar (2016) Studies in Conflict and Terrorism, 39 (6), pp. 542-559. , nº; Maher, David, Thomson, Andrew, A precarious peace? The threat of paramilitary violence to the peace process in Colombia (2018) Third World Quarterly, pp. 2142-2172; Medina, Paula, Mujeres, polifonías y justicia transicional en Colombia: narrativas afrocéntricas de la(s) violencia(s) en el conflicto armado (2018) Investigaciones feministas, 9 (2), pp. 309-326. , nº; Mejía, Jean Carlo, Caracterización de las víctimas policiales en el contexto del conflicto armado en Colombia (2017) Analecta política, 7 (12), pp. 117-138. , nº; Montero, Aitor, El proceso de desecuritización” en el conflicto armado colombiano para la construcción de la paz (2017) Ciudad paz ando, pp. 33-46; Norman, Susan, Narcotization as Security Dilemma: The FARC and Drug Trade in Colombia (2017) Studies in Conflict and Terrorism, 41 (8), pp. 638-659. , nº; Olave, Giohanny, Aproximaciones retóricas al conflicto armado colombiano: una revisión bibliográfica (2014) Forma y función, 27 (1), pp. 155-197. , nº; Ordoñez, Carlos, Casualties of peace: An analysis of casualties admitted to the intensive care unit during the negotiation of the comprehensive Colombian process of peace (2018) World Journal of Emergency Surgery, 13 (2), pp. 1-8. , y otros. nº; Palacio, Ricardo, La condición de víctima en el marco del conflicto armado colombiano y el problema de la responsabilidad (2013) Prisma social, (10), pp. 459-485. , nº; Paredes, Hoover, Las Víctimas de violencia sexual en el marco del conflicto armado en relación con los procesos de paz en Colombia, 1991 a 2017 (2018) Jurídicas, 15 (1), pp. 88-109. , nº; Peñalosa, Maria Jimena, La variación del homicidio durante los diálogos de paz entre el Gobierno Nacional y FARC: octubre 18 del 2012 a agosto 28 del 2016 (2017) Criminalidad, 59 (1), pp. 129-149. , nº; Ramírez, Maria Clemencia, Las conversaciones de paz en Colombia y el reconocimiento de los cultivadores de coca como víctimas y sujetos de derechos diferenciados (2016) Canadian Journal of Latin American and Caribbean Studies, pp. 350-374; Ramírez, Maria Clemencia, Militarism on the colombian periphery in the context of illegality, counterinsurgency, and the postconflict (2018) Current Anthropology, 60, pp. 134-147; Ríos, Jerónimo, Dinámicas de la violencia guerrillera en Colombia (2016) Revista de Ciencias Sociales, 22 (3), pp. 84-103. , nº; Ríos, Jerónimo, From war to peace: Understanding the end of the armed conflict in Colombia (2018) Rationality and Society, pp. 463-490; Ríos, Jerónimo, La madurez del conflicto armado en Colombia: una aproximación a las experiencias de negociación de paz del Caguán (1999) y La Habana (2012) (2018) Izquierdas, (43), pp. 52-78. , nº; Ríos, Jerónimo, La narcotización del activismo guerrillero de las FARC y el eln 1998-2012 (2016) Unisci, (41), pp. 205-234. , nº; Ríos, Jerónimo, Transformaciones en las narrativas de la Fuerza pública colombiana en el marco del posconflicto armado: de la victoria militar a la paz territorial (2018) Unisci, (46), pp. 219-234. , nº; Ríos, Jerónimo, Gago, Egoitz, Realidades y desafíos de la paz territorial en Colombia (2018) Papers: Revista de sociologia, 103 (2), pp. 281-302. , nº; Rodríguez, Building civilian militarism: Colombia, internal war, and militarization in a mid-term perspective (2018) Security Dialogue, 49, pp. 109-122; Romero, Karen, Condiciones de producción de un boom de literatura testimonial del secuestro en Colombia (2017) Revista Colombiana de Sociología, 40 (1), pp. 161-186. , nº; Salas, Luis, Conflicto armado y configuración territorial: Reflexiones para la consolidación de un periodo de pos negociación del conflicto armado en Colombia (2016) Bitácora urbano territorial, 26 (2), pp. 45-57. , nº; Sánchez, Lina, The consequences of armed conflict on household composition (2017) Oxford Development Studies, 45 (3), pp. 276-302. , nº; Sarmiento, Juan Pablo, Presupuesto para la guerra y la paz en el gobierno Santos, 2010-2014. Compromisos para la paz, en números (2015) Precedente, 4, pp. 117-144; Serrano, Yeny, Naming the Combatants of the Colombian Armed Conflict in News Broadcasts: The Discursive Positioning of Journalists (2016) Palabra clave, 19 (1), pp. 57-84. , nº; Steele, Abbey, Schubiger, Livia, Democracy and civil war: The case of Colombia (2018) Conflict Management and Peace Science, pp. 1-14; Valencia, Daniel, Los medios en el escenario del conflicto y lo político (2014) Revista Colombiana de Bioética, 9 (2), pp. 35-44. , nº; Vallejo, Katherine, Tapias, Jose, Arroyave, Iván, Trends of homicide in urban and rural areas in Colombia (1992-2015): internal armed conflict and hints for post-conflict (2018) Injury Prevention, pp. 1-11; Arboleda, Paulo, La agenda de paz: participación política de las FARC-EP y la justicia transicional a Colombia (2013) Jurídicas, 10 (nº2), pp. 119-143; Arboleda, Paulo, La violencia política en Colombia: justicia transicional en el marco del proceso de paz entre el Gobierno Santos y las FARC-EP (2013) Prolegomenos, 16 (nº32), pp. 49-68; Arévalo, Julián, Construcción De Paz Y Un Nuevo Modelo De Construcción De Estado: Una Lectura De Los Dos Primeros Acuerdos De La Habana (2014) Revista de Economía Institucional, 16 (30), pp. 131-169. , nº; Bejarano, Paula, La verificación internacional condición decisiva en la solución negociada del conflicto armado colombiano (2017) Ópera, (21), pp. 183-208. , nº; Beltrán, Wlliam, Creely, Sian, Pentecostals, Gender Ideology and the Peace Plebiscite: Colombia 2016 (2018) Religions, 9 (12), p. 418. , nº; Biel, Israel, Bolaños, Tania, Persons with disabilities included in the Colombian peace process? (2018) Disability &amp; Society, 33 (3), pp. 487-491. , nº; Borja, Miguel, Perspectivas territoriales sobre el acuerdo de paz (2017) Análisis político, 30 (90), pp. 61-76. , nº; Braconnier, Laetitia, Los derechos propios de los pueblos étnicos en el Acuerdo de Paz de agosto de 2016 (2018) Revista Derecho del Estado, 113-126, pp. 113-126; Caballero, Henry, Acuerdos de La Habana y territorialidad indígena. Una mirada del departamento del Cauca (2016) Bitácora Urbano Territorial, 26 (2), pp. 95-102. , nº; Caicedo, Juan Manuel, ¿Ésta es la paz de Santos?: el partido Centro Democrático y su construcción de significados alrededor de las negociaciones de paz (2016) Revista CS, (19), pp. 15-37. , nº; Cairo, Heriberto, "Territorial Peace": The Emergence of a Concept in Colombia's Peace Negotiations (2018) Geopolitics, 23 (2), pp. 464-488. , y otros. nº; Cárdenas, Juan David, Los medios de comunicación como actores (des) legitimadores. Algunas reflexiones acerca del rol de los medios de comunicación sobre la construcción de la opinión pública en torno al proceso de paz de la Habana (2016) Análisis político, (85), pp. 38-56. , nº; Cárdenas, Juan David, Opinión pública y proceso de paz: actitudes e imaginarios de los bogotanos frente al proceso de paz de La Habana entre el gobierno colombiano y la guerrilla de las FARC (2013) Ciudad Paz Ando, 6 (1), pp. 41-58. , nº; Céspedes, Lina, Jaramillo, Felipe, 'Peace without women does not go!' Women's struggle for inclusion in Colombia's peace process with the FARC (2018) Colombia internacional, 94, pp. 83-109; Chávez Plazas, Yuri, ¿Paz positiva? o ¿paz negativa? Reflexiones de líderes y lideresas víctimas del conflicto armado en Soacha, Colombia (2017) Prospectiva, (24), pp. 69-93. , nº; Correa, Juan C., del Pilar García, María, García, Gustavo R., Una aproximación por minería de texto a la dificultad textual de los acuerdos de paz en Latinoamerica (2018) Revista Latinoamericana de Psicología, 50 (1), pp. 59-68. , nº; Cortés, Francisco, El derecho internacional penal y el asunto de la amnistía. El caso de las FARC (2013) Araucaria, 15 (nº29), pp. 189-216; Cujabante, Ximena Andrea, La comunidad internacional y su participación en los procesos de paz en Colombia (2016) Equidad y Desarrollo, (26), pp. 207-222. , nº; Escobar, Yonathan, Las FARC y el Gobierno colombiano en el discurso periodístico de la prensa española. Una aproximación desde el ACD (2015) Moenia, 21, pp. 85-109; Fabra, Javier, Mygind, Jesper, Big data in evaluation: Experiences from using Twitter analysis to evaluate Norway’s contribution to the peace process in Colombia (2018) Evaluation, 25 (1), pp. 6-22. , nº; Gallego, Gloria, El Acuerdo Gobierno – FARC sobre búsqueda, identificación y entrega digna de restos de personas desaparecidas (2015) Estudios de Derecho, 72 (nº160), pp. 105-141; Gómez Isa, Felipre, Justicia, verdad y reparación en el proceso de paz en Colombia (2014) Revista Derecho del Estado; Gómez, Andrei, Newman, Jonathan, Safeguarding political guarantees in the Colombian peace process: Have Santos and FARC learnt the lessons from the past? (2013) Third World Quarterly, 34 (5), pp. 37-41. , nº; Gómez, Gabriel, Entre el castigo y la reconciliación. Análisis sociojurídico del proceso de paz y la negociación del Acuerdo (2017) Estudios políticos, (50), pp. 236-256. , nº; González, Carlos, Diálogos de paz Gobierno-FARC-EP y las oportunidades para la paz en Colombia (2015) Estudios políticos, (46), pp. 243-261. , nº; Harto de Vera, Fernando, Proceso de paz y desafíos regionales en Colombia (2018) Araucaria, (39), pp. 341-363. , nº; Hernández Delgado, Esperanza, Empoderamiento Pacifista del actual proceso de paz en Colombia: 2012-2015 (2015) Revista de paz y conflictos, 8 (2), pp. 179-202. , nº; Higuita, Oto, Los diálogos de la habana y las perspectivas de una paz duradera en Colombia (2014) El ágora USB, 14 (2), pp. 487-515. , nº; Hillebrecht, Courtney, Huneeus, Alexandra, Borda, Sandra, The judicialization of peace (2018) Harvard International Law Journal, 59, pp. 67-103; Larraz, Irene, La construcción de legitimidad a través del capital simbólico. El caso del proceso de paz de Colombia (2017) Estudios políticos, (50), pp. 257-280. , nº; Liendo, Nicolás, Braithwaite, Jessica Maves, Determinants of Colombian attitudes toward the peace process (2018) Conflict Management and Peace Science, 35 (6), pp. 622-636. , nº; López de la Roce, Fabio, El gobierno de Juan Manuel Santos 2010-2015: cambios en el régimen comunicativo, protesta social y proceso de paz con las FARC (2015) Análisis político, 28 (85), pp. 03-37. , nº; Madridejos, Carlos, Salinas, Yolanda, Nuevos territorios de paz. Aportes y recomendaciones para la territorialización de los acuerdos y la implementación de la reforma rural integral (2018) Ópera, 22, pp. 5-27; Cortes, Andrés Felipe, Jurado, Jessica Marcela Quintero, Confianza en el proceso de paz en Colombia en Twitter (2018) Revista Mexicana de Sociologia, 80 (1), pp. 115-137. , nº; Marín, Beatriz, El tratamiento del postconflicto Colombiano por medio de infografías y visualizaciones de datos (2018) Revista Latina de Comunicacion Social, pp. 700-717; Marín, Keren, Espinoza, Nicolás, Normalización sin transición: la dimensión territorial del proceso de paz en la Zona Veredal de Transición y Normalización (ZVTN) de La Macarena (2017) El ágora USB, 17 (2), pp. 441-461. , nº; Matanock, Alia, Considering concessions: A survey experiment on the Colombian peace process (2018) Conflict Management and Peace Science, 35 (6), pp. 637-655. , nº; Matyas, Eduardo, Cambios al acuerdo de paz con las FARC-EP y derechos de las víctimas (2017) Revista republicana, 22, pp. 65-98; McKay, Ben, Democratising land control: towards rights, reform and restitution in post-conflict Colombia (2018) Canadian Journal of Development Studies, 39 (2), pp. 163-181. , nº; Melamed Visbal, Janiel, Participación política de las FARC-EP y apertura democrática para la construcción de la paz en Colombia (2018) Izquierdas, (39), pp. 86-109. , nº; Meléndez Monroy, Yira, Sierra, Jaidith Milena Paternina, Martínez, Darly Farith Velásquez, Procesos de paz en Colombia: derechos humanos y familias víctimas del conflicto armado (2018) Juridicas CUC, 14 (1), pp. 55-74. , nº; Meto, Jorge Orlando, Resumen del acuerdo de paz (2016) Revista de Economía Institucional, 18 (nº35), pp. 319-337; Mira, Clara María, Tensiones existentes entre el marco jurídico para la paz y el derecho internacional público en la negociación del conflicto armado interno (2016) Estudios de Derecho, 73 (nº161), pp. 17-32; Nabuco, Patricia, Duarte, Rafael, Child soldiers as peace-builders in Colombian peace talks between the government and the FARC-EP (2018) Conflict, Security &amp; Development, 18 (5), pp. 387-408. , nº; Olasolo, Héctor, The Colombian Integrated System of Truth, Justice, Reparation and Non-Repetition (2017) Journal of International Criminal Justice, 15 (5), pp. 1011-1047. , nº; Olave, Giohanny, Anuncios de paz en Colombia: una interpretación visual desde el método (2013) Revista Colombiana de Sociología, 36 (2), pp. 115-139. , nº; Özkan, Mehmet, Shaping peace processes: a comparison between Turkey and Colombia (2018) Turkish Policy Quarterly, 16 (4), pp. 87-99. , nº; Paarlberg, Kvam Kate, What’s to come is more complicated: feminist visions of peace in Colombia (2018) International Feminist Journal of Politics, 21 (2), pp. 194-223. , nº; Paredes, Hoover, Derecho y paz en el departamento del cauca frente al acuerdo de gobierno y FARC-EP (2016) Jurídicas CUC, 12 (1), pp. 67-90. , nº; Pino, Yeny, Insuasty, Alfonso, Sánchez, David, Henao, Hilber, Viana, Mario, Acuerdos entre las FARC-EP y el Gobierno de Colombia: Política de Desarrollo Agrario (2016) Revista Kavilando, 8 (2), pp. 184-195. , nº; Ramos, Esteban, El proceso de construcción de paz colombiano más allá de la negociación: una propuesta desde la Paz Transformadora y Participativa (2016) El ágora USB, 16 (2), pp. 513-532. , nº; Ríos, Jerónimo, Del Caguán a La Habana. Los diálogos de paz con las FARC en Colombia: una cuestión de correlación de fuerzas (2015) Revista de estudios de seguridad internacional, 1 (1), pp. 63-83. , nº; Ríos, Jerónimo, El Acuerdo de paz entre el Gobierno colombiano y las FARC: o cuando una paz imperfecta es mejor que una guerra perfecta (2017) Araucaria, (38), pp. 593-618. , nº; Ríos, Jerónimo, Los discursos sobre la participación política en el proceso de paz de Colombia (2018) Araucaria, 20 (nº39), pp. 317-339; Rodríguez, Clara Rocío, Participación política en los acuerdos de paz de la Habana: el prerequisito de la refrendación de los acuerdos (2015) Análisis político, 28 (nº85), pp. 57-75; Rodríguez, Juan Carlos, Colombia: país del año 2016 (2016) Revista de Ciencia Política, 37 (2), pp. 335-367. , nº; Rojas, César, Estatus jurídico internacional del acuerdo de paz colombiano (2018) Estudios de derecho, 75 (nº165), pp. 131-149; Rojas, Jorge, Postacuerdo y gestión territorial en Colombia (2016) Bitácora urbano territorial, 2, pp. 135-146; Roncancio, Andrés, Proceso de paz colombiano en prensa y revistas: un análisis desde la aproximación histórica discursiva y la (2015) Revista Virtual Universidad Católica del Norte, (44), pp. 81-101. , nº; Sánchez Iglesias, Eduardo, Jimenez, Vicente Sánchez, La paz y la solución al problema del campo en Colombia: un análisis comparado entre el Acuerdo de Paz y el Plan Nacional de Desarrollo (2018) Araucaria, 20 (nº39), pp. 365-387; Seatzu, Francesco, If Ya Wanna End War and Stuff, You Gotta Sing Loud’—A Survey of the Provisional Agreement between FARC and Colombia on Illicit Drugs (2016) Araucaria, pp. 373-389; Suárez, Beatriz, Jaramillo, Felipe, La satisfacción del derecho a la justicia en el marco del proceso de paz colombiano. Una mirada a la evolución en materia de responsabilidad penal en el contexto de un proceso de paz y de los actuales estándares internacionales (2014) Revista Estudios Socio-Jurídicos, 16 (2), pp. 66-88. , nº; Ugarriza, Juan, Cotrina, Andrés, Sequera, Natalia, ¿Qué se negocia en los procesos de paz? Agendas y factores de éxito 1989-2012 (2013) Analísis político, 26 (nº77), pp. 153-173; Urrego, Gleidy, Betancur, Luisa, Participación ciudadana: acción política y pluralidad en el acuerdo de paz en Colombia. Aproximaciones a referentes internacionales (2016) Ciudad Paz Ando, 9 (1), pp. 117-135. , nº; Vargas, Jakeline, Pérez, ángela Díaz, Enfoque de Género en el acuerdo de paz entre el Gobierno Colombiano y las FARC-EP: transiciones necesarias para su implementación (2018) Araucaria, 20 (nº39), pp. 389-414; Abuchaibe, Heidi, La justicia transicional del posacuerdo con las FARC-EP (2017) Ópera, 20, pp. 129-153; Aliaga Sáez, Felipe, Mendoza, Cristhian Uribe, Jorge, Blanco García, Vlásquez, Diego Ballén, Cante, Ivonne Robayo, Imaginarios del retorno a Colombia posconflicto Discursos de colombianos refugiados en Ecuador (2017) Digithum, (20), pp. 1-13. , nº; Arango, Fernando, Arango, Delio, Perfil del guerrillero que regresaría de la ilegalidad en la selva a la legalidad (2018) Revista Lasallista de investigación, 15 (1), pp. 113-120. , nº; Arredondo, Alexis, Cuando renacer como el ave Fénix es posible: el caso PlebiscitoNobel de Juan Manuel Santos Calderón (2018) Estudios Sobre el Mensaje Periodistico, (24), pp. 71-84. , nº; Barrera, Daniela, Villa, Juan David, Insuasty, Alfonso, Significados construidos en torno a la paz por comunidades residentes en el municipio de San Carlos, Antioquia: efectos psicosociales de la captura de la paz (2018) Revista Kavilando, 10 (1), pp. 53-77. , nº; Basset, Yann, Claves del rechazo del plebiscito para la paz en Colombia (2018) Estudios políticos, 52, pp. 241-265; Bautista, David, Reflexión sobre el papel de los actores en el conflicto armado en Colombia y la importancia de la memoria histórica para la construcción de paz (2015) Transpasando fornteras, 8, pp. 67-83; Bayona, Manuel, Fortalecer la institucionalidad: prerrequisito para construir la paz en el postacuerdo (2016) Reflexión Política, 18 (nº35), pp. 144-157; Bergtora, Sandvik, Lemaitre, Julieta, Finding the Roads to Justice? Examining Trajectories of Transition for Internally Displaced Women in Colombia (2017) Stability, 6 (1), pp. 1-18. , nº; Botero, Sandra, El plebiscito y los desafíos políticos de consolidar la paz negociada en Colombia (2017) Revista de Ciencia Política, 37 (2), pp. 369-388. , nº; Caldas, Luisa, Aproximación a Los Problemas Fundamentales De La Justicia Transicional. Especial Énfasis En Las Sanciones Imponibles En El Marco de la JEP (2016) Revista Derecho Penal y Criminología, 37 (nº102), pp. 105-120; Capone, Francesca, An Overview of the DDR Process Established in the Aftermath of the Revised Peace Agreement between the Colombian Government and the FARC: Finally on the Right Track? (2017) Global jurist, 18 (1), pp. 1-10. , nº; Carrillo, Lorena, Cotidianidades desarmadas, el reto invisible de las transiciones territoriales: la ventana abierta de la Zonas Veredales Transitorias de Normalización en el proceso de paz con las FARC-EP (2017) El ágora USB, 17 (2), pp. 462-471. , nº; Castrillón, Laura, Riveros, Vanessa, Knudsen, María Luisa, López, Wilson, Correa, Andrea, Castañeda, Juan, Comprensiones de perdón, reconciliación y justicia en víctimas de desplazamiento forzado en Colombia (2018) Revista Estudios Sociales, (63), pp. 84-98. , nº; Cortés, Francisco, El lugar político de la justicia y la verdad en la justicia transicional en Colombia (2016) Estudios políticos, (50), pp. 216-235. , nº; Daniels, Lesley Ann, The International Criminal Court and the Rebels’Commitment Problem (2018) Civil Wars, 20 (4), pp. 455-176. , nº; Dávalos, Eleonora, Morales, Leonardo, Holmes, Jennifer, Dávalos, Liliana, Opposition Support and the Experience of Violence Explain Colombian Peace Referendum Results (2018) Journal of Politics in Latin America, 10 (2), pp. 99-122. , nº; Flores, Thomas, Vargas, Juan, Colombia: Democracy, violence, and the peacebuilding challenge (2018) Conflict Management and Peace Science, 35 (6), pp. 581-586. , nº; Gómez, Carlos, La Justicia Especial Para La Paz: Modelo De Justicia Transicional Acorde Con Las Orientaciones Y Tendencias Modernas Del Derecho Y De La Justicia (2016) Revista Derecho Penal y Criminología, 37, pp. 31-68; Granados, Diana, La educación como garantía de no repetición en tiempos de negociaciones de paz (2016) Trabajo social, 18, pp. 57-74; Kaplan, Oliver, Nussio, Enzo, Community counts: The social reintegration of ex-combatants in Colombia (2015) Conflict Management and Peace Science, 35 (2), pp. 1-22. , nº; Kaplan, Oliver, Nussio, Enzo, Explaining Recidivism of Ex-combatants in Colombia (2018) Journal of Conflict Resolution, 62 (1), pp. 64-93. , nº; Lederach, Ángela, The Campesino Was Born for the Campo”: A Multispecies Approach to Territorial Peace in Colombia (2017) American Anthropologist, 119 (4), pp. 589-602. , nº; Londoño, Elina, Las tendencias ideológicas de los actores del plebiscito en Colombia: análisis en la prensa online (2018) Estudios Sobre el Mensaje Periodistico, 24, pp. 697-714; Loyo, Joana, La justicia transicional en Colombia: ¿Un instrumento creado para erradicar la impunidad? (2017) Anuario Iberoamericano de Derecho Internacional Penal, 5, pp. 32-61; McQuinn, Brian, DDR and the Internal Organization of Non-State Armed Groups (2016) Stability, 5 (1), pp. 1-24. , nº; Meertens, Dony, Justicia de género y tierras en Colombia: Desafíos para la era del 'pos-acuerdo (2016) European Review of Latin American and Caribbean Studies, (102), pp. 89-100. , nº; Melamed, Janiel, Diferencias entre el modelo de justicia transicional aplicable a las FARC-EP y el aplicado a las Autodefensas Unidas de Colombia (2017) Izquierdas, 32, pp. 151-171; Mínguez, Xavier, Conflicto y paz en Colombia. Significados en organizaciones defensoras de los derechos humanos (2015) Revista de paz y conflictos, 8 (1), pp. 179-196. , nº; Montoya, Catalina, Vallejo, Maryluz, Development vs peace? The role of media in the Law of Victims and Land Restitution in Colombia (2018) Media, War &amp; Conflict, 11 (3), pp. 336-357. , nº; Muñoz, Federico, Transformación constructiva y productiva de conflictos: un enfoque pertinente y necesario en los procesos de construcción de las Paces en Colombia (2018) Prospectiva, 25, pp. 187-215; Naucke, Philipp, Peacebuilding upside down? How a peace community in Colombia builds peace despite the state (2017) Social Anthropology, 25, pp. 454-469; Naucke, Philipp, The Memory of Resistance: Historicity and Remembrance in a Colombian Peace Community (2017) The Latin Americanist, 61 (2), pp. 145-168. , nº; Nussio, Enzo, Rettberg, Angelika, Ugarriza, Juan, Victims, Nonvictims and Their Opinions on Transitional Justice: Findings from the Colombian Case (2015) International Journal of Transitional Justice, 9, pp. 336-354; Olave, Giohanny, Ethos y temporalidad. El discurso de Juan Manuel Santos al recibir el Premio Nobel de la Paz (2018) UPTC Cuadernos de Linguistica Hispanica, 31, pp. 81-102; Palacios, Yannesit, Justicia transicional y responsabilidad del Estado: A propósito del Estado colombiano y el proceso de paz (2016) Revista Direito e Práxis, 7 (15), pp. 409-448. , nº; Huertas, Peña, del Pilar, Rocío, Enrique Ruíz González, Luis, Morales, Ricardo Álvarez, Restitution judges: A starting point for an agrarian jurisdiction as a guarantee of non-repetition in Colombia (2017) International Human Rights Law Review, 6 (1), pp. 86-108. , nº; Prager, Alicia, Hameleers, Michael, Disseminating information or advocating peace? Journalists (2018) Journalism, pp. 1-19; Quintero, Jessica, Marín, Andrés Felipe, Proceso de paz y post-acuerdo en Colombia expresiones de confianza en Twitter (2018) El ágora USB, 18 (2), pp. 348-361. , nº; Rettberg, Angelika, Ugarriza, Juan, Reconciliation: A comprehensive framework for empirical analysis (2016) Security Dialogue, 47 (6), pp. 517-540. , nº; Rincón, Andrés, De la esperanza a nuevas incertidumbres. Sobre la distribución de la votación en el plebiscito colombiano (2016) (2018) Análisis político, 31 (nº92), pp. 137-158; Riomalo, Sebastián, ¿Aproximaciones conflictivas a la construcción de paz? Explicación de las actitudes políticas frente a temas del conflicto armado en Colombia a través de ideas e intereses (2017) Colombia internacional, (89), pp. 81-108. , nº; Rowen, Rebecca, We Don't Believe in Transitional Justice:” Peace and the Politics of Legal Ideas in Colombia (2017) Law and Social Inquiry, 42 (3), pp. 622-647. , nº; Sabogal, Leonardo, La significación del poder político y la acción en la justicia transicional colombiana: Hacia la búsqueda de la paz en Colombia (2017) El ágora USB, 17 (1), pp. 211-224. , nº; Santos, Clara, Solano, Jennyfer, Nieves, Sergio, La Academia frente al posconflicto y la paz. Estudio de caso (2018) Vivat Academia, (143), pp. 135-161. , nº; Tabares, Lida, Análisis del discurso violento y de odio en dos grupos de Facebook contra la candidatura de Rodrigo Londoño ‘Timochenko’ a la presidencia de Colombia (2018) Index. Comunicación, 8 (3), pp. 157-183. , nº; Tonche, Juliana, Umaña, Camilo, Sistema Integral de Verdad, Justicia, Reparación y No Repetición: un acuerdo de justicia ¿restaurativa? (2017) Revista Derecho del Estado, 38, pp. 223-241; Uribe, Julián, El testimonio de las víctimas como recurso pedagógico. Aportaciones para el posconflicto colombiano (2018) Praxis &amp; Saber, 9 (20), pp. 97-118. , nº; Valencia, José, La familia en el marco de la justicia transicional: retos y reconocimientos (2016) El ágora USB, 16 (2), pp. 643-660. , nº; Valencia, Paula, Legitimidad de la jurisdicción especial para la paz (2018) Revista de paz y conflictos, 11 (1), pp. 105-133. , nº; Villegas, Donaldo, Apuntes para el escenario de desarme, desmovilización y reintegración de las FARC: el temor a repetir el fenómeno de las BACRIM (2017) Eleuthera, 17, pp. 90-109; Vízcaíno, Milciades, (2015) La justicia transicional: ¿un paso hacia la paz?, 36 (100), pp. 75-88. , nº</t>
  </si>
  <si>
    <t>Herrera, L.K.D.; Universidad Nacional de ColombiaColombia; email: Lisbeth.duarte@tdea.edu.co</t>
  </si>
  <si>
    <t>Ariadna Ediciones</t>
  </si>
  <si>
    <t>2-s2.0-85141739677</t>
  </si>
  <si>
    <t>Becerra M.L., Prieto G.A., Rendueles M., Diaz M.</t>
  </si>
  <si>
    <t>57415215800;57414575700;6701769326;35479005400;</t>
  </si>
  <si>
    <t>Biomass Conversion and Biorefinery</t>
  </si>
  <si>
    <t>https://www.scopus.com/inward/record.uri?eid=2-s2.0-85141657737&amp;doi=10.1007%2fs13399-022-03535-5&amp;partnerID=40&amp;md5=9ec027c795197d90180cbc2ce814c56c</t>
  </si>
  <si>
    <t>Department of Chemical Sciences, Faculty of Sciences. Pedagogical and Technological University of Colombia UPTC, Boyacá, Tunja, Colombia; Department of Chemical Engineering and Environmental Technology, University of Oviedo, Oviedo, Spain</t>
  </si>
  <si>
    <t>Becerra, M.L., Department of Chemical Sciences, Faculty of Sciences. Pedagogical and Technological University of Colombia UPTC, Boyacá, Tunja, Colombia; Prieto, G.A., Department of Chemical Sciences, Faculty of Sciences. Pedagogical and Technological University of Colombia UPTC, Boyacá, Tunja, Colombia; Rendueles, M., Department of Chemical Engineering and Environmental Technology, University of Oviedo, Oviedo, Spain; Diaz, M., Department of Chemical Engineering and Environmental Technology, University of Oviedo, Oviedo, Spain</t>
  </si>
  <si>
    <t>The field of biocatalysis is envisioned as an important contributor to the development of bioprocesses producing molecules that can replace those derived from oil, while maintaining the durability and resistance characteristics offered by petroleum-based materials. In the search for substitutes for petroleum derivatives, the compounds belonging to the furan platform appear among the best known due to their reactivity, as they present a mono- (Furfural) or disubstituted (5-HMF) furan ring in their structure, identifying them among the molecules with the greatest applications in the synthesis of new fuels and polymer precursors. In this context, taking advantage of the metabolic diversity of microorganisms, biocatalytic and fermentative methods for the bioconversion of furans have been explored, proposing processes of lower cost and low environmental impact. This review presents the oxidation and reduction products of furfural and 5-HMF obtained by biological processes, using cells or enzymes. Graphical Abstract: [Figure not available: see fulltext.]. © 2022, The Author(s), under exclusive licence to Springer-Verlag GmbH Germany, part of Springer Nature.</t>
  </si>
  <si>
    <t>5-Hydroxymethylfurfural; Biocatalysis; Bioprocess; FDCA; Furfural</t>
  </si>
  <si>
    <t>Aldehydes; Aromatic compounds; Biocatalysts; Catalysis; Furfural; Gasoline; Organic pollutants; Synthesis (chemical); 5 hydroxymethyl furfurals; Biocatalysis; Biological transformation; Bioprocesses; FDCA; Furan ring; Petroleum-based materials; Platform molecules; Polymer precursors; Resistance characteristics; Molecules</t>
  </si>
  <si>
    <t>The Government of Boyacá for their financial support granted through the Call 733 of 2015 “High level human capital formation for the department of Boyacá 2015” for Monica Becerra.</t>
  </si>
  <si>
    <t>Ramesh Kumar, S., Shaiju, P., O’Connor, K.E., P RB,, Bio-based and biodegradable polymers-state-of-the-art, challenges and emerging trends (2020) Curr Opin Green Sustain Chem, 21, pp. 75-81; Torres-Mayanga, P.C., Lachos-Perez, D., Mudhoo, A., Production of biofuel precursors and value-added chemicals from hydrolysates resulting from hydrothermal processing of biomass: a review (2019) Biomass Bioenerg, 130, p. 105397; Cho, E.J., Trinh, L.T.P., Song, Y., Bioconversion of biomass waste into high value chemicals (2020) Bioresour Technol, 298, p. 122386; Werpy, T., Petersen, G., top value added chemicals from biomass: volume I – results of screening for potential candidates from sugars and synthesis gas (2004) US Dep energy, 1, p. 76; Domínguez de María, P., Guajardo, N., Biocatalytic valorization of furans: opportunities for inherently unstable substrates (2017) Chemsuschem, 10, pp. 4123-4134; Boldyreva, E.V., Chus, U.A., Klushin, V.A., Synthesis of 2,5-furandicarboxylic acid from natural raw materials (2019) Mater Sci Forum, 945, pp. 488-492. , (,),.,:., https://doi.org/10.4028/www.scientific.net/MSF.945.488; Qi, F., Yang, W., Yu, H., Manipulating interfacial atomic structure of Pt/Ce1−xYxO2−δ to improve charge transfer capacity and catalytic activity in aerobic oxidation of HMF (2022) Appl Surf Sci, 598, p. 153769; Bonincontro, D., Lolli, A., Storione, A., Pt and Pt/Sn carbonyl clusters as precursors for the synthesis of supported metal catalysts for the base-free oxidation of HMF (2019) Appl Catal A Gen, 588, p. 117279; Pérez-Bustos, H.F., Lucio-Ortiz, C.J., de la Rosa, J.R., Synthesis and characterization of bimetallic catalysts Pd-Ru and Pt-Ru supported on Γ-alumina and zeolite FAU for the catalytic transformation of HMF (2019) Fuel, 239, pp. 191-201; Rigo, D., Polidoro, D., Perosa, A., Selva, M., Diversified upgrading of HMF via acetylation, aldol condensation, carboxymethylation, vinylation and reductive amination reactions (2021) Mol Catal, 514, p. 111838; Gilcher, E.B., Chang, H., Huber, G.W., Dumesic, J.A., Controlled hydrogenation of a biomass-derived platform chemical formed by aldol-condensation of 5-hydroxymethyl furfural (HMF) and acetone over Ru, Pd, and Cu catalysts (2022) Green Chem, 24, pp. 2146-2159; Yi, G., Teong, S.P., Zhang, Y., Base-free conversion of 5-hydroxymethylfurfural to 2,5-furandicarboxylic acid over a Ru/C catalyst (2016) Green Chem, 18, pp. 979-983; Xie, J., Nie, J., Liu, H., Aqueous-phase selective aerobic oxidation of 5-hydroxymethylfurfural on Ru/C in the presence of base (2014) Chinese J Catal, 35, pp. 937-944; Kerdi, F., Ait Rass, H., Pinel, C., Evaluation of surface properties and pore structure of carbon on the activity of supported Ru catalysts in the aqueous-phase aerobic oxidation of HMF to FDCA (2015) Appl Catal A Gen, 506, pp. 206-219; Antonyraj, C.A., Huynh, N.T.T., Park, S.K., Basic anion-exchange resin (AER)-supported Au-Pd alloy nanoparticles for the oxidation of 5-hydroxymethyl-2-furfural (HMF) into 2,5-furan dicarboxylic acid (FDCA) (2017) Appl Catal A Gen, 547, pp. 230-236; Liao, W., Lin, H., Zhang, J., Applied surface science Au / Sn-beta catalyst with metal-Lewis acid cooperative sites steers aerobic oxidation of 5-hydroxymethylfurfural (2023) Appl Surf Sci, 608, p. 155154; Zhang, J., Wang, Z., Chen, M., N-doped carbon layer-coated Au nanocatalyst for H2-free conversion of 5-hydroxymethylfurfural to 5-methylfurfural (2022) Chinese J Catal, 43, pp. 2212-2222; Chen, L., Xiong, Y., Qin, H., Qi, Z., Advances of ionic liquids and deep eutectic solvents in green processes of biomass-derived 5-hydroxymethylfurfural (2022) Chem Sus Chem, , https://doi.org/10.1002/cssc.202102635; Sakir Hossain, G., Yuan, H., Li, J., Metabolic engineering of Raoultella ornithinolytica BF60 for the production of 2, 5- furandicarboxylic acid from 5-hydroxymethylfurfural (2017) Appl Environ Microbiol, 83, pp. e02312-e2316; Wierckx, N., Koopman, F., Bandounas, L., Isolation and characterization of Cupriavidus basilensis HMF14 for biological removal of inhibitors from lignocellulosic hydrolysate (2010) Microb Biotechnol, 3, pp. 336-343; Liu, Z.L., Slininger, P.J., Dien, B.S., Adaptive response of yeasts to furfural and 5-hydroxymethylfurfural and new chemical evidence for HMF conversion (2004) J Ind Microbiol Biotechnol, 31, pp. 345-352; Idler, C., Venus, J., Kamm, B., (2015) Microorganisms in Biorefineries, , Mûnster, Germany; Wierckx, N., Koopman, F., Ruijssenaars, H.J., De Winde, J.H., Microbial degradation of furanic compounds: biochemistry, genetics, and impact (2011) Appl Microbiol Biotechnol, 92, pp. 1095-1105; Hunter, W.J., Manter, D.K., Pre-treatment step with Leuconostoc mesenteroides or L: Pseudomesenteroides strains removes furfural from Zymomonas mobilis ethanolic fermentation broth (2014) Bioresour Technol, 169, pp. 162-168; Lewkowski, J., Synthesis, chemistry and applications of 5-hydroxymethyl-furfural and its derivatives (2005) ARKIVOC, 2001, pp. 17-54; Shi, S., Zhang, X., Zong, M., Selective synthesis of 2-furoic acid and 5-hydroxymethyl-2-furancarboxylic acid from bio-based furans by recombinant Escherichia coli cells (2019) Mol Catal, 469, pp. 68-74; Sanders, J.P.M., Clark, J.H., Harmsen, G.J., Process intensification in the future production of base chemicals from biomass (2012) Chem Eng Process Process Intensif, 51, pp. 117-136; Sankaran, R., Parra Cruz, R.A., Pakalapati, H., Recent advances in the pretreatment of microalgal and lignocellulosic biomass: a comprehensive review (2020) Bioresour Technol, 298, p. 122476; Trudgill, P.W., The metabolism of 2-furoic acid by Pseudomanas F2 (1969) Biochem J, 113, pp. 577-587; Koopman, F., Wierckx, N., de Winde, J.H., Identification and characterization of the furfural and 5-(hydroxymethyl)furfural degradation pathways of Cupriavidus basilensis HMF14 (2010) Proc Natl Acad Sci, 107, pp. 1927-4919; Payne, K.A.P., Marshall, S.A., Fisher, K., Enzymatic carboxylation of 2-furoic acid yields 2,5-furandicarboxylic acid (FDCA) (2019) ACS Catal, 9, pp. 2854-2865; Dijkman, W.P., Fraaije, M.W., Discovery and characterization of a 5-hydroxymethylfurfural oxidase from Methylovorus sp. strain MP688 (2014) Appl Environ Microbiol, 80, pp. 1082-1090; Dijkman, W.P., Groothuis, D.E., Fraaije, M.W., Enzyme-catalyzed oxidation of 5-hydroxymethylfurfural to furan-2,5-dicarboxylic acid (2014) Angew Chemie - Int Ed, 53, pp. 6515-6518; Martin, C., Maqueo, A.O., Wijma, H.J., Fraaije, M.W., Creating a more robust 5 - hydroxymethylfurfural oxidase by combining computational predictions with a novel effective library design (2018) Biotechnol Biofuels, 11, pp. 1-9; Jönsson, L.J., Martín, C., Pretreatment of lignocellulose: formation of inhibitory by-products and strategies for minimizing their effects (2016) Bioresour Technol, 199, pp. 103-112; Sa, I., Franze, C.J., Taherzadeh, M.J., Effects of furfural on the respiratory metabolism of Saccharomyces cerevisiae in glucose-limited chemostats (2003) Appl Environ Microbiol, 69, pp. 4076-4086; Heer, D., Heine, D., Sauer, U., Resistance of Saccharomyces cerevisiae to high concentrations of furfural is based on NADPH-dependent reduction by at least two oxireductases (2009) Appl Environ Microbiol, 75, pp. 7631-7638; Nichols, N.N., Sharma, L.N., Mowery, R.A., Fungal metabolism of fermentation inhibitors present in corn stover dilute acid hydrolysate (2008) Enzyme Microb Technol, 42, pp. 624-630; Ran, H., Zhang, J., Gao, Q., Analysis of biodegradation performance of furfural and 5-hydroxymethylfurfural by Amorphotheca resinae ZN1 (2014) Biotechnol Biofuels, 7, pp. 2-12; Wordofa, G.G., Kristensen, M., Tolerance and metabolic response of Pseudomonas taiwanensis VLB120 towards biomass hydrolysate - derived inhibitors (2018) Biotechnol Biofuels, 11, pp. 1-11; Zhang, X.-Y.Y., Xu, Z.-H.H., Zong, M.-H.H., Selective synthesis of furfuryl alcohol from biomass-derived furfural using immobilized yeast cells (2019) Catalysts, 9, pp. 2-13; Baptista, M., Cunha, J.T., Domingues, L., Establishment of Kluyveromyces marxianus as a microbial cell factory for lignocellulosic processes: production of high value furan derivatives (2021) J Fungi, 7, p. 1047; Boopathy, R., Bokang, H., Daniels, L., Biotransformation of furfural and 5-hydroxymethyl furfural by enteric bacteria (1993) J Ind Microbiol, 11, pp. 147-150; Lin, R., Deng, C., Cheng, J., Murphy, J.D., Low concentrations of furfural facilitate biohydrogen production in dark fermentation using Enterobacter aerogenes (2020) Renew Energy, 150, pp. 23-30; Qin, L.Z., He, Y.C., Chemoenzymatic synthesis of furfuryl alcohol from biomass in tandem reaction system (2019) Appl Biochem Biotechnol, 190, pp. 1289-1303; Liang, J., Ji, L., He, J., Chemoenzymatic conversion of biomass-derived D-Xylose to furfuryl alcoholwith corn stalk-based solid acid catalyst and reductase biocatalyst in a deep eutectic solvent–water system (2022) Processes, 10, p. 113. , (,),.,:,., https://doi.org/10.3390/PR10010113; Wang, J.G., Liu, X.Q., Zhu, J., From furan to high quality bio-based poly(ethylene furandicarboxylate) (2018) Chinese J Polym Sci, 36, pp. 720-727; Gandini, A., Belgacem, M.N., Furans in polymer chemistry (1997) Prog Polym Sci, 22, pp. 1203-1379; Cang, R., Shen, L.Q., Yang, G., Highly selective oxidation of 5-hydroxymethylfurfural to 5-hydroxymethyl-2-furancarboxylic acid by a robust whole-cell biocatalyst (2019) Catalysts, 9, p. 526; Corma Canos, A., Iborra, S., Velty, A., Chemical routes for the transformation of biomass into chemicals (2007) Chem Rev, 107, pp. 2411-2502; Sanchez, B., Bautista, J., Effects of furfural and 5-hydroxymethylfurfural on the fermentation of Saccharomyces cerevisiae and biomass production from Candida guilliermondii (1988) Enzyme Microb Technol, 10, pp. 315-318; Igeño, M.I., Macias, D., Blasco, R., A case of adaptive laboratory evolution (ALE): biodegradation of furfural by Pseudomonas pseudoalcaligenes CECT 5344 (2019) Genes (Basel), 10, p. 499. , (,),.,:,., https://doi.org/10.3390/genes10070499; Guarnieri, M.T., Franden, M.A., Johnson, C.W., Beckham, G.T., Conversion and assimilation of furfural and 5-(hydroxymethyl)furfural by Pseudomonas putida KT2440 (2017) Metab Eng Commun, 4, pp. 22-28; Mitsukura, K., Sato, Y., Yoshida, T., Nagasawa, T., Oxidation of heterocyclic and aromatic aldehydes to the corresponding carboxylic acids by Acetobacter and Serratia strains (2004) Biotechnol Lett, 26, pp. 1643-1648; Zhou, X., Zhou, X., Xu, Y., Chen, R.R., Gluconobacter oxydans (ATCC 621H) catalyzed oxidation of furfural for detoxification of furfural and bioproduction of furoic acid (2016) Chem Technol Biotechnol, 96, pp. 1285-1289; Du, G., Hua, X., Xu, B., Environmental bio-oxidation of toxic furan by the co-recycling of waste fermented broth and rest cells (2021) Biochem Eng J, 176, p. 108193; Becerra, M.L., Lizarazo, L.M., Rojas, H.A., Biotransformation of 5-hydroxymethylfurfural and furfural with bacteria of bacillus genus (2022) Biocatal Agric Biotechnol, 39, p. 102281; Taherzadeh, M.J., Gustafsson, L., Niklasson, C., Lidén, G., Physiological effects of 5-hydroxymethylfurfural on Saccharomyces cerevisiae (2000) Appl Microbiol Biotechnol, 53, pp. 701-708; Feldman, D., Kowbel, D.J., Glass, N.L., Detoxification of 5-hydroxymethylfurfural by the Pleurotus ostreatus lignolytic enzymes aryl alcohol oxidase and dehydrogenase (2015) Biotechnol Biofuels, 8, pp. 3-11; Wu, J., Cheng, K., Li, W., Effect of acetic acid, furfural and 5-hydroxymethylfurfural on production of 2, 3-butanediol by Klebsiella oxytoca (2013) Chin J Biotechnol, 29, pp. 350-357; Petri, A., Masia, G., Piccolo, O., Biocatalytic conversion of 5-hydroxymethylfurfural: Synthesis of 2,5-bis(hydroxymethyl)furan and 5-(hydroxymethyl)furfurylamine (2018) Catal Commun, 114, pp. 15-18; He, Y., Jiang, C., Chong, G., Biological synthesis of 2, 5-bis (hydroxymethyl) furan from biomass-derived 5-hydroxymethylfurfural by E. coli CCZU-K14 whole cells (2018) Bioresour Technol, 247, pp. 1215-1220; Xu, Z., Cheng, A., Xing, X., Improved synthesis of 2, 5-bis (hydroxymethyl) furan from 5- hydroxymethylfurfural using acclimatized whole cells entrapped in calcium alginate (2018) Bioresour Technol, 262, pp. 177-183; Xia, Z.H., Zong, M.H., Li, N., Catalytic synthesis of 2,5-bis(hydroxymethyl)furan from 5-hydroxymethylfurfual by recombinant Saccharomyces cerevisiae (2020) Enzyme Microb Technol, 134, p. 109491; Li, Y.-M., Zhang, X.-Y., Li, N., Biocatalytic reduction of HMF to 2,5-bis(hydroxymethyl)furan by HMF-tolerant whole cells (2017) Chemsuschem, 10, pp. 372-378; Chen, D., Cang, R., Zhang, Z.D., Efficient reduction of 5-hydroxymethylfurfural to 2, 5-bis (hydroxymethyl) furan by a fungal whole-cell biocatalyst (2021) Mol Catal, 500, p. 111341; Ra, C.H., Jeong, G.T., Shin, M.K., Kim, S.K., Biotransformation of 5-hydroxymethylfurfural (HMF) by Scheffersomyces stipitis during ethanol fermentation of hydrolysate of the seaweed Gelidium amansii (2013) Bioresour Technol, 140, pp. 421-425; Clarkson, S.M., Hamilton-brehm, S.D., Giannone, R.J., A comparative multidimensional LC-MS proteomic analysis reveals mechanisms for furan aldehyde detoxification in Thermoanaerobacter pseudethanolicus 39E (2014) Biotechnol Biofuels, 7, pp. 1-14; Zhang, Y., Han, B., Ezeji, T.C., Biotransformation of furfural and 5-hydroxymethyl furfural (HMF) by Clostridium acetobutylicum ATCC 824 during butanol fermentation (2012) N Biotechnol, 29, pp. 345-351; Amarasekara, A.S., Reyes, C.D., Obregon, R.G., Biocatalytic reduction of 5-hydroxymethylfurfural to 2,5-furandimethanol using coconut (Cocos nucifera L.) water (2020) Biocatal Agric Biotechnol, 24. , https://doi.org/10.1016/j.bcab.2020.101551; Neaţu, F., Marin, R.S., Florea, M., Selective oxidation of 5-hydroxymethyl furfural over non-precious metal heterogeneous catalysts (2016) Appl Catal B Environ, 180, pp. 751-757; Zhang, C., Chang, X., Zhu, L., Highly efficient and selective production of FFCA from CotA-TJ102 laccase-catalyzed oxidation of 5-HMF (2019) Int J Biol Macromol, 128, pp. 132-139; Qin, Y.-Z., Li, Y.-M., Zong, M.-H.H., Enzyme-catalyzed selective oxidation of 5-hydroxymethylfurfural (HMF) and separation of HMF and 2,5-diformylfuran using deep eutectic solvents (2015) Green Chem, 17, pp. 3718-3722; Cajnko, M.M., Novak, U., Grilc, M., Likozar, B., Enzymatic conversion reactions of 5-hydroxymethylfurfural (HMF) to bio-based 2,5-diformylfuran (DFF) and 2,5-furandicarboxylic acid (FDCA) with air: mechanisms, pathways and synthesis selectivity (2020) Biotechnol Biofuels, 13, pp. 1-11; Saikia, K., Rathankumar, A.K., Kumar, P.S., Evaluating the potential of engineered Trichoderma atroviride and its laccase-mediated system for the efficient bioconversion of 5-hydroxymethylfufural (2022) Chemosphere, 308, p. 136567; Cleveland, M.E., Mathieu, Y., Ribeaucourt, D., A survey of substrate specificity among Auxiliary Activity Family 5 copper radical oxidases (2021) Cell Mol Life Sci, 78, pp. 8187-8208; Gao, L., Deng, K., Zheng, J., Efficient oxidation of biomass derived 5-hydroxymethylfurfural into 2,5-furandicarboxylic acid catalyzed by Merrifield resin supported cobalt porphyrin (2015) Chem Eng J, 270, pp. 444-449; Wang, F., Zhang, Z., Cs-substituted tungstophosphate-supported ruthenium nanoparticles: An effective catalyst for the aerobic oxidation of 5-hydroxymethylfurfural into 5-hydroxymethyl-2-furancarboxylic acid (2017) J Taiwan Inst Chem Eng, 70, pp. 1-6; Davis, S.E., Benavidez, A.D., Gosselink, R.W., Kinetics and mechanism of 5-hydroxymethylfurfural oxidation and their implications for catalyst development (2014) J Mol Catal A Chem; Gorbanev, Y.Y., Klitgaard, S.K., Woodley, J.M., Gold-catalyzed aerobic oxidation of 5-hydroxymethyl- furfural in water at ambient temperature (2009) Chemsuschem: Chemistry &amp; Sustainability Energy &amp; Materials, 2 (7), pp. 672-675. , https://doi.org/10.1002/cssc.200900059; Davis, S.E., Houk, L.R., Tamargo, E.C., Oxidation of 5-hydroxymethylfurfural over supported Pt, Pd and Au catalysts (2011) Catal Today, 160, pp. 55-60; Terasawa, N., Sugiyama, A., Murata, M., Homma, S., Isolation of a microorganism to oxidize 5-hydroxymethylfurfural (2002) Food Sci Technol Res, 8, pp. 28-31; Koopman, F., Wierckx, N., de Winde, J.H., Ruijssenaars, H.J., Efficient whole-cell biotransformation of 5-(hydroxymethyl)furfural into FDCA, 2,5-furandicarboxylic acid (2010) Bioresour Technol, 101, pp. 6291-6296; Carro, J., Ferreira, P., Rodríguez, L., 5-hydroxymethylfurfural conversion by fungal aryl-alcohol oxidase and unspecific peroxygenase (2015) FEBS J, 282, pp. 3218-3229. , https://doi.org/10.1111/febs.13177; Carro, J., Fueyo, E.F., Alonso, C.F., Self - sustained enzymatic cascade for the production of 2, 5- furandicarboxylic acid from 5 - methoxymethylfurfural (2018) Biotechnol Biofuels, 11, pp. 1-10; Daou, M., Yassine, B., Wikee, S., Pycnoporus cinnabarinus glyoxal oxidases display differential catalytic efficiencies on 5-hydroxymethylfurfural and its oxidized derivatives (2019) Fungal Biol Biotechnol, 6, pp. 1-15; Knaus, T., Knaus, T., Tseliou, V., A biocatalytic method for the chemoselective aerobic oxidation of aldehydes to carboxylic acids (2018) Green Chem, 20, pp. 3931-3943; Sayed, M., Pyo, S.H., Rehnberg, N., Hatti-Kaul, R., Selective oxidation of 5-hydroxymethylfurfural to 5-hydroxymethyl-2-furancarboxylic acid using gluconobacter oxydans (2019) ACS Sustain Chem Eng, 7, pp. 4406-4413; Wen, M., Zhang, X., Zong, M., Li, N., Significantly improved oxidation of bio-based furans into furan carboxylic acids using substrate-adapted whole cells (2020) Energy Chem, 41, pp. 20-26. , https://doi.org/10.1016/j.jechem.2019.04.025; Zhang, X.-Y.Y., Zong, M.-H.H., Li, N., Whole-cell biocatalytic selective oxidation of 5-hydroxymethylfurfural to 5-hydroxymethyl-2-furancarboxylic acid (2017) Green Chem, 19, pp. 4544-4551; Zhang, X.Y., Ou, X.Y., Fu, Y.J., Efficient synthesis of 5-hydroxymethyl-2-furancarboxylic acid by Escherichia coli overexpressing aldehyde dehydrogenases (2020) J Biotechnol, 307, pp. 125-130; Wang, Z.W., Gong, C.J., He, Y.C., Improved biosynthesis of 5-hydroxymethyl-2-furancarboxylic acid and furoic acid from biomass-derived furans with high substrate tolerance of recombinant Escherichia coli HMFOMUT whole-cells (2020) Bioresour Technol, 303, p. 122930; Muñoz, T., Rache, L.Y., Rojas, H.A., Production of 5-hydroxymethyl-2-furan carboxylic acid by Serratia marcescens from crude 5-hydroxymethylfurfural (2020) Biochem Eng J, 154, p. 107421; Xu, Q., Zheng, Z., Zou, L., A versatile Pseudomonas putida KT2440 with new ability: selective oxidation of 5-hydroxymethylfurfural to 5-hydroxymethyl-2-furancarboxylic acid (2019) Bioprocess Biosyst Eng, 43, pp. 67-73; Karich, A., Kleeberg, S., Ullrich, R., Hofrichter, M., Enzymatic preparation of 2,5-furandicarboxylic acid (FDCA)—a substitute of terephthalic acid—by the joined action of three fungal enzymes (2018) Microorganisms, 6, p. 5; Zhang, S., Winestrand, S., Chen, L., Tolerance of the nanocellulose-producing bacterium gluconacetobacter xylinus to lignocellulose-derived acids and aldehydes (2014) J Agric Food Chem, 64, pp. 9792-9799; Pan, X., Wu, S., Yao, D., Efficient biotransformation of 5-hydroxymethylfurfural to 5-hydroxymethyl-2-furancarboxylic acid by a new whole-cell biocatalyst: Pseudomonas aeruginosa PC-1 (2020) React Chem Eng, 5, pp. 1397-1404; Shen, G., Zhang, S., Lei, Y., Synthesis of 2,5-furandicarboxylic acid by catalytic carbonylation of renewable furfural derived 5-bromofuroic acid (2018) Mol Catal, 455, pp. 204-209; Yuan, H., Liu, Y., Lv, X., Enhanced 2, 5-furandicarboxylic acid (FDCA) production in Raoultella ornithinolytica BF60 by manipulation of the key genes in FDCA biosynthesis pathway (2018) J Microbiol Biotechnol, 28, pp. 1999-2008; Xia, H., Xu, S., Hu, H., Efficient conversion of 5-hydroxymethylfurfural to high-value chemicals by chemo- and bio-catalysis (2018) RSC Adv, 8, pp. 30875-30886; Van Deurzen, M.P.J., Van Rantwijk, F., Sheldon, R.A., Chloroperoxidase-catalyzed oxidation of 5-hydroxymethylfurfural (1997) J Carbohydr Chem, 16, pp. 299-309; Viña-Gonzalez, J., Martinez, A.T., Guallar, V., Alcalde, M., Sequential oxidation of 5-hydroxymethylfurfural to furan-2,5-dicarboxylic acid by an evolved aryl-alcohol oxidase (2020) Biochim Biophys Acta - Proteins Proteomics, 1868, p. 140293; Wu, S., Liu, Q., Tan, H., A novel 2,5-furandicarboxylic acid biosynthesis route from biomass-derived 5-hydroxymethylfurfural based on the consecutive enzyme reactions (2020) Appl Biochem Biotechnol, 191, pp. 1470-1482. , (,),.,:., https://doi.org/10.1007/s12010-020-03290-1; Cajnko, M.M., Bajic, M., Novak, U., Likozar, B., Enzymatic production process of bio-based 2,5-Furandicarboxylic Acid (FDCA) from 5-Hydroxymethilfurfural (HMF) (2019) Proceedings of the 5Th World Congress on New Technologies, pp. 6-7; Serrano, A., Calviño, E., Carro, J., Complete oxidation of hydroxymethylfurfural to furandicarboxylic acid by aryl-alcohol oxidase (2019) Biotechnol Biofuels, 12, pp. 1-12; McKenna, S.M., Leimkuhler, S., Herter, S., Enzyme cascade reactions: synthesis of furandicarboxylic acid (FDCA) and carboxylic acids using oxidases in tandem (2015) Green Chem, 17, pp. 3271-3275; McKenna, S.M., Mines, P., Law, P., The continuous oxidation of HMF to FDCA and the immobilisation and stabilisation of periplasmic aldehyde oxidase (PaoABC) (2017) Green Chem, 19, pp. 4660-4665; Krystof, M., Pérez-Sánchez, M., De María, P.D., Lipase-mediated selective oxidation of furfural and 5-hydroxymethylfurfural (2013) Chemsuschem, 6, pp. 826-830; Jia, H.Y., Zong, M.H., Zheng, G.W., Li, N., One-pot enzyme cascade for controlled synthesis of furancarboxylic acids from 5-hydroxymethylfurfural by H2O2 internal recycling (2019) Chemsuschem, 12, pp. 4764-4768; Yang, C.-F., Huang, C.-R., Biotransformation of 5-hydroxy-methylfurfural into 2,5-furan-dicarboxylic acid by bacterial isolate using thermal acid algal hydrolysate (2016) Bioresour Technol, 214, pp. 311-318; Yang, C., Huang, C., Isolation of 5-hydroxymethylfurfural biotransforming bacteria to produce 2, 5-furan dicarboxylic acid in algal acid hydrolysate (2018) J Biosci Bioeng, 125, pp. 1-6; Rajesh, R.O., Krishnan, T., Ashok, G., Binod, P., Whole cell based biocatalytic production of 2,5-furandicarboxylic acid (2018) Indian J Exp Biol, 56, pp. 493-497; Godan, T.K., Rajesh, R.O., Loreni, P.C., Biotransformation of 5-hydroxymethylfurfural by Acinetobacter oleivorans S27 for the synthesis of furan derivatives (2019) Bioresour Technol, 282, pp. 88-93; Omana, R., Krishnan, T., Kumar, A., Biosynthesis of 2, 5-furan dicarboxylic acid by Aspergillus flavus APLS-1: process optimization and intermediate product analysis (2019) Bioresour Technol, 284, pp. 155-160; Hsu, C.T., Kuo, Y.C., Liu, Y.C., Tsai, S.L., Green conversion of 5-hydroxymethylfurfural to furan-2,5-dicarboxylic acid by heterogeneous expression of 5-hydroxymethylfurfural oxidase in Pseudomonas putida S12 (2020) Microb Biotechnol; Yuan, H., Liu, Y., Li, J., Combinatorial synthetic pathway fine-tuning and comparative transcriptomics for metabolic engineering of Raoultella ornithinolytica BF60 to efficiently synthesize 2,5-furandicarboxylic acid (2018) Biotechnol Bioeng, 115, pp. 2148-2155; Yuan, H., Li, J., Shin, H., Improved production of 2,5-furandicarboxylic acid by overexpression of 5-hydroxymethylfurfural oxidase and 5-hydroxymethylfurfural/furfural oxidoreductase in Raoultella ornithinolytica BF60 (2017) Bioresour Technol, 247, pp. 1184-1188; Wang, X., Zhang, X.Y., Zong, M.H., Li, N., Sacrificial substrate-free whole-cell biocatalysis for the synthesis of 2,5-furandicarboxylic acid by engineered Escherichia coli (2020) ACS Sustain Chem Eng, 8, pp. 4341-4345; Yang, Z.Y., Wen, M., Zong, M.H., Li, N., Synergistic chemo/biocatalytic synthesis of 2,5-furandicarboxylic acid from 5-hydroxymethylfurfural (2020) Catal Commun, 139; Di, C.A., Shi, S.S., Li, Y., Biocatalytic oxidation of biobased furan aldehydes: comparison of toxicity and inhibition of furans toward a whole-cell biocatalyst (2020) ACS Sustain Chem Eng, 8, pp. 1437-1444; Dick, G.R., Frankhouser, A.D., Banerjee, A., Kanan, M.W., A scalable carboxylation route to furan-2,5-dicarboxylic acid (2017) Green Chem, 19, pp. 2966-2972; Rajesh, R.O., Godan, T.K., Sindhu, R., Bioengineering advancements, innovations and challenges on green synthesis of 2, 5-furan dicarboxylic acid (2020) Bioengineered, 11, pp. 19-38; Zhang, Z., Deng, K., Recent Advances in the Catalytic Synthesis of 2,5-Furandicarboxylic Acid and Its Derivatives (2015) ACS Catal, 5, pp. 6529-6544; Miller, D.J., Peereboom, L., Wegener, E., Gattinger, M., Formation of 2,5-furandicarboxilic acid from aldaric acids (2018) Patent No. 9,994,539. U.S. Patent and Trademark Office, Washington, DC; van Haveren, J., van Es, D.S., van Der Klis, F., Process and intermediates for the production of furan-2,5-dicarboxylic acid or derivates thereof (2016) Patent No. 9,376,414. U.S. Patent and Trademark Office, Washington, DC; Nguyen, T.T., Fedorov, A.A., Williams, L., The mechanism of the reaction catalyzed by uronate isomerase illustrates how an isomerase may have evolved from a hydrolase within the amidohydrolase superfamily (2009) Biochemistry, 48, pp. 8879-8890; Lewkowski, J., Convenient synthesis of furan-2,5-dicarboxylic acid and its derivatives (2001) Pol J Chem, 75, pp. 1943-1946; Venkitasubramanian, P., Stensrud, K.F., Use of carboxylic acids and furanic molecules for esterification (2017) U.S. Patent No. 9,834,531. Patent and Trademark Office, Washington, DC; Kambourakis, S., Griffin, B.M., Martin, K.V., Method for synthesizing FDCA and derivates thereof (2016) U.S. Patent No. 9,506,090. Patent and Trademark Office, Washington, DC; Wiermans, L., Hofzumahaus, S., Schotten, C., Transesterifications and peracid-assisted oxidations in aqueous media catalyzed by Mycobacterium smegmatis acyl transferase (2013) ChemCatChem, 5, pp. 3719-3724; Sun, K., Zhang, L., Xu, Q., Evidence for cross-polymerization between the biomass-derived furans and phenolics (2020) Renew Energy, 154, pp. 517-531; Hirai, H., Oligomers from hydroxymethylfurancarboxylic Acid (1984) J Macromol Sci Part A - Chem, 21, pp. 1165-1179; Arias, K.S., Carceller, J.M., Climent, M.J., Chemoenzymatic synthesis of 5-hydroxymethylfurfural (HMF)-derived plasticizers by coupling HMF reduction with enzymatic esterification (2020) Chemsuschem, 13, pp. 1864-1875; Maniar, D., Jiang, Y., Woortman, A.J.J., Furan-based copolyesters from renewable resources: enzymatic synthesis and properties (2019) Chemsuschem, 12, pp. 990-999; Qin, Y.Z., Zong, M.H., Lou, W.Y., Li, N., Biocatalytic upgrading of 5-hydroxymethylfurfural (HMF) with levulinic acid to HMF levulinate in biomass-derived solvents (2016) ACS Sustain Chem Eng, 4, pp. 4050-4054; Lǎcǎtuş, M.A., Bencze, L.C., Toşa, M.I., Eco-friendly enzymatic production of 2,5-bis(hydroxymethyl)furan fatty acid diesters, potential biodiesel additives (2018) ACS Sustain Chem Eng, 6, pp. 11353-11359; Todea, A., Bîtcan, I., Aparaschivei, D., Biodegradable Oligoesters of ε -Caprolactone and 5-hydroxymethyl-2-furancarboxylic acid synthesized by immobilized lipases (2019) Polymers (Basel), 11, pp. 1402-1419; Jiang, Y., Maniar, D., Woortman, A., Loos, K., Enzymatic synthesis of 2,5-furandicarboxylic acid-based semi-aromatic polyamides: enzymatic polymerization kinetics, effect of diamine chain length and thermal properties (2016) RSC Adv, 6, pp. 67941-67953; Fotso, S., Maskey, R.P., Schröder, D., Furan oligomers and β-carbolines from terrestrial streptomycetes (2008) J Nat Prod, 71, pp. 1630-1633</t>
  </si>
  <si>
    <t>Rendueles, M.; Department of Chemical Engineering and Environmental Technology, Spain; email: mrenduel@uniovi.es</t>
  </si>
  <si>
    <t>2-s2.0-85141657737</t>
  </si>
  <si>
    <t>Morillo A.C., Manjarres E.H., Mora M.S.</t>
  </si>
  <si>
    <t>56382818800;57222639466;57436655400;</t>
  </si>
  <si>
    <t>Afrosymetric method for quantifying saponins in Chenopodium Quinoa Willd. from Colombia [Método afrosimétrico para quantificação de saponinas em Chenopodium Quinoa Willd. da Colômbia]</t>
  </si>
  <si>
    <t>Brazilian Journal of Biology</t>
  </si>
  <si>
    <t>https://www.scopus.com/inward/record.uri?eid=2-s2.0-85141525510&amp;doi=10.1590%2f1519-6984.262716&amp;partnerID=40&amp;md5=b38ad3dd73d637b7b0600a40366ad724</t>
  </si>
  <si>
    <t>Universidad Pedagógica y Tecnológica de Colombia, Facultad de Ciencias Agropecuarias, Grupo Competitividad Innovación y Desarrollo Empresarial – CIDE, Boyacá, Tunja, Colombia</t>
  </si>
  <si>
    <t>Morillo, A.C., Universidad Pedagógica y Tecnológica de Colombia, Facultad de Ciencias Agropecuarias, Grupo Competitividad Innovación y Desarrollo Empresarial – CIDE, Boyacá, Tunja, Colombia; Manjarres, E.H., Universidad Pedagógica y Tecnológica de Colombia, Facultad de Ciencias Agropecuarias, Grupo Competitividad Innovación y Desarrollo Empresarial – CIDE, Boyacá, Tunja, Colombia; Mora, M.S., Universidad Pedagógica y Tecnológica de Colombia, Facultad de Ciencias Agropecuarias, Grupo Competitividad Innovación y Desarrollo Empresarial – CIDE, Boyacá, Tunja, Colombia</t>
  </si>
  <si>
    <t>Quinoa (Chenopodium quinoa Willd.) is a pseudocereal that, in addition to presenting good nutritional characteristics in the grain, has secondary metabolites in the episperm of the seeds and, within them, saponins. Saponins are characterized by being emulsifying, foaming and generating a bitter taste. This metabolite has not been completely studied in quinoa materials from Colombia. For this reason, the objective of this research was to quantify the content of saponins present in quinoa materials from the department of Boyacá using three afrosimetric methods. For this, a completely randomized design (CRD) was implemented with a factorial arrangement of 3 (afrosimetric methods) x 5 (quinoa materials). From the quantification of saponins, it was determined that the Amarilla de maranganí genotype, was the one that presented the highest content in all the evaluated methods; the standard afrosimetric method being the most efficient. Finally, the conglomerate analysis allowed to discriminate the materials in sweet quinoas such as Tunkahuan and Blanca de Jericó with saponin contents lower than 0.06%, and in bitter quinoas (Negra de la Colorada, Dorada and Amarilla de Maranganí) with contents higher than 0.11%. The biochemical characterization of the germplasm will allow a selection of genotypes suitable for consumption and for the industry, given the potential use that saponins currently have. © 2022, Instituto Internacional de Ecologia. All rights reserved.</t>
  </si>
  <si>
    <t>Andean crop; biochemical characterization; nutritional compounds; secondary metabolite; seeds</t>
  </si>
  <si>
    <t>saponin; chemistry; Chenopodium quinoa; Colombia; metabolism; plant seed; Chenopodium quinoa; Colombia; Saponins; Seeds</t>
  </si>
  <si>
    <t>saponin, 8047-15-2; Saponins</t>
  </si>
  <si>
    <t>To “Patrimonio Autónomo Fondo Nacional de Financiamiento para la Ciencia, la Tecnología y la Innovación Francisco José de Caldas-MinCiencias. Cód. 63924”, to the Research Group CIDE from UPTC.</t>
  </si>
  <si>
    <t>ABDELALEEM, M.A., ELBASSIONY, K.R., Evaluation of phytochemicals and antioxidant activity of gamma irradiated quinoa (Chenopodium quinoa) (2021) Brazilian Journal of Biology = Revista Brasileira de Biologia, 81 (3), pp. 806-813. , http://dx.doi.org/10.1590/1519-6984.232270, PMid:32965339; AJAYI, K., ADEPOJU, O., TAIWO, O., OMOJOLA, S., ALADETUYI, M., Nutritional potential of underutilized gum arabic tree seeds (acacia nilotica) and locust bean seeds (Parkia biglobosa) (2018) African Journal of Food Science, 12 (8), pp. 196-203. , http://dx.doi.org/10.5897/AJFS2017.1650; AMANKELDI, F., OSPANOVA, Z., MUSABEKOV, K., Composite foaming agents on the basis of high-molecular natural surfactants (2018) Colloids and Interfaces, 2 (1), pp. 2-8. , http://dx.doi.org/10.3390/colloids2010002; BERGESSE, A., MIRANDA-VILLA, P., MUFARI, J.R., ALBRECHT, C., CERVILLA, N.S., Evaluation of wet de-bittering conditions of quinoa (Chenopodium quinoa Willd.) (2019) Nutrición Clínica, Dietética Hospitalaria, 39 (1), pp. 107-114; BONILLA, H., CARBAJAL, Y., GONZALES, M., VÁSQUEZ, V., LÓPEZ, A., Determination of the insecticide activity of the saponine of the quinua (Chenopodium quinoa) in larvas of Drosophila melanogaster (2019) Scientia Agropecuaria, 10 (1), pp. 39-45. , http://dx.doi.org/10.17268/sci.agropecu.2019.01.04; DI RIENZO, J.A., CASANOVES, F., BALZARINI, M.G., GONZALEZ, L., TABLADA, M., ROBLEDO, C.W., (2020) InfoStat versión 2020, , Argentina: Centro de Transferencia InfoStat, FCA, Universidad Nacional de Córdoba; EL HAZZAM, K., HAFSA, J., SOBEH, M., MHADA, M., TAOURIRTE, M., KACIMI, K., YASRI, A., An insight into saponins from Quinoa (Chenopodium quinoa Willd): a review (2020) Molecules (Basel, Switzerland), 25 (5), p. 1059. , http://dx.doi.org/10.3390/molecules25051059; EL-AZIZ, M., ASHOUR, A., GOMHA MELAD, A., A review on saponins from medicinal plants: chemistry, isolation, and determination (2019) Journal of Nanomedicine Research, 7 (4), pp. 282-288. , http://dx.doi.org/10.15406/jnmr.2019.07.00199; ESCRIBANO, J., CABANES, J., JIMÉNEZ-ATIÉNZAR, M., IBAÑEZ-TREMOLADA, M., GÓMEZ-PANDO, L.R., GARCÍA-CARMONA, F., GANDÍA-HERRERO, F., Characterization of betalains, saponins and antioxidant power in differently colored quinoa (Chenopodium quinoa) varieties (2017) Food Chemistry, 234 (1), pp. 285-294. , http://dx.doi.org/10.1016/j.foodchem.2017.04.187, PMid:28551238; GARGIULO, L., GRIMBERG, Å., REPO-CARRASCO-VALENCIA, R., CARLSSON, A.S., MELE, G., Morpho-densitometric traits for quinoa (Chenopodium quinoa Willd.) seed phenotyping by two X-ray micro-CT scanning approaches (2019) Journal of Cereal Science, 90 (1), pp. 1-9. , http://dx.doi.org/10.1016/j.jcs.2019.102829; GÓMEZ-CARAVACA, A.M., IAFELICE, G., VERARDO, V., MARCONI, E., CABONI, M.F., Influence of pearling process on phenolic and saponin content in quinoa (Chenopodium quinoa Willd) (2014) Food Chemistry, 157, pp. 174-178. , http://dx.doi.org/10.1016/j.foodchem.2014.02.023, PMid:24679767; GRANADO-RODRÍGUEZ, S., VILARIÑO-RODRÍGUEZ, S., MAESTRO-GAITÁN, I., MATÍAS, J., RODRÍGUEZ, M.J., CALVO, P., CRUZ, V., REGUERA, M., Genotype-dependent variation of nutritional quality-related traits in quinoa seeds (2021) Plants, 10 (10), pp. 1-22. , http://dx.doi.org/10.3390/plants10102128, PMid:34685936; GUERRERO, P., HURTADO-SALAZAR, A., CEBALLOS-AGUIRRE, N., Estudio técnico y económico de cuatro variedades de quinua en la región andina central colombiana (2017) Revista Luna Azul, 46, pp. 167-180; GUZMÁN, B., CRUZ, D., ALVARADO, J., MOLLINEDO, P., Cuantificación de saponinas en muestras de cañihua Chenopodium Pallidicaule Aellen (2013) Revista Boliviana de Química, 30 (2), pp. 131-136; HAN, Y., CHI, J., ZHANG, M., ZHANG, R., FAN, S., DONG, L., HUANG, F., LIU, L., Changes in saponins, phenolics and antioxidant activity of quinoa (Chenopodium quinoa Willd) during milling process (2019) Lebensmittel-Wissenschaft + Technologie, 114, p. 108381. , http://dx.doi.org/10.1016/j.lwt.2019.108381; HERNÁNDEZ-LEDESMA, B., Quinoa (Chenopodium quinoa Willd.) as source of bioactive compounds: a review (2019) Bioactive Compounds in Health and Disease, 2 (3), pp. 27-47. , http://dx.doi.org/10.31989/bchd.v2i3.556; HIRICH, A., RAFIK, S., RAHMANI, M., FETOUAB, A., AZAYKOU, F., FILALI, K., AHMADZAI, H., CHOUKR-ALLAH, R., Development of Quinoa Value chain to improve food and nutritional security in rural communities in Rehamna, Morocco: lessons learned and perspectives (2021) Plants, 10 (2), p. 301. , http://dx.doi.org/10.3390/plants10020301; JARVIS, D.E., HO, Y.S., LIGHTFOOT, D., SCHMÖCKEL, S.M., LI, B., BORM, T.J.A., OHYANAGI, H., TESTER, M., The genome of Chenopodium quinoa (2017) Nature, 542 (7641), pp. 307-312. , http://dx.doi.org/10.1038/nature21370, PMid:28178233; KASSAMBARA, A., MUNDT, F., (2020) Factoextra: extract and visualize the results of multivariate data analysis, , https://rpkgs.datanovia.com/factoextra/, [viewed 22 November 2020]. [online]; KOZIOL, M.J., Afrosimetric estimation of threshold saponin concentration for bitterness in quinoa (Chenopodium quinoa Willd) (1991) Journal of the Science of Food and Agriculture, 54 (2), pp. 211-219. , http://dx.doi.org/10.1002/jsfa.2740540206; LEÓN-ROQUE, N., AGUILAR-TUESTA, S., QUISPE-NEYRA, J., MAMANI-NAVARRO, W., ALFARO-CRUZ, S., CONDEZO-HOYOS, L., A green analytical assay for the quantitation of the total saponins in quinoa (Chenopodium quinoa Willd.) based on macro lens-coupled smartphone (2019) Talanta, 204, pp. 576-585. , http://dx.doi.org/10.1016/j.talanta.2019.06.014, PMid:31357337; LIM, J.G., PARK, H.M., YOON, K.S., Analysis of saponin composition and comparison of the antioxidant activity of various parts of the quinoa plant (Chenopodium quinoa Willd.) (2020) Food Science &amp; Nutrition, 8 (1), pp. 694-702. , http://dx.doi.org/10.1002/fsn3.1358, PMid:31993193; LIN, M., HAN, P., LI, Y., WANG, W., LAI, D., ZHOU, L., Quinoa secondary metabolites and their biological activities or functions (2019) Molecules, 24 (13), p. 2512. , http://dx.doi.org/10.3390/molecules24132512, PMid:31324047; MAD, T., STERK, H., MITTELBACH, M., RECHBERGER, G.N., Tandem mass spectrometric analysis of a complex triterpene saponin mixture of Chenopodium quinoa (2006) Journal of the American Society for Mass Spectrometry, 17 (6), pp. 795-806. , http://dx.doi.org/10.1016/j.jasms.2006.02.013, PMid:16603377; MEDINA-MEZA, I.G., ALUWI, N.A., SAUNDERS, S.R., GANJYAL, G.M., Profiling of Triterpenoid Saponins from 28 Quinoa varieties (Chenopodium quinoa Willd.) grown in Washington State (2016) Journal of Agricultural and Food Chemistry, 64 (45), pp. 8583-8591. , http://dx.doi.org/10.1021/acs.jafc.6b02156, PMid:27525448; MHADA, M., METOUGUI, M.L., EL HAZZAM, K., EL KACIMI, K., YASRI, A., Variations of saponins, minerals and total phenolic compounds due to processing and cooking of quinoa (Chenopodium quinoa Willd.) seeds (2020) Foods, 9 (5), p. 660. , http://dx.doi.org/10.3390/foods9050660, PMid:32443894; MONTES-ROJAS, C., BURBANO-CATUCHE, G.A., MUÑOZ-CATUCHE, E.F., CALDERÓN-YONDA, Y., Descripción del ciclo fenológico de cuatro ecotipos de (Chenopodium quinua Willd.), en Puracé–Cauca, Colombia (2018) Biotecnologia en el Sector Agropecuario y Agroindustrial, 16 (2), pp. 26-37. , http://dx.doi.org/10.18684/BSAA(16)26-37; NAVARRO DEL HIERRO, J., HERRERA, T., GARCÍA-RISCO, M.R., FORNARI, T., REGLERO, G., MARTIN, D., Ultrasound-assisted extraction and bioaccessibility of saponins from edible seeds: Quinoa, lentil, fenugreek, soybean and lupin (2018) Food Research International, 109, pp. 440-447. , http://dx.doi.org/10.1016/j.foodres.2018.04.058, PMid:29803470; OLUMIDE, M., AJAYI, O., AKINBOYE, O., Comparative study of proximate, mineral and phytochemical analysis of the leaves of Ocimum gratissimum, Vernonia amygdalina and Moringa oleifera (2019) Journal of Medicinal Plants Research, 13 (15), pp. 351-356. , http://dx.doi.org/10.5897/JMPR2019.6775; OTTERBACH, S., WELLMAN, G., SCHMÖCKEL, S.M., Saponins of Quinoa: structure, function and opportunities (2021) The Quinoa genome, pp. 119-138. , S.M. SCHMÖCKEL, ed. Cham: Springer; PATHAN, S., SIDDIQUI, R.A., Nutritional components in quinoa (Chenopodium quinoa Willd.) greens: A review (2022) Nutrients, 14 (3), p. 558. , http://dx.doi.org/10.3390/nu14030558, PMid:35276913; (2020) A language and environment for statistical computing, , Vienna: R Foundation for Statistical Computing; SHARMA, S., KATARINA, A., SINGH, B., Effect of thermal processing on the bioactive compounds, antioxidative, antinutritional and functional characteristics of quinoa (Chenopodium quinoa) (2022) Lebensmittel-Wissenschaft + Technologie, 160, p. 113256. , http://dx.doi.org/10.1016/j.lwt.2022.113256; SINGH, D., CHAUDHURI, P.K., Structural characteristics, bioavailability and cardioprotective potential of saponins (2018) Integrative Medicine Research, 7 (1), pp. 33-43. , http://dx.doi.org/10.1016/j.imr.2018.01.003, PMid:29629289; VELÁSQUEZ-FLÓREZ, M., VÉLEZ-SALAZAR, Y., Conceptual design or a plant of extraction of saponins presents in the fique’s juice (2020) Revista de Ingenieria, 25 (1), pp. 50-67. , http://dx.doi.org/10.14483/23448393.15298; WISETKOMOLMAT, J., SUPPAKITTPAISARN, P., SOMMANO, S.R., Detergent plants of Northern Thailand: potential sources of natural saponins (2019) Resources, 8 (1), p. 10. , http://dx.doi.org/10.3390/resources8010010; YOUSIF, A.M., SNOWBALL, R., D’ANTUONO, M.F., DHAMMU, H.S., SHARMA, D.L., Water droplet surface tension method: an innovation in quantifying saponin content in quinoa seed (2021) Food Chemistry, 343, p. 128483. , http://dx.doi.org/10.1016/j.foodchem.2020.128483, PMid:33189479</t>
  </si>
  <si>
    <t>Morillo, A.C.; Universidad Pedagógica y Tecnológica de Colombia, Boyacá, Colombia; email: ana.morillo@uptc.edu.co</t>
  </si>
  <si>
    <t>Instituto Internacional de Ecologia</t>
  </si>
  <si>
    <t>Braz. J. Biol.</t>
  </si>
  <si>
    <t>2-s2.0-85141525510</t>
  </si>
  <si>
    <t>Alfonso Hoyos N.J., Pablo Navarro Cabiativa J., Gaona Barrera A.E.</t>
  </si>
  <si>
    <t>57956351700;57956131000;12242664100;</t>
  </si>
  <si>
    <t>Sign identification model of the Colombian Sign Language (CSL) alphabet based on Computational Intelligence</t>
  </si>
  <si>
    <t>2022 IEEE Colombian Conference on Applications of Computational Intelligence, ColCACI 2022 - Proceedings</t>
  </si>
  <si>
    <t>10.1109/ColCACI56938.2022.9905253</t>
  </si>
  <si>
    <t>https://www.scopus.com/inward/record.uri?eid=2-s2.0-85141390271&amp;doi=10.1109%2fColCACI56938.2022.9905253&amp;partnerID=40&amp;md5=ac48278f632f863fda595ebbb972ef4b</t>
  </si>
  <si>
    <t>Universidad Distrital Francisco José de Caldas, Laboratorio de Automática e Inteligencia Computacional (LAMIC), Bogotá, Colombia</t>
  </si>
  <si>
    <t>Alfonso Hoyos, N.J., Universidad Distrital Francisco José de Caldas, Laboratorio de Automática e Inteligencia Computacional (LAMIC), Bogotá, Colombia; Pablo Navarro Cabiativa, J., Universidad Distrital Francisco José de Caldas, Laboratorio de Automática e Inteligencia Computacional (LAMIC), Bogotá, Colombia; Gaona Barrera, A.E., Universidad Distrital Francisco José de Caldas, Laboratorio de Automática e Inteligencia Computacional (LAMIC), Bogotá, Colombia</t>
  </si>
  <si>
    <t>Different methods of sign language recognition have been proposed, some based on devices that must be worn by the person to identify signs, these have the disadvantage of having a noisy output, or constant use deteriorates the elements of the instrument. This article proposes a model that allows recognizing the static signs within the LSC alphabet. The signs are captured using a device with an infrared camera called Leap Motion, capable of graphically obtaining the hand that is being displayed in front of it, building a database made up of 38 people. The recognition system is developed using three (3) computational intelligence techniques: Support Vector Machine (SVM), Multilayer Perceptron (MLP) and Random Forests (RF), and a Staking model with the results of individual techniques. Obtaining a recognition percentage of 97.41%, surpassing the SVM by 1.49%, MLP by 3.91% and RF by 4.08%. © 2022 IEEE.</t>
  </si>
  <si>
    <t>Leap Motion; LSC; Neural Network; Random Forest; Stacking; Support Vector Machine</t>
  </si>
  <si>
    <t>Decision trees; Random forests; Colombians; Identification modeling; Leap motion; LSC; Multilayers perceptrons; Neural-networks; Random forests; Sign language; Stackings; Support vectors machine; Support vector machines</t>
  </si>
  <si>
    <t>OMS sordera y pérdida de la audición, , https://www.who.int/es/news-room/fact-sheets/detail/deafness-and-hearing-loss, Accessed: 2021-04-02; Plan estratégico institucional 2019-2022 insor, , https://www.insor.gov.co/home/descargar/planestrategicoINSOR20192022V1.pdf, Mineducación; Making listening safe, , https://www.who.int/activities/making-listening-safe; Fels, S.S., Hinton, G.E., Glove-talk II-a neural-network interface which maps gestures to parallel formant speech synthesizer controls (1997) IEEE Transactions on Neural Networks, 8 (5), pp. 977-984; Mehdi, S.A., Khan, Y.Y.N., Sign language recognition using sensor gloves (2002) Proceedings of the 9th International Conference on Neural Information Processing, 2002. ICONIP '02, 5, pp. 2204-2206; Carfi, A., Motolese, C., Bruno, B., Mastrogiovanni, F., Online human gesture recognition using recurrent neural networks and wearable sensors (2018) 2018 27th IEEE International Symposium on Robot and Human Interactive Communication (ROMAN), pp. 188-195; Liang, R.-H., Ouhyoung, M., A real-time continuous gesture recognition system for sign language (1998) Proceedings Third IEEE International Conference on Automatic Face and Gesture Recognition, pp. 558-567; Naglot, D., Kulkarni, M., Real time sign language recognition using the leap motion controller (2016) 2016 International Conference on Inventive Computation Technologies (ICICT), 3, pp. 1-5; Arora Ananya Roy, S., Recognition of sign language using image processing (2018) International Journal of Business Intelligence and Data Mining, 2, pp. 2-4; Gaikwad, S., Recognition of American sign language using image processing and machine learning (2019) International Journal of Computer Science and Mobile Computing., 352-357, pp. 2-4. , March; Joshi, A., Sierra, H., Arzuaga, E., American sign language translation using edge detection and cross correlation (2017) 2017 IEEE Colombian Conference on Communications and Computing (COLCOM), pp. 1-6; David Guerrero Balaguera, J., Javier Pérez Holgun, W., Sistema traductor de la lengua de señas colombiana a texto basado en FPGA (2014) Universidad Pedagógica y Tecnológica de Colombia, Sogamoso, Colombia, pp. 2-4. , Octubre; Alzaidan, M., Alzohairi, R., Alghonaim, R., Alshehri, W., Aloqeely, S., Image based Arabic sign language recognition system (2018) International Journal of Advanced Computer Science and Applications, 9 (1); Ding, S., Zhu, H., Jia, W., Su, C., A survey on feature extraction for pattern recognition (2012) Artif. Intell. Rev, 37, pp. 169-180. , 03; Suneetha, M., Prasad, M.V.D., Kishore, P.V.V., Multi-view motion modelled deep attention networks (m2da-net) for video based sign language recognition (2021) Journal of Visual Communication and Image Representation, 78, p. 103161. , 05; UltraLeap how hand tracking works, , https://www.ultraleap.com/company/news/blog/how-hand-tracking-works, Accessed: 2018-04-02; Zhang, X., Zhou, D., Wang, L., Stacking algorithms for automated container ports: An improvement by direct stacking (2010) 2010 Second WRI Global Congress on Intelligent Systems, 2, pp. 35-38; Du, K.L., Swamy, M.N.S., (2019) Neural Networks and Statistical Learning, , Springer London; Braun, H.A.C., Weidner, U., Hinz, S., Support vector machines, import vector machines and relevance vector machines for hyperspectral classification-a comparison (2011) 2011 3rd Workshop on Hyperspectral Image and Signal Processing: Evolution in Remote Sensing (WHISPERS), pp. 1-4; Kam Ho, T., Random decision forests (1995) 3rd International Conference on Document Analysis and Recognition, 40, pp. 278-282; Zhang, T., Feng, Z., (2013) Dynamic gesture recognition based on fusing frame images; Ma, L., Zhang, J., Wang, J., Modified crf algorithm for dynamic hand gesture recognition; Liu, W., Fan, Y., Human gesture recognition using orientation segmentation feature on random rorest; Vaitkevicius, A., Taroza, M., Blazauskas, T., Damasevicius, R., Maskeliunas, R., Wózniak, M., Recognition of American sign language gestures in a virtual reality using leap motion (2019) Applied Sciences, 9, p. 445. , 01; Fok, K.-Y., Ganganath, N., Cheng, C.-T., Tse, C.K., A real-time asl recognition system using leap motion sensors (2015) 2015 International Conference on Cyber-Enabled Distributed Computing and Knowledge Discovery, pp. 411-414; Mayorca, D., Barrera, M., Andres Lopez Alban, D., (2021) Sistema de reconocimiento automático de lengua de señas colombiana mediante dispositivo óptico de captura, p. 12. , PhD thesis; Du, Y., Liu, S., Feng, L., Chen, M., Wu, J., (2017) Hand gesture recognition with leap motion, , 11; Marin, G., Dominio, F., Zanuttigh, P., Hand gesture recognition with leap motion and kinect devices; Mukaka, M.M., A guide to appropriate use of correlation coefficient in medical research (2012) Malawi Med J., 24 (3), pp. 69-71. , 1, 09 Sep; Ngo, S., Nga, H., Thi Thanh, N., Nguyen Kim, K., Ngo Lam, T., Entropy correlation and its impacts on data aggregation in a wireless sensor network (2018) Sensors, , (Basel), 1, 09 Sep 15; Rebuffi, S.-A., Gowal, S., Calian, D.A., Stimberg, F., Wiles, O., Mann, T., (2021) Data augmentation can improve robustness, p. 11; Kyeong Kim, E., Yong Kim, J., Lee, H., Kim, S., Adaptive data augmentation to achieve noise robustness and overcome data deficiency for deep learning (2021) Applied Sciences, 11, p. 6. , Switzerland; Marks, I.I.R.J., Reed, R., (1999) Neural Smithing: Supervised Learning in Feedforward Artificial Neural Networks, , Pagina 273, A Bradford Book; Chawla, N., Bowyer, K., Hall, L., Kegelmeyer, W., Smote: Synthetic minority over-sampling technique (2002) J. Artif. Intell. Res. (JAIR), 16, pp. 321-357. , 06; Ganesan, N., Venkatesh, K., Rama, M.A., Palani, M., Application of neural networks in diagnosing cancer disease using demographic data (2010) International Journal of Computer Applications, 1 (2); Abid, M.R., Meszaros, P.E., Silva, D.R.F., Petriu, E.M., Dynamic Hand Gesture Recognition for Human-Robot and Inter-Robot Communication (2014) IEEE</t>
  </si>
  <si>
    <t>Orjuela-Canon A.D.</t>
  </si>
  <si>
    <t>IEEE Colombia Section;IEEE Computational Intelligence Colombian Chapter</t>
  </si>
  <si>
    <t>2022 IEEE Colombian Conference on Applications of Computational Intelligence, ColCACI 2022</t>
  </si>
  <si>
    <t>27 July 2022 through 29 July 2022</t>
  </si>
  <si>
    <t>IEEE Colomb. Conf. Appl. Comput. Intell., ColCACI - Proc.</t>
  </si>
  <si>
    <t>2-s2.0-85141390271</t>
  </si>
  <si>
    <t>Guerrero-Balaguera J.-D., Sierra R.L., Reorda M.S.</t>
  </si>
  <si>
    <t>56584605700;57758252700;57188717230;</t>
  </si>
  <si>
    <t>Effective fault simulation of GPU's permanent faults for reliability estimation of CNNs</t>
  </si>
  <si>
    <t>Proceedings - 2022 IEEE 28th International Symposium on On-Line Testing and Robust System Design, IOLTS 2022</t>
  </si>
  <si>
    <t>10.1109/IOLTS56730.2022.9897823</t>
  </si>
  <si>
    <t>https://www.scopus.com/inward/record.uri?eid=2-s2.0-85141379814&amp;doi=10.1109%2fIOLTS56730.2022.9897823&amp;partnerID=40&amp;md5=71d0bd63b96b8a077e667e2e606ebe80</t>
  </si>
  <si>
    <t>Guerrero-Balaguera, J.-D., Politecnico di Torino, Department of Control and Computer Engineering (DAUIN), Italy; Sierra, R.L., Universidad Pedagogica y Tecnologica de Colombia (UPTC), Electronic Engineering School, Colombia; Reorda, M.S., Politecnico di Torino, Department of Control and Computer Engineering (DAUIN), Italy</t>
  </si>
  <si>
    <t>Convolutional Neural Networks (CNNs) and Graphic Processing Units (GPUs) are now increasingly adopted in many cutting edge safety-critical applications. Consequently, it is crucial to evaluate the reliability of these systems, since the hardware can be affected by several phenomena (e.g., wear out of the device), producing permanent defects in the GPU. These defects may induce wrong outcomes in the CNN that may endanger the application. Traditionally, the study of the effects of permanent faults on CNNs has been approached by resorting to application-level fault injection (e.g., acting on the weights). However, this approach has restricted scope, and it may not reveal the actual vulnerabilities in the GPU device. Hence, a more accurate evaluation of the fault effects is required, considering more in-depth details of the device's hardware. This work introduces a more elaborated experimental evaluation of the impact of GPU's permanent faults on the reliability of a CNN by resorting to a Software-Implemented Fault Injection(SWIFI) strategy, considering faults at the hardware level. The results of the fault simulation campaigns we performed on the GPU data-path cores are compared with those at the application level, proving that the latter ones are generally optimistic. © 2022 IEEE.</t>
  </si>
  <si>
    <t>Artificial Neural Networks; Convolutional Neural Networks; Graphics Processing Units (GPUs); Reliability evaluation</t>
  </si>
  <si>
    <t>Computer graphics; Computer graphics equipment; Convolution; Convolutional neural networks; Defects; Program processors; Safety engineering; Software reliability; Software testing; Application level; Convolutional neural network; Cutting edges; Fault's simulations; Graphic processing unit; Neural-network processing; Permanent faults; Reliability estimation; Reliability Evaluation; Safety critical applications; Graphics processing unit</t>
  </si>
  <si>
    <t>Das, H.S., Roy, P., Chapter 5 - A deep dive into deep learning techniques for solving spoken language identification problems (2019) Intelligent Speech Signal Processing, pp. 81-100. , N. Dey, Ed. Academic Press; Nvidia Drive End-to-End Solutions for Autonomous Vehicles, , https://developer.nvidia.com/drive,2022, Online; accessed 21-April-2022; Nvidia Isaac: The Accelerated Platform for Robotics and Ai, , https://www.nvidia.com/en-us/deep-learning-ai/industries/robotics/,2022, —— Online; accessed 21-April-2022; Mittal, S., A survey on hardware security of dnn models and accelerators (2021) Journal of Systems Architecture, 117, p. 102163; Hong, S., Terminal brain damage: Exposing the graceless degradation in deep neural networks under hardware fault attacks (2019) 28th USENIX Conference on Security Symposium, Ser. SEC’19, pp. 497-514. , USA: USENIX Association; Ruospo, A., Investigating data representation for efficient and reliable convolutional neural networks (2021) Microprocessors and Microsystems, 86, p. 104318; Ruospo, A., Sanchez, E., On the reliability assessment of artificial neural networks running on ai-oriented mpsocs Applied Sciences, 11 (14), p. 2021; Schorn, C., Accurate neuron resilience prediction for a flexible reliability management in neural network accelerators (2018) 2018 Design, Automation Test in Europe Conference Exhibition (DATE), pp. 979-984; Sadi, M., Guin, U., Test and yield loss reduction of ai and deep learning accelerators IEEE Transactions on Computer-Aided Design of Integrated Circuits and Systems, 41 (1), pp. 104-115. , 2022; Ruospo, A., A pipelined multi-level fault injector for deep neural networks 2020 IEEE International Symposium on Defect and Fault Tolerance in VLSI and Nanotechnology Systems (DFT), 2020, pp. 1-6; Condia, J.E.R., FlexGripPlus: An improved gpgpu model to support reliability analysis (2020) Microelectronics Reliability, 109, p. 113660; Tselonis, S., The functional and performance tolerance of GPUs to permanent faults in registers (2013) 2013 IEEE 19th International On-Line Testing Symposium (IOLTS), pp. 236-239; Sartzetakis, D., GPUFI-4: A microarchitecture-level framework for assessing the cross-layer resilience of NVIDIA GPUs IEEE International Symposium on Performance Analysis of Systems and Software (ISPASS 2022), 2022, pp. 236-239; Bukasa, S.K., When fault injection collides with hardware complexity (2019) Foundations and Practice of Security, pp. 243-256. , Cham: Springer International Publishing; Ibrahim, Y., Soft error resilience of deep residual networks for object recognition (2020) IEEE Access, 8, pp. 503; Analyzing and increasing the reliability of convolutional neural networks on GPUs (2019) IEEE Transactions on Reliability, 68 (2), pp. 663-677. , F. F. d. Santos; Guerrero-Balaguera, J.-D., Reliability Assessment of Neural Networks in Gpus: A Framework for Permanent Faults Injections, p. 2022. , https://arxiv.org/abs/2205.12177, Online; Tsai, T., NVBitfi: Dynamic fault injection for GPUs 2021 51st Annual IEEE/IFIP International Conference on Dependable Systems and Networks (DSN), 2021, pp. 284-291; Villa, O., NVBIT: A dynamic binary instrumentation framework for NVIDIA GPUs (2019) 52nd Annual IEEE/ACM International Symposium on Microarchitecture, Ser. MICRO’52, pp. 372-383. , New York, NY, USA: Association for Computing Machinery; Redmon, J., (2013) Darknet: Open Source Neural Networks in C, , http://pjreddie.com/darknet/, 2016</t>
  </si>
  <si>
    <t>Savino A.Rech P.Di Carlo S.Gizopoulos D.</t>
  </si>
  <si>
    <t>IEEE Council on Electronic Design Automation (CEDA)</t>
  </si>
  <si>
    <t>28th IEEE International Symposium on On-Line Testing and Robust System Design, IOLTS 2022</t>
  </si>
  <si>
    <t>12 September 2022 through 14 September 2022</t>
  </si>
  <si>
    <t>Proc. - IEEE Int. Symp. On-Line Test. Robust Syst. Des., IOLTS</t>
  </si>
  <si>
    <t>2-s2.0-85141379814</t>
  </si>
  <si>
    <t>Hernández García de Velazco J.J., Velazco Hernández J.C., Valiente S.B.</t>
  </si>
  <si>
    <t>23396810000;57476622300;57950451700;</t>
  </si>
  <si>
    <t>Feminism and participation of women in the politics in Colombia. A Retrospective of the Twentieth Century (1949-1991) [El Feminismo y la participación de las mujeres en la política en Colombia”. Una Retrospectiva del Siglo XX (1949-1991)]</t>
  </si>
  <si>
    <t>https://www.scopus.com/inward/record.uri?eid=2-s2.0-85141060247&amp;partnerID=40&amp;md5=cfb76005ad863b9009287411a2d03b4c</t>
  </si>
  <si>
    <t>CUC, Universidad de la Costa, Barranquilla, 800020, Colombia; Universidad del Norte, Barranquilla, 800020, Colombia; Universidad del Norte, Cartagena de Indias, 130001, Colombia</t>
  </si>
  <si>
    <t>Hernández García de Velazco, J.J., CUC, Universidad de la Costa, Barranquilla, 800020, Colombia; Velazco Hernández, J.C., Universidad del Norte, Barranquilla, 800020, Colombia; Valiente, S.B., Universidad del Norte, Cartagena de Indias, 130001, Colombia</t>
  </si>
  <si>
    <t>Feminism in Latin America reveals significant advances of a political scope, both in its theoretical construction and the objective-subjective problematic dimension, expressed from its manifestations in social praxis, oppositions, struggles of women, and the recognitions achieved in public spaces. However, structural claims continue on the agenda according to the priorities of the status quo, the institutionalization of the moment, and the convenience of female insertion in positions of power that are not necessarily in favor of their inclusion but in the validity of established relationships. In Colombia, since the mid-twentieth century, there have been substantial changes in the participation of women, actions, and diverse contexts that have contributed to or co-opted the movement. Therefore, a look at the indigenous historical and political past is necessary without neglecting an approach to the world concert in a general review that does not ignore essential coincidences and contributions. As a purpose, more than 40 years of history are retrospectively reviewed, the categories analyzed in a qualitative, critical-interpretative, hermeneutical, documentary, and bibliographical way. From women's suffrage to the Political Constitution of 1991 and its derived applications, a content of protection of women's rights is provided for their indirect and direct, active political participation. They are leaving in evidence the impulse of feminism in the Colombia of the time, in the projective, egalitarian, intersectional construction, both in the assimilation of recognition and in the unresolved issues on the public agenda. © 2022 Ariadna Ediciones. All rights reserved.</t>
  </si>
  <si>
    <t>Colombia; Feminism; participation; political. intersectionality</t>
  </si>
  <si>
    <t>Karen, Andersen, Laura, Rodríguez, Cristóbal, Balbontín, Las mujeres en la reconstrucción del espacio público post-catástrofe socio-natural en Dichato&gt;, Chile (2010-2013) (2020) Una aproximación hermenéutica desde el mito de Antígona, 49, pp. 725-742. , (Izquierdas, abril); Bard Wigdor, G., Artazo, G., Pensamiento feminista Latinoamericano: Reflexiones sobre la colonialidad del saber/poder y la sexualidad&gt; (2017) Cultura y representaciones sociales, 11 (22), pp. 193-219. , http://www.scielo.org.mx/scielo.php?script=sci_arttext&amp;pid=S2007-81102017000100193; Beauvoir, Simone, (1987) El Segundo Sexo&gt;, , https://www.segobver.gob.mx/genero/docs/Biblioteca/El_segundo_sexo.pdf, &lt;(Buenos Aires: Siglo XX) (Libro digital); Bernal Olarte, A, Pineda, G., Buriticá, R, Medina, P, Arango Gaviria, M, Laverde Toscano, M, Quiñonez, E, Martínez, M., &lt;María Cano, Betsabé Espinoza, Mercedes Abadía, Georgina Fletcher, Esmeralda Arboleda, Ofelia Uribe, Rosita Turizo, Gloria Cuartas, Cecilia López, Piedad Córdoba, Maria Teresa Arizabaleta, Helena Páez de Tavera, Socorro Ramírez, Sufraguistas y luchadoras políticas&gt; (2000), https://repositorio.unal.edu.co/handle/unal/53037, Universidad Nacional de Colombia, Escuela de Estudios de Género, Grupo Mujer y Sociedad Corporación Casa de la Mujer de Bogotá; Blanco, W., de Acosta, Ofelia Uribe, (2015) Crítica a la educación colombiana&gt;, 17 (24), pp. 17-34. , https://revistas.uptc.edu.co/index.php/historia_educacion_latinamerican/article/download/3299/2981/0, (Colombia: Revista Historia de la Educación Latinoamericana; Bonilla, J. E. S., En busca de la interseccionalidad: un viaje por algunos estudios feministas y de género en el Caribe colombiano&gt; (2014) Cuadernos del Caribe, (18), pp. 51-64. , https://revistas.unal.edu.co/index.php/ccaribe/article/view/50388; Böhmer, M. F., (1993) Feminismo radical y feminismo liberal: Pasos previos para una discusión posible, , https://rua.ua.es/dspace/bitstream/10045/10709/1/doxa13_09.pdf, (1993); Ibarra, Buchely, Fernanda, Lina, (2014) Género y constitucionalismo. Una mirada feminista al derecho constitucional colombiano&gt;, , https://revistas.unal.edu.co/index.php/cienciapol/article/view/52309, (Artículo digital) (2014); Cevallos, J. P., Intersecciones de género, clase, etnia y raza. Un diálogo con Mara Viveros&gt; (2017) Iconos: Revista de Ciencias Sociales, (57), pp. 117-121. , https://dialnet.unirioja.es/descarga/articulo/5789815.pdf; Cobo, Rosa, (2002) Anales de la cátedra Francisco Suárez, 36, pp. 29-44. , https://www.te.gob.mx/genero/media/pdf/e5ed8f7774d52ce.pdf, (Artículo digital); Cobo, Rosa, &lt;Democracia paritaria y sujeto político feminista&gt; (2002) En Anales de la cátedra Francisco Suárez, 36, pp. 29-44. , https://www.te.gob.mx/genero/media/pdf/e5ed8f7774d52ce.pdf, (Artículo digital) (2002); (1991) Constitución Política de Colombia [Const], , Art. 13. 7 de julio de (Colombia); (1991) Constitución Política de Colombia [Const], , Art. 40. 7 de julio de (Colombia); Crenshaw, K., Mapping the margins (1995) Critical Race Theory: The Key Writings that Formed the Movement, pp. 357-383. , https://we.riseup.net/assets/139021/versions/1/crenshaw%20intersectionality.pdf; Cruz, José María, García-Horta, Baltazar, José, Igualdad, Equidad de Género y Feminismo, una mirada histórica a la conquista de los derechos de las mujeres&gt; (2016), (18), pp. 107-158. , http://www.scielo.org.co/scielo.php?script=sci_arttext&amp;pid=S2011-03242016000100006, CS; Fernández, C. O., El pensamiento político de Clorinda Matto de Turner (2007) Investigaciones sociales, 11 (18), pp. 381-399. , https://revistasinvestigacion.unmsm.edu.pe/index.php/sociales/article/view/7151; Foucault, Michel, &lt;El sujeto y el poder&gt; (1988) Revista Mexicana de Sociología, 50 (3), pp. 3-20. , http://links.jstor.org/sici?sici=01882503%28198807%2F09%2950%3A3%3C3%3AESYEP%3E2.0.CO%3B2-A, (Jul. Sep., 1988), (Revista digital). Stable; Gamba, Susana, (2008) Feminismo: historia y corrientes&gt;, , http://www.mujeresenred.net/spip.php?article1397, &lt;Editorial Biblos, Argentina (Artículo digital) Recuperado de; García, C. T., Valdivieso, M., &lt;Una aproximación al movimiento de mujeres en América Latina&gt; (2005) OSAL, CLACSO, 6 (18), pp. 41-56. , http://bibliotecavirtual.clacso.org.ar/ar/libros/osal/osal18/AC18GarciaValdivieso.pdf, (2005); Gargallo, F., &lt;Feminismo latinoamericano&gt; (2007) Revista venezolana de estudios de la mujer, 12 (28), pp. 17-34. , http://ve.scielo.org/scielo.php?script=sci_arttext&amp;pid=S1316-37012007000100003; Guardia, S. B., Las mujeres en los procesos de independencia de América Latina&gt; (2020) Encuentro de Saberes, (9). , http://revistas.filo.uba.ar/index.php/encuentrodesaberes/article/viewFile/3433/2327; Hanisch, C., (2016) Lo personal es político&gt;, , http://autonomiafeminista.cl/wp-content/uploads/2016/10/Lo-personal-es-pol%C3%ADtico.pdf, &lt;Chile: Ediciones Feministas Lúcidas; Hernández, A. M., (2021) La participación política de la mujer posterior al logro del derecho al voto en Colombia (1957-1977), una asignatura pendiente&gt;, , http://hdl.handle.net/20.500.12010/21525; de Velazco, Judith Josefina, Toma de decisiones públicas desde las perspectivas del proceso tecnocrático y la participación ciudadana: Caso venezolano&gt; (2007) Revista Venezolana de Gerencia, 2 (40), pp. 553-571. , https://produccioncientificaluz.org/index.php/rvg/article/view/10476/10464, Hernández &lt;(2007); de Velazco, Hernández García, Josefina, Judith, Hernández, Chumaceiro, Cecilia, Ana, Una discusión epistemológica sobre gestión de la participación ciudadana&gt; (2018), 34 (87), pp. 856-883. , http://repositorio.cuc.edu.co/handle/11323/2001, Opción Año ISSN 1012-1587/ISSNe: 2477-9385; Ibarra Melo, M. E., (2009) Mujeres e insurrección en Colombia: reconfiguración de la identidad femenina en la guerrilla&gt;, , https://repositorio.unal.edu.co/handle/unal/53359, &lt;Pontificia Universidad Javeriana, Departamento de Ciencia Jurídica y Política, Facultad de Humanidades y Ciencias Sociales; Lamus, D., (2008) Resistencia contra-hegemónica y polisemia: conformación actual del movimiento de mujeres/feministas en Colombia, , https://bibliotecadigital.univalle.edu.co/handle/10893/2639; Lamus Canavate, D., Localización geohistórica de los feminismos latinoamericanos&gt; (2009) Polis. Revista Latinoamericana, (24). , https://journals.openedition.org/polis/1529; Leal, C., Arias, J., Aproximaciones a los estudios de raza y racismo de Colombia&gt; (2007) Revista de estudios sociales, (27), pp. 184-193. , http://www.scielo.org.co/pdf/res/n27/n27a13.pdf; López, A. B. G., La participación de las mujeres en la independencia hispanoamericana a través de los medios de comunicación&gt; (2011) Historia y Comunicación Social, 16, pp. 33-49. , https://revistas.ucm.es/index.php/HICS/article/download/37148/35953; Lorde, A., Las herramientas del amo nunca desmontarán la casa del amo&gt;. La hermana, la extranjera (2003) Artículos y conferencias, pp. 115-120. , https://www.jstor.org/stable/pdf/j.ctv253f4nn.9.pdf; Luna, L. G., Villarreal, N., &lt;Historia, género y política. Movimientos de mujeres y participación política en Colombia 1930-1991&gt; (1994), https://repositorio.unal.edu.co/handle/unal/55638, Seminario lnterdisciplinar Mujeres y Sociedad, Universidad de Barcelona; Luna, L. G., El logro del voto femenino en Colombia: la violencia y el maternalismo populista 1949-1957&gt; (2001) Boletín Americanista, 51, pp. 81-94. , http://diposit.ub.edu/dspace/handle/2445/107629; Marcos, S., (1993) Actualidad y Cotidianidad: La Ley Revolucionaria de Mujeres del EZLN&gt;, , https://vientosur.info/wpcontent/uploads/spip/pdf/la_ley_revolucionaria_de_mujerescideci.pdf; Marx, Karl, &lt;Miseria de la filosofía&gt; (2010) Marxists Internet Archive, , https://h1aboy.files.wordpress.com/2015/04/marx-miseria-de-la-filosofc3ada.pdf, (Libro digital). (2010); Melgar, M. H., (2019) Hacia una historiografía feminista transnacional, , https://ridaa.unq.edu.ar/handle/20.500.11807/3748, (2019); Mercedes Acosta, María, Tres grandes del feminismo en Colombia&gt; (2020) Sentido. (Artículo digital), , https://sentiido.com/tres-grandes-del-feminismo-encolombia/, (4 de marzo de). &lt;(2020) Recuperado de; Pardo, L. M., El papel de la mujer en la independencia colombiana&gt; (2018) Cultura Latinoamericana, 27 (1), pp. 74-98. , https://editorial.ucatolica.edu.co/index.php/RevClat/article/view/2073; Paredes, J., Hilando fino desde el feminismo indígena comunitario (2010) Aproximaciones críticas a las prácticas teórico-políticas del feminismo latinoamericano, pp. 117-120. , https://www.academia.edu/download/37105080/Aproximaciones_criticas_al_Feminismo_LA_final.pdf#page=117, Y. Espinosa Miñoso (Comp); Perona, A., El feminismo liberal estadounidense de posguerra: Betty Friedan y la refundación del feminismo liberal&gt;. Teoría feminista de la Ilustración a la globalización (2005) Del feminismo liberal a la posmodernidad, p. 2. , https://www.azc.uam.mx/docs/coords/ugedis/material/El_Feminismo_Liberal_Estadounidense_de_Posguerra.pdf; Pina Mas, Natalia, (2006) Los postulados del discurso feminista y la Organización de Naciones Unidas&gt;, , https://repositorio.uesiglo21.edu.ar/bitstream/handle/ues21/12481/TFG_Natalia_Pina_Mas.pdf?sequence=1&amp;isAllowed=y, &lt;(Libro digital); Robinson, B. M., La reclusión de mujeres rebeldes: El recogimiento en la guerra de independencia mexicana, 1810-1819&gt; (2010) Fronteras de la Historia, 5 (2), pp. 225-244. , https://www.redalyc.org/pdf/833/83317305001.pdf; Rocher, Guy, (1996) Introducción a la sociología general&gt;, , https://books.google.com.co/books/about/Introducci%C3%B3n_a_la_sociolog%C3%ADa_general.html?id=WJ_uRwAACAAJ&amp;source=kp_book_description&amp;redir_esc=y, &lt;(España: Herder). (Libro digital); Rodríguez Moreno, C., (2018) Emancipación y occidentalización: las derivas del sujeto mujer de las políticas públicas nacionales de equidad de género, Colombia, años noventa&gt;, , https://ri.unsam.edu.ar/handle/123456789/1232, &lt;Universidad Nacional de San Martín; Rueda, María, (2008) Nación y narración de la violencia en Colombia (de la historia a la sociología)&gt;, , https://revistaiberoamericana.pitt.edu/ojs/index.php/Iberoamericana/article/viewFile/5269/5426, (Artículo digital); Trimiño Velásquez, C. D. J., (2010) Aportaciones del feminismo liberal al desarrollo de los derechos de las mujeres&gt;, , http://e-archivo.uc3m.es/bitstream/handle/10016/9167/?sequence=5; Igualdad de género, , https://es.unesco.org/creativity/sites/creativity/files/digitallibrary/cdis/Iguldad%20de%20genero.pdf, (s/f); Uprimny, Rodrigo, García Villegas, Mauricio, (2004) Corte Constitucional y emancipación social en Colombia&gt; Emancipación social y violencia en Colombia, 463-514, pp. 463-514. , http://derechoycambiosocial.pbworks.com/f/VillegasUprimny2Version+completa+espa%C3%B1ol[1].doc, (Libro digital); Uribe de Acosta, O., Conferencia de Ofelia Uribe de Acosta (1954), https://catalogoenlinea.bibliotecanacional.gov.co/client/es_ES/bd/search/detailnonmodal/ent:$002f$002fSD_ASSET$002f0$002fSD_ASSET:86458/ada?qu=ofelia+uribe&amp;d=ent%3A%2F%2FSD_ASSET%2F0%2FSD_ASSET%3A86458%7EASSET%7E0&amp;h=8, Dirección de la Biblioteca Nacional. Congreso llevado a cabo en Bogotá, Colombia; Villarreal Méndez, N, (1997) La crisis sociopolítica colombiana, un análisis no coyuntural de la coyuntura&gt;, , http://www.utopica.com/SimposioCrisis/pdf/crisis_colombiana.pdf#page=384, &lt;(Libro digital); Wills Obregón, María Emma, Las trayectorias femeninas y feministas hacia lo público en Colombia (1970-2000) ¿Inclusión sin representación? (2004), https://repositories.lib.utexas.edu/handle/2152/1455, Filosofía. Texas, The University of Texas. Doctora en Filosofía. (Libro digital); Wills Obregón, María Emma, (2005) Cincuenta años del sufragio femenino en Colombia 1954: por la conquista del voto. 2004: por la ampliación de la ciudadanía de las mujeres&gt;, , https://repositorio.unal.edu.co/handle/unal/75358, &lt;(Artículo digital). (2005); Wills, M. E., (2007) Inclusión sin representación: la irrupción política de las mujeres en Colombia (1970-2000)&gt;, , https://books.google.com/books?hl=es&amp;lr=&amp;id=a3B5jS3MDvoC&amp;oi=fnd&amp;pg=PR6&amp;dq=maria+emma+wills&amp;ots=yc_q4Foqri&amp;sig=L4CV_GuscvbjFLnGJLfqhOfa8B8, &lt;(Colombia: Editorial Norma); Weber, Max, (2011) La política como vocación&gt;, , https://es.unesco.org/creativity/sites/creativity/files/digitallibrary/cdis/Iguldad%20de%20genero.pdf, &lt;Editoria Book. (Artículo digital); Wollstonecraft, Mary, (2005) Vindicación de los derechos de la mujer&gt;, , https://teoriapoliticaseminariohome.files.wordpress.com/2020/02/vindicacic3b3n_de_los_derechos_de_la_mujer.pdf, &lt;Madrid, España: Itsmo. (Libro digital); Zarco, A., Maternalismo, identidad colectiva y participación política: las Madres de Plaza de Mayo&gt; (2011) Revista punto género, (1). , https://adnz.uchile.cl/index.php/RPG/article/view/16883</t>
  </si>
  <si>
    <t>Hernández García de Velazco, J.J.; CUC, Colombia; email: lasanas23@gmail.com</t>
  </si>
  <si>
    <t>2-s2.0-85141060247</t>
  </si>
  <si>
    <t>Manzano-León A., Ortiz-Colón A.M., Rodríguez-Moreno J., Aguilar-Parra J.M.</t>
  </si>
  <si>
    <t>57214344876;56498794400;56168427900;54973757100;</t>
  </si>
  <si>
    <t>Playful Service-Learning in initial teacher training: a qualitative study [Aprendizagem-Serviço lúdica na formação inicial de professores: um estudo qualitativo] [Aprendizaje-Servicio lúdico en la formación inicial docente: un estudio cualitativo]</t>
  </si>
  <si>
    <t>Texto Livre</t>
  </si>
  <si>
    <t>e39171</t>
  </si>
  <si>
    <t>10.35699/1983-3652.2022.39171</t>
  </si>
  <si>
    <t>https://www.scopus.com/inward/record.uri?eid=2-s2.0-85140930413&amp;doi=10.35699%2f1983-3652.2022.39171&amp;partnerID=40&amp;md5=702e9a5563d26be94fea2dd4d17bc793</t>
  </si>
  <si>
    <t>Universidad de Almería, Departamento de Psicología, Almería, Spain; Universidad de Jaén, Departamento de Pedagogía, Jaén, Spain</t>
  </si>
  <si>
    <t>Manzano-León, A., Universidad de Almería, Departamento de Psicología, Almería, Spain; Ortiz-Colón, A.M., Universidad de Jaén, Departamento de Pedagogía, Jaén, Spain; Rodríguez-Moreno, J., Universidad de Jaén, Departamento de Pedagogía, Jaén, Spain; Aguilar-Parra, J.M., Universidad de Almería, Departamento de Psicología, Almería, Spain</t>
  </si>
  <si>
    <t>Higher education is in constant challenge to increase the quality of teaching and the motivation of students. This study evaluates the impact of a Service-Learning program to promote meaningful learning and motivation in initial teacher training. Service-Learning consists of a teaching-learning approach that integrates curriculum content with community service. This research reflects the experience of 31 students of the Early Childhood Education degree in a Service-Learning program where they developed games and didactic materials adapted to the needs of children with learning difficulties in the educational centers of the area. After the completion of the project, a qualitative study was carried out through online surveys to know the opinions and experiences of the students about the methodology. The results indicate that Service-Learning, on the one hand, improves the acquisition of practical learning about attention to diversity and is a methodology that can be motivating, and on the other hand, that when Service-Learning is carried out, university students feel more supportive and consider that their actions can have a positive impact on their environment. © 2022 Universidade Federal de Minas Gerais. All rights reserved.</t>
  </si>
  <si>
    <t>Higher education; Innovative education; Learning difficulties; Service-Learning</t>
  </si>
  <si>
    <t>ARAMBURUZABALA, P., MCILRATH, L., OPAZO, H., (2019) Embedding service learning in European higher education: developing a culture of civic engagement, , Abingdon, Oxon,; New York, NY: Routledge; AUSUBEL, D. P., (1978) Psicología educativa: un punto de vista cognoscitivo, , México D.F.: Trillas; BRINGLE, R. G., Enhancing the Psychology Curriculum Through Service Learning (2016) Psychology Learning &amp; Teaching, 15 (3), pp. 294-309. , http://journals.sagepub.com/doi/10.1177/1475725716659966, y col. nov. Disponible en: Acceso en: 28 jun. 2022; BROWN, A., A conceptual framework to enhance student online learning and engagement in higher education (2022) Higher Education Research &amp; Development, 41 (2), pp. 284-299. , https://www.tandfonline.com/doi/full/10.1080/07294360.2020.1860912, y col. feb. Disponible en: Acceso en: 28 jun. 2022; CALLE-ÁLVAREZ, G. Y., La rúbrica de autoevaluación como estrategia didáctica de revisión de la escritura (2020) Revista de Investigación, Desarrollo e Innovación, 10 (2), pp. 323-335. , https://revistas.uptc.edu.co/index.php/investigacion_duitama/article/view/10628, feb. Disponible en: Acceso en: 2 jul. 2022; CELIO, C. I., DURLAK, J., DYMNICKI, A., A Meta-Analysis of the Impact of Service-Learning on Students (2011) Journal of Experiential Education, 34 (2), pp. 164-181. , http://journals.sagepub.com/doi/10.1177/105382591103400205, sep. Disponible en: Acceso en: 28 jun. 2022; CHIVA-BARTOLL, O., GIL-GÓMEZ, J., Aprendizaje-servicio y responsabilidad social universitaria: una apuesta por la mejora docente y el compromiso social (2018) APRENDIZAJE-SERVICIO universitario: modelos de intervención e investigación en la formación docente, , y Barcelona: Octaedro, OCLC: 1079404026; CLAES, E., Community service learning in complex urban settings: challenges and opportunities for social work education (2021) Social Work Education, pp. 1-19. , https://www.tandfonline.com/doi/full/10.1080/02615479.2021.1948003, y col. jul. Disponible en: Acceso en: 2 jul. 2022; CORTÉS DÍAZ, M., FERREIRA VILLA, C., ARIAS GAGO, A. R., Fundamentos del Diseño Universal para el Aprendizaje Desde la Perspectiva Internacional (2021) Revista Brasileira de Educação Especial, 27, p. e0065. , http://www.scielo.br/scielo.php?script=sci_arttext&amp;pid=S1413-65382021000100306&amp;tlng=es, Disponible en: Acceso en: 2 jul. 2022; DE LA CUESTA-BENJUMEA, C., ¿Por dónde empezar?: la pregunta en investigación cualitativa (2008) Enfermería Clínica, 18 (4), pp. 205-210. , https://linkinghub.elsevier.com/retrieve/pii/S1130862108721971, jul. Disponible en: Acceso en: 2 jul. 2022; DE LA ESPRIELLA, R., GÓMEZ RESTREPO, C., Teoría fundamentada (2020) Revista Colombiana de Psiquiatría, 49 (2), pp. 127-133. , https://linkinghub.elsevier.com/retrieve/pii/S0034745018300891, abr. Disponible en: Acceso en: 2 jul. 2022; FERREIRA, C., VIEIRA, M. J., La simulación de entrevistas familiares en la formación de maestros y orientadores (2021) MLS Educational Research, 5 (2). , https://www.mlsjournals.com/Educational-Research-Journal/article/view/553, sep. Disponible en: Acceso en: 2 jul. 2022; FLICK, U., (2012) Introducción a la investigación cualitativa, , Madrid: Ediciones Morata; GLEASON, N. W., (2018) Higher education in the era of the fourth industrial revolution, , Singapore: Palgrave Macmillan; GÜMÜŞDAĞ, H., Effects of Pre-school Play on Motor Development in Children (2019) Universal Journal of Educational Research, 7 (2), pp. 580-587. , http://www.hrpub.org/journals/article_info.php?aid=7736, feb. Disponible en: Acceso en: 2 jul. 2022; HALBERSTADT, J., Skills and knowledge management in higher education: how service learning can contribute to social entrepreneurial competence development (2019) Journal of Knowledge Management, 23 (10), pp. 1925-1948. , https://www.emerald.com/insight/content/doi/10.1108/JKM-12-2018-0744/full/html, y col. dic. Disponible en: Acceso en: 28 jun. 2022; HANGHØJ, T., LIEBEROTH, A., MISFELDT, M., Can cooperative video games encourage social and motivational inclusion of at-risk students?: British Journal of Educational Technology (2018) British Journal of Educational Technology, 49 (4), pp. 775-799. , https://onlinelibrary.wiley.com/doi/10.1111/bjet.12642, jul. Disponible en: Acceso en: 2 jul. 2022; HARADA, A. S., Análisis de las competencias docentes en proyectos de aprendizaje-servicio en la educación superior: La percepción del profesorado (2020) Formación Universitaria, 13 (3), pp. 31-42. , https://dialnet.unirioja.es/servlet/articulo?codigo=8049921, y col. Disponible en: Acceso en: 28 jun. 2022; HUDA, M., Transmitting leadership based civic responsibility: insights from service learning (2018) International Journal of Ethics and Systems, 34 (1), pp. 20-31. , https://www.emerald.com/insight/content/doi/10.1108/IJOES-05-2017-0079/full/html, y col. feb. Disponible en: Acceso en: 28 jun. 2022; JACOBY, B., (2015) Service-learning essentials: questions, answers, and lessons learned, , 1. ed. San Francisco, CA: Jossey-Bass; JIMÉNEZ PORTA, A. M., DÍEZ-MARTÍNEZ, E., Impacto de videojuegos en la fluidez lectora en niños con y sin dislexia. El caso de Minecraft (2018) RELATEC: Revista Latinoamericana de Tecnología Educativa, 17 (1), pp. 78-90; KAUFMAN, D., IRELAND, A., Enhancing Teacher Education with Simulations (2016) TechTrends, 60 (3), pp. 260-267. , http://link.springer.com/10.1007/s11528-016-0049-0, mayo Disponible en: Acceso en: 2 jul. 2022; KOKKALIA, G., DRIGAS, A., ECONOMOU, A., The Role of Games in Special Preschool Education (2016) International Journal of Emerging Technologies in Learning (iJET), 11 (12), p. 30. , http://online-journals.org/index.php/i-jet/article/view/5945, pág. dic. Disponible en: Acceso en: 2 jul. 2022; LATTA, M., Approaching critical service-learning: A model for reflection on positionality and possibility (2018) Journal of Higher Education Outreach and Engagement, 22, pp. 31-56. , y col; MACANCHÍ PICO, M. L., OROZCO CASTILLO, B. M., CAMPOVERDE ENCALADA, M. A., Innovación educativa, pedagógica y didáctica. Concepciones para la práctica en la Educación Superior (2020) Universidad y Sociedad, 12, pp. 396-403; MANZANO-LEÓN, A., Testing the Factorial Validity of the Classroom Engagement Inventory with Spanish Students (2021) Psychology Research and Behavior Management, 14, pp. 1011-1018. , https://www.dovepress.com/testing-the-factorial-validity-ofthe-classroom-engagement-inventory-w-peer-reviewed-fulltext-article-PRBM, y col. jul. Disponible en: Acceso en: 28 jun. 2022; MARCO-GARDOQUI, M., EIZAGUIRRE, A., GARCÍA-FEIJOO, M., The impact of service-learning methodology on business schools’ students worldwide: A systematic literature review. Edición: Ivan Barreda-Tarrazona (2020) PLOS ONE, 15 (12), p. e0244389. , https://dx.plos.org/10.1371/journal.pone.0244389, dic. Disponible en: Acceso en: 28 jun. 2022; MARTÍNEZ, V., (2018) El Aprendizaje-Servicio en la Universidad. Una metodología docente y de investigación al servicio de la justicia social y el desarrollo sostenible, , y col. [S.l]: Comunicación Social Ediciones y Publicaciones; MARTÍNEZ-USARRALDE, M. J., SALOM, D., MENDOZA, D., Revisión sistemática de Responsabilidad Social Universitaria y Aprendizaje Servicio. Análisis para su institucionalización (2019) Revista Mexicana de Investigacion Educativa, 24, pp. 149-172; MESURADO, B., The Hero program: Development and initial validation of an intervention program to promote prosocial behavior in adolescents (2018) Journal of Social and Personal Relationships, 36 (8), pp. 2566-2584. , http://journals.sagepub.com/doi/10.1177/0265407518793224, y col. ago. Disponible en: Acceso en: 28 jun. 2022; MOREIRA, M. A., Aprendizaje significativo como un referente para la organización de la enseñanza (2017) Archivos de Ciencias de la Educación, 11, pp. 1-17; OPAZO, H., ARAMBURUZABALA, P., CERRILLO, R., A Review of the Situation of Service-Learning in Higher Education in Spain (2016) Asia-Pacific Journal of Cooperative Education, 17 (1), pp. 75-91. , https://eric.ed.gov/?id=EJ1114040, Disponible en: Acceso en: 4 jul. 2022; PALPACUER LEE, C., CURTIS, J. H., CURRAN, M. E., Shaping the vision for service‐learning in language education (2018) Foreign Language Annals, 51 (1), pp. 169-184; PU, S., Improvement of Pre-Service Teachers’ Practical Knowledge and Motivation about Artificial Intelligence through a Service-learning-based Module in Guizhou, China: A Quasi-Experimental Study (2021) Asian Journal of University Education, 17 (3), p. 203. , https://myjms.mohe.gov.my/index.php/AJUE/article/view/14499, y col. pág. ago. Disponible en: Acceso en: 2 jul. 2022; PUIG, J. M., (2009) Aprendizaje servicio: educación y compromiso cívico, , [S.l]: Editorial Graó; RESCH, K., SCHRITTESSER, I., Using the Service-Learning approach to bridge the gap between theory and practice in teacher education (2021) International Journal of Inclusive Education, pp. 1-15. , https://www.tandfonline.com/doi/full/10.1080/13603116.2021.1882053, feb. Disponible en: Acceso en: 2 jul. 2022; RICHARDS, K. A. R., Experiential Learning Through a Physical Activity Program for Children With Disabilities (2014) Journal of Teaching in Physical Education, 34 (2), pp. 165-188. , https://journals.humankinetics.com/view/journals/jtpe/34/2/article-p165.xml, y col. abr. Disponible en: Acceso en: 28 jun. 2022; SALA, G., TATLIDIL, K. S., GOBET, F., Video game training does not enhance cognitive ability: A comprehensive meta-analytic investigation (2018) Psychological Bulletin, 144 (2), pp. 111-139. , http://doi.apa.org/getdoi.cfm?doi=10.1037/bul0000139, feb. Disponible en: Acceso en: 2 jul. 2022; SALAM, M., Service learning in higher education: a systematic literature review (2019) Asia Pacific Education Review, 20 (4), pp. 573-593. , http://link.springer.com/10.1007/s12564-019-09580-6, y col. dic. Disponible en: Acceso en: 28 jun. 2022; SASS, M. S., COLL, K., The Effect of Service Learning on Community College Students (2015) Community College Journal of Research and Practice, 39 (3), pp. 280-288. , http://www.tandfonline.com/doi/abs/10.1080/10668926.2012.756838, mar. Disponible en: Acceso en: 28 jun. 2022; SAYLOR, J., Effects of a service learning experience on confidence and clinical skills in baccalaureate nursing students (2018) Nurse Education Today, 61, pp. 43-48. , https://linkinghub.elsevier.com/retrieve/pii/S0260691717302630, y col. feb. Disponible en: Acceso en: 28 jun. 2022; SCHOENHERR, T., Service-Learning in Supply Chain Management: Benefits, Challenges and Best Practices: Service-Learning in Supply Chain Management (2015) Decision Sciences Journal of Innovative Education, 13 (1), pp. 45-70. , https://onlinelibrary.wiley.com/doi/10.1111/dsji.12052, ene. Disponible en: Acceso en: 28 jun. 2022; TÜRKOĞLU, B., The Effect of Educational Board Games Training Programme on the Social Skill Development of the Fourth Graders (2019) İlköğretim Online, pp. 1326-1344. , https://dergipark.org.tr/en/doi/10.17051/ilkonline.2019.612180, sep. Disponible en: Acceso en: 2 jul. 2022; VYGOTSKII, L. S., (1982) El desarrollo de los procesos psicológicos superiores, , Barcelona: Crítica; WEILER, L., Benefits Derived by College Students from Mentoring At-Risk Youth in a Service-Learning Course (2013) American Journal of Community Psychology, 52 (3-4), pp. 236-248. , http://doi.wiley.com/10.1007/s10464-013-9589-z, y col. dic. Disponible en: Acceso en: 28 jun. 2022</t>
  </si>
  <si>
    <t>Manzano-León, A.; Universidad de Almería, Spain; email: aml570@ual.es</t>
  </si>
  <si>
    <t>2-s2.0-85140930413</t>
  </si>
  <si>
    <t>Peña-Corona S.I., Pérez-Rivero J.J., Vargas E.D., Juárez R.I., Mendoza-Rodríguez C.A.</t>
  </si>
  <si>
    <t>57225078830;22986520000;57943705400;57944923900;6602537345;</t>
  </si>
  <si>
    <t>Effects of endocrine disruptors on ruminants' reproduction [Efectos de los disruptores endocrinos en la reproducción de rumiantes]</t>
  </si>
  <si>
    <t>e2449</t>
  </si>
  <si>
    <t>10.21897/RMVZ.2449</t>
  </si>
  <si>
    <t>https://www.scopus.com/inward/record.uri?eid=2-s2.0-85140779021&amp;doi=10.21897%2fRMVZ.2449&amp;partnerID=40&amp;md5=2dd8b6bb60e5a9c9606e0567860073b7</t>
  </si>
  <si>
    <t>Universidad Nacional Autónoma de México, Facultad de Química, Departamento de Biología, Ciudad de México, Mexico; Universidad Autónoma Metropolitana, Departamento de Producción Agrícola y Animal, Ciudad de México, Mexico; Universidad Nacional Autónoma de México, Facultad de Medicina Veterinaria y Zootecnia, Departamento de Fisiología y Farmacología, Ciudad de México, Mexico; Universidad Nacional Autónoma de México, Facultad de Medicina Veterinaria y Zootecnia, Departamento de Medicina Preventiva y Salud Pública, Ciudad de México, Mexico</t>
  </si>
  <si>
    <t>Peña-Corona, S.I., Universidad Nacional Autónoma de México, Facultad de Química, Departamento de Biología, Ciudad de México, Mexico; Pérez-Rivero, J.J., Universidad Autónoma Metropolitana, Departamento de Producción Agrícola y Animal, Ciudad de México, Mexico; Vargas, E.D., Universidad Nacional Autónoma de México, Facultad de Medicina Veterinaria y Zootecnia, Departamento de Fisiología y Farmacología, Ciudad de México, Mexico; Juárez, R.I., Universidad Nacional Autónoma de México, Facultad de Medicina Veterinaria y Zootecnia, Departamento de Medicina Preventiva y Salud Pública, Ciudad de México, Mexico; Mendoza-Rodríguez, C.A., Universidad Nacional Autónoma de México, Facultad de Química, Departamento de Biología, Ciudad de México, Mexico</t>
  </si>
  <si>
    <t>Oral exposure to synthetic and natural endocrine disruptors (ED) at different stages of life is related to alterations in the reproductive system. Ruminants represent a model for studying the effects of ED in humans due to some similarities in their development. Ruminants are considered of great importance due to continuous exposure to pasture and contaminated soils and human consumption of their meat. The present review aims to describe ED effects in ruminants’ reproduction, when they are consumed in the perinatal, postnatal-pre-adulthood, and adult stages. Feeding with phytoestrogens (PE) rich forage has no nocive consequences on the male reproductive system at any stages of life; in females, they produce more significant harmful effects when administered in adulthood. In the perinatal and postnatal-pre-adulthood stages, negative effects of synthetic ED were found in both males and females. This review presents study opportunities for further research related to oral exposure to ED © El (los) autor (es) 2022. Este artículo se distribuye bajo los términos de la licencia internacional Creative Commons Attribution 4.0 (https://creativecommons.org/licenses/by-nc-sa/4.0/), que permite a otros distribuir, remezclar, retocar, y crear a partir de su obra de modo no comercial, siempre y cuando den crédito y licencien sus nuevas creaciones bajo las mismas condiciones</t>
  </si>
  <si>
    <t>Hormones; Infertility; Ovary; Pesticides; Phytoestrogens; Testis</t>
  </si>
  <si>
    <t>Este trabajo fue producto de la Beca del Programa Posdoctoral DGAPA de la UNAM (SIPC). Este trabajo estuvo apoyado por PAIP 5000-9141, Facultad de Química, UNAM. Las imágenes fueron elaboradas en el programa BioRender (https://biorender.com)</t>
  </si>
  <si>
    <t>Carson, R., (1987) Silent spring: 25th anniversary ed, , http://www.rachelcarson.org/SilentSpring.aspx, 1. New York: Houghton Mifflin Co; (2018) The Endocrine Disruption Exchange List of Potential Endocrine Disruptors, , http://www.endocrinedisruption.org/interactive-tools/tedx-list-of-potential-endocrine-disruptors/search-the-tedx-list, 2. TEDX; Vandenberg, LN, Blumberg, B, Antoniou, MN, Benbrook, CM, Carroll, L, Colborn, T, Is it time to reassess current safety standards for glyphosate-based herbicides? (2017) J Epidemiol Community Health, 71 (6), pp. 613-618. , http://dx.doi.org/10.1136/jech-2016-208463, 3; Vandenberg, LN, Maffini, MV, Sonnenschein, C, Rubin, BS, Soto, AM., Bisphenol-A and the great divide: a review of controversies in the field of endocrine disruption (2009) Endocr Rev, 30 (1), pp. 75-95. , https://doi.org/10.1210/er.2008-0021, 4; Colborn, T, vom Saal, FS, Soto, AM., Developmental effects of endocrine-disrupting chemicals in wildlife and humans (1993) Environ Health Perspect, 101 (5), pp. 378-384. , https://doi.org/10.1289/ehp.93101378, 5; Kwiatkowski, CF, Bolden, AL, Liroff, RA, Rochester, JR, Vandenbergh, JG., Twenty-Five Years of Endocrine Disruption Science: Remembering Theo Colborn (2016) Environ Health Perspect, 124 (9), pp. A151-A154. , https://doi.org/10.1289/EHP746, 6; Miyagawa, S, Lange, A, Hirakawa, I, Tohyama, S, Ogino, Y, Mizutani, T, Differing species responsiveness of estrogenic contaminants in fish is conferred by the ligand binding domain of the estrogen receptor (2014) Environ Sci Technol, 48 (9), pp. 5254-5263. , https://doi.org/10.1021/es5002659, 7; Gore, AC, Chappell, VA, Fenton, SE, Flaws, JA, Nadal, A, Prins, GS, Executive Summary to EDC-2: The Endocrine Society's Second Scientific Statement on Endocrine-Disrupting Chemicals (2015) Endocr Rev, 36 (6), pp. 593-602. , https://doi.org/10.1210/er.2015-1093, 8; Krizova, L, Dadakova, K, Kasparovska, J, Kasparovsky, T., Isoflavones (2019) Molecules, 24 (6), p. 1076. , https://doi.org/10.3390/molecules24061076, 9; Bhagwat, S, Haytowitz, DB, Holden, JM., (2008) USDA Database for the Isoflavone Content of Selected Foods, , https://data.nal.usda.gov/dataset/usda-database-isoflavone-content-selected-foods-release-20, 10. Release 2.0 Department of Agriculture, Agricultural Research Service; Bennetau-Pelissero, C., Risks and benefits of phytoestrogens: where are we now? (2016) Curr Opin Clin Nutr Metab Care, 19 (6), pp. 477-483. , https://doi.org/10.1097/MCO.0000000000000326, 11; Weber, R, Herold, C, Hollert, H, Kamphues, J, Blepp, M, Ballschmiter, K., Reviewing the relevance of dioxin and PCB sources for food from animal origin and the need for their inventory, control and management (2018) Environ Sci Eur, 30 (1), p. 42. , https://doi.org/10.1186/s12302-018-0166-9, 12; Magnusson, U., Environmental endocrine disruptors in farm animal reproduction: research and reality (2012) Reprod Domest Anim, 47, pp. 333-337. , https://doi.org/10.1111/j.1439-0531.2012.02095.x, 13. (Suppl 4); Banihashemi, B, Droste, RL., Sorptiondesorption and biosorption of bisphenol A, triclosan, and 17alpha-ethinylestradiol to sewage sludge (2014) Sci Total Environ, 487, pp. 813-821. , https://doi.org/10.1016/j.scitotenv.2013.12.116, 14; Eskenazi, B, Warner, M, Brambilla, P, Signorini, S, Ames, J, Mocarelli, P., The Seveso accident: A look at 40 years of health research and beyond (2018) Environ Int, 121, pp. 71-84. , https://doi.org/10.1016/j.envint.2018.08.051, 15. (Pt1); Liu, J, Lu, G, Xie, Z, Zhang, Z, Li, S, Yan, Z., Occurrence, bioaccumulation and risk assessment of lipophilic pharmaceutically active compounds in the downstream rivers of sewage treatment plants (2015) Sci Total Environ, 511, pp. 54-62. , https://doi.org/10.1016/j.scitotenv.2014.12.033, 16; Oskam, IC, Lyche, JL, Krogenaes, A, Thomassen, R, Skaare, JU, Wiger, R, Effects of long-term maternal exposure to low doses of PCB126 and PCB153 on the reproductive system and related hormones of young male goats (2005) Reproduction, 130 (5), pp. 731-742. , https://doi.org/10.1530/rep.1.00690, 17; Pietron, W, Pajurek, M, Mikolajczyk, S, Maszewski, S, Warenik-Bany, M, Piskorska-Pliszczynska, J., Exposure to PBDEs associated with farm animal meat consumption (2019) Chemosphere, 224, pp. 58-64. , https://doi.org/10.1016/j.chemosphere.2019.02.067, 18; Yang, C, Song, G, Lim, W., Effects of endocrine disrupting chemicals in pigs (2020) Environ Pollut, 263, p. 114505. , https://doi.org/10.1016/j.envpol.2020.114505, 19. (PtB); Bellingham, M, Fowler, PA, Amezaga, MR, Whitelaw, CM, Rhind, SM, Cotinot, C, Foetal hypothalamic and pituitary expression of gonadotrophin-releasing hormone and galanin systems is disturbed by exposure to sewage sludge chemicals via maternal ingestion (2010) J Neuroendocrinol, 22 (6), pp. 527-533. , https://doi.org/10.1111/j.1365-2826.2010.01974.x, 20; Guvvala, PR, Ravindra, JP, Selvaraju, S., Impact of environmental contaminants on reproductive health of male domestic ruminants: a review (2020) Environ Sci Pollut Res Int, 27 (4), pp. 3819-3836. , https://doi.org/10.1007/s11356-019-06980-4, 21; Destouni, A, Zamani Esteki, M, Catteeuw, M, Tsuiko, O, Dimitriadou, E, Smits, K, Zygotes segregate entire parental genomes in distinct blastomere lineages causing cleavage-stage chimerism and mixoploidy (2016) Genome Res, 26 (5), pp. 567-578. , https://doi.org/10.1101/gr.200527.115, 22; Fishman, EL, Jo, K, Nguyen, QPH, Kong, D, Royfman, R, Cekic, AR, A novel atypical sperm centriole is functional during human fertilization (2018) Nat Commun, 9 (1), p. 2210. , https://doi.org/10.1038/s41467-018-04678-8, 23; Beard, AP, Bartlewski, PM, Chandolia, RK, Honaramooz, A, Rawlings, NC., Reproductive and endocrine function in rams exposed to the organochlorine pesticides lindane and pentachlorophenol from conception (1999) J Reprod Fertil, 115 (2), pp. 303-314. , https://doi.org/10.1530/jrfi0.1150303, 24; Fowler, PA, Dora, NJ, McFerran, H, Amezaga, MR, Miller, DW, Lea, RG, In utero exposure to low doses of environmental pollutants disrupts fetal ovarian development in sheep (2008) Mol Hum Reprod, 14 (5), pp. 269-280. , https://doi.org/10.1093/molehr/gan020, 25; Kraugerud, M, Aleksandersen, M, Nyengaard, JR, Ostby, GC, Gutleb, AC, Dahl, E, In utero and lactational exposure to PCB 118 and PCB 153 alter ovarian follicular dynamics and GnRH-induced luteinizing hormone secretion in female lambs (2012) Environ Toxicol, 27 (11), pp. 623-634. , https://doi.org/10.1002/tox.20679, 26; Lyche, JL, Oskam, IC, Skaare, JU, Reksen, O, Sweeney, T, Dahl, E, Effects of gestational and lactational exposure to low doses of PCBs 126 and 153 on anterior pituitary and gonadal hormones and on puberty in female goats (2004) Reprod Toxicol, 19 (1), pp. 87-95. , https://doi.org/10.1016/j.reprotox.2004.05.005, 27; Senger, PL., (2003) Pathways to Pregnancy and Parturition, , https://www.worldcat.org/title/pathways-to-pregnancy-and-parturition/oclc/53250647, 28. 2nd ed. WA, USA: Current Concepts Inc., Washington State University, Pullman; Foster, DL., Puberty in the sheep (1994) The Physiology of Reproduction, , https://onlinelibrary.wiley.com/doi/abs/10.1002/mrd.1080380414, 29 Knobil E, Neil JD, editors. New York: Raven Press, Ltd; Yurrita, SC., (2017) Evaluation of dietary phytoestrogen exposure on growth, semen parameters, and reproductive anatomy development of growing Angus bulls, , https://asu-ir.tdl.org/bitstream/handle/2346.1/30677/YURRITA-THESIS-2017.pdf?sequence=1&amp;isAllowed=y, 30. U.S.: Angelo State University; Pace, V, Carbone, K, Spirito, F, Iacurto, M, Terzano, MG, Verna, M, The effects of subterranean clover phytoestrogens on sheep growth, reproduction and carcass characteristics (2006) Meat Sci, 74 (4), pp. 616-622. , https://doi.org/10.1016/j.meatsci.2006.05.006, 31; Savoie, S, Forest, MG, Bourel, B, Saez, JM, Collu, R, Bertrand, J, Perinatal activity of the hypothalamic-pituitary-gonadal axis in the lamb. I. Circulating levels of LH, FSH, prolactin and testosterone and in vivo response to hCG in the first two months of life (1979) Biol Reprod, 21 (5), pp. 1051-1056. , https://doi.org/10.1095/biolreprod21.5.1051, 32; Amir, D, Volcani, R., The effect of dietary ethylene dibromide (EDB) on the testes of bulls. A preliminary report (1967) Fertil Steril, 18, pp. 144-147. , https://doi.org/10.1016/s0015-0282(16)36196-9, 33; Woclawek-Potocka, I, Acosta, TJ, Korzekwa, A, Bah, MM, Shibaya, M, Okuda, K, Phytoestrogens modulate prostaglandin production in bovine endometrium: cell type specificity and intracellular mechanisms (2005) Exp Biol Med (Maywood), 230 (5), pp. 326-333. , https://doi.org/10.1177/153537020523000506, 34; Piotrowska, KK, Woclawek-Potocka, I, Bah, MM, Piskula, MK, Pilawski, W, Bober, A, Phytoestrogens and their metabolites inhibit the sensitivity of the bovine corpus luteum to luteotropic factors (2006) J Reprod Dev, 52 (1), pp. 33-41. , https://doi.org/10.1262/jrd.17054, 35; García, DC, Martín, AA, Vella, MA, Nasca, JA, Roldan, EM., Evaluación de la alimentación con distintos niveles de inclusión de soja en la recría de vaquillonas (2018) Veter Arg, 35 (357), pp. 1-9. , https://www.veterinariargentina.com/revista/2018/11/evaluacion-de-la-alimentacion-con-distintos-niveles-de-inclusion-de-soja-en-la-recria-de-vaquillonas/, 36; Hashem, NM, El-Azrak, KM, Sallam, SM., Hormonal concentrations and reproductive performance of Holstein heifers fed Trifolium alexandrinum as a phytoestrogen ic roughage (2016) Anim Reprod Sci, 170, pp. 121-127. , https://doi.org/10.1016/j.anireprosci.2016.04.012, 37; Pace, V, Contò, G, Carfi, F, Chiariotti, A, Catillo, G., Short and long-term effects of low estrogenic subterranean clover on ewe reproductive performance (2011) Small Rumin Res, 97 (1-3), pp. 94-100. , https://doi.org/10.1016/j.smallrumres.2011.02.011, 38; Sierra, LA., (2015) Evaluación del efecto de los fitoestrógenos presentes en la alfalfa (Medicago sativa) sobre la calidad del semen ovino fresco y criopreservado, , https://repositorio.uptc.edu.co/handle/001/2260, 39. Colombia, Tunja: Univesidad Pedagógica y Tecnológica de Colombia, Tunja; Aragadvay-Yungán, R, Novillo-Rueda, M, Núñez-Torres, O, Rosero-Peña, M, Lozada-Salcedo, E., Calidad seminal de carneros alimentados con dietas que contienen alfalfa (medicago sativa) contaminada con pseudopeziza medicaginis (2018) Rev Ecuatoriana In Agropecu, 2 (1), pp. 14-19. , http://dx.doi.org/10.31164/reiagro.v2n1.3, 40; Rodríguez, MCE., (2013) Determinación del contenido de fitoestrógenos presentes en la alfalfa (medicago sativa) y el trébol rojo (trifolium pratense) y evaluación de su efecto sobre el perfil hormonal en vacas Holstein en la Granja Tungüavita Paipa-Boyacá, , https://repositorio.uptc.edu.co/handle/001/2262, 41. Colombia: Universidad Pedagógica y Tecnológica de Colombia; Hashem, NM, El-Azrak, KM, El-DinANM, Nour, Sallam, SM, Taha, TA, Salem, MH., Effects of Trifolium alexandrinum phytoestrogens on oestrous behaviour, ovarian activity and reproductive performance of ewes during the non-breeding season (2018) Anim Reprod Sci, 196, pp. 1-8. , https://doi.org/10.1016/j.anireprosci.2018.03.007, 42; Cantero, A, Sancha, JL, Flores, JM, Rodriguez, A, Gonzalez, T., Histopathological changes in the reproductive organs of Manchego ewes grazing on lucerne (1996) Zentralbl Veterinarmed A, 43 (6), pp. 325-330. , https://doi.org/10.1111/j.1439-0442.1996.tb00459.x, 43; Kiyama, R, Wada-Kiyama, Y., Estrogenic endocrine disruptors: Molecular mechanisms of action (2015) Environ Int, 83, pp. 11-40. , https://doi.org/10.1016/j.envint.2015.05.012, 44; Brouwer, A, Longnecker, MP, Birnbaum, LS, Cogliano, J, Kostyniak, P, Moore, J, Characterization of potential endocrine-related health effects at low-dose levels of exposure to PCBs (1999) Environ Health Perspect, 107, pp. 639-649. , https://doi.org/10.1289/ehp.97105294, 45. (Suppl 4); Fang, H, Tong, W, Branham, WS, Moland, CL, Dial, SL, Hong, H, Study of 202 natural, synthetic, and environmental chemicals for binding to the androgen receptor (2003) Chem Res Toxicol, 16 (10), pp. 1338-1358. , https://doi.org/10.1021/tx030011g, 46; Jung, J, Ishida, K, Nishikawa, J, Nishihara, T., Inhibition of estrogen action by 2-phenylchromone as AhR agonist in MCF-7 cells (2007) Life Sci, 81 (19-20), pp. 1446-1451. , https://doi.org/10.1016/j.lfs.2007.09.010, 47; Kuiper, GG, Lemmen, JG, Carlsson, B, Corton, JC, Safe, SH, van der Saag, PT, Interaction of estrogenic chemicals and phytoestrogens with estrogen receptor beta (1998) Endocrinology, 139 (10), pp. 4252-4263. , https://doi.org/10.1210/endo.139.10.6216, 48; (2020) Shaping our future together, , https://www.un.org/en/un75/shifting-demographics, Shifting Demographics: United Nations; Ritchie, H, Max, R., (2019) Meat and Dairy Production England: Our World in Data, , https://ourworldindata.org/meat-production, 50; (2001) Human energy requirements, , http://www.fao.org/3/y5686e/y5686e00.htm, 51. FAO. Report of a Joint FAO/WHO/UNU Expert Consultation Rome: United Nations University, World Health Organization, Food and Agriculture Organization of the United Nations; Kamarianos, A, Karamanlis, X, Theodosiadou, E, Goulas, P, Smokovitis, A., The presence of environmental pollutants in the semen of farm animals (bull, ram, goat, and boar) (2003) Reprod Toxicol, 17 (4), pp. 439-445. , https://doi.org/10.1016/s0890-6238(03)00031-5, 52; Xie, Z, Lu, G, Liu, J, Yan, Z, Ma, B, Zhang, Z, Occurrence, bioaccumulation, and trophic magnification of pharmaceutically active compounds in Taihu Lake, China (2015) Chemosphere, 138, p. 140147. , https://doi.org/10.1016/j.chemosphere.2015.05.086, 53; de Oliveira, M, Frihling, BEF, Velasques, J, Filho, F, Cavalheri, PS, Migliolo, L., Pharmaceuticals residues and xenobiotics contaminants: Occurrence, analytical techniques and sustainable alternatives for wastewater treatment (2020) Sci Total Environ, 705, p. 135568. , https://doi.org/10.1016/j.scitotenv.2019.135568, 54; Cao, T, Cao, Y, Wang, H, Wang, P, Wang, X, Niu, H, The Effect of Exposure to Bisphenol A on Spermatozoon and the Expression of Tight Junction Protein Occludin in Male Mice (2020) Dose Response, 18 (2), p. 1559325820926745. , https://doi.org/10.1177/1559325820926745, 55</t>
  </si>
  <si>
    <t>Mendoza-Rodríguez, C.A.; Universidad Nacional Autónoma de México, Mexico; email: adrimed@yahoo.com</t>
  </si>
  <si>
    <t>2-s2.0-85140779021</t>
  </si>
  <si>
    <t>Ortiz-Pineda M.C., López-Buitrago M.E., Bulla-Castañeda D.M., Lopez-Buitrago H.A., Lancheros-Buitrago D.J., Díaz-Anaya A.M., Giraldo Forero J.C., Garcia-Corredor D.J., Pulido-Medellín M.O.</t>
  </si>
  <si>
    <t>57222964433;57941818600;57222960876;57411867900;57412001500;55928513700;56609277200;56241393600;56241968800;</t>
  </si>
  <si>
    <t>Coproparasitological diagnosis of fascioliasis in sheep and goats from Boavita, Boyacá (Colombia) [Diagnóstico coproparasitológico de fascioliasis en ovinos y caprinos de Boavita, Boyacá (Colombia)]</t>
  </si>
  <si>
    <t>Revista de Investigaciones Veterinarias del Peru</t>
  </si>
  <si>
    <t>e23340</t>
  </si>
  <si>
    <t>10.15381/rivep.v33i4.23340</t>
  </si>
  <si>
    <t>https://www.scopus.com/inward/record.uri?eid=2-s2.0-85140612477&amp;doi=10.15381%2frivep.v33i4.23340&amp;partnerID=40&amp;md5=c80036968e0e68f45a39f29c81003fb2</t>
  </si>
  <si>
    <t>Grupo de Investigación en Medicina Veterinaria y Zootecnia – GIDIMEVETZ, Universidad Pedagógica y Tecnológica de Colombia, Tunja, Colombia; Grupo de Investigación en Parasitología y Microbiología Tropical – GIPAMT, Programa de Biología, Facultad de Ingenierías, Administración y Ciencias Básicas, Universidad INCCA de Colombia, Bogotá, Colombia</t>
  </si>
  <si>
    <t>Ortiz-Pineda, M.C., Grupo de Investigación en Medicina Veterinaria y Zootecnia – GIDIMEVETZ, Universidad Pedagógica y Tecnológica de Colombia, Tunja, Colombia; López-Buitrago, M.E., Grupo de Investigación en Medicina Veterinaria y Zootecnia – GIDIMEVETZ, Universidad Pedagógica y Tecnológica de Colombia, Tunja, Colombia; Bulla-Castañeda, D.M., Grupo de Investigación en Medicina Veterinaria y Zootecnia – GIDIMEVETZ, Universidad Pedagógica y Tecnológica de Colombia, Tunja, Colombia; Lopez-Buitrago, H.A., Grupo de Investigación en Medicina Veterinaria y Zootecnia – GIDIMEVETZ, Universidad Pedagógica y Tecnológica de Colombia, Tunja, Colombia; Lancheros-Buitrago, D.J., Grupo de Investigación en Medicina Veterinaria y Zootecnia – GIDIMEVETZ, Universidad Pedagógica y Tecnológica de Colombia, Tunja, Colombia; Díaz-Anaya, A.M., Grupo de Investigación en Medicina Veterinaria y Zootecnia – GIDIMEVETZ, Universidad Pedagógica y Tecnológica de Colombia, Tunja, Colombia; Giraldo Forero, J.C., Grupo de Investigación en Parasitología y Microbiología Tropical – GIPAMT, Programa de Biología, Facultad de Ingenierías, Administración y Ciencias Básicas, Universidad INCCA de Colombia, Bogotá, Colombia; Garcia-Corredor, D.J., Grupo de Investigación en Medicina Veterinaria y Zootecnia – GIDIMEVETZ, Universidad Pedagógica y Tecnológica de Colombia, Tunja, Colombia; Pulido-Medellín, M.O., Grupo de Investigación en Medicina Veterinaria y Zootecnia – GIDIMEVETZ, Universidad Pedagógica y Tecnológica de Colombia, Tunja, Colombia</t>
  </si>
  <si>
    <t>The aim of this study was to establish the prevalence of Fasciola hepatica through coprological analysis and to identify risk factors associated with the presentation of the parasite in sheep and goats in the municipality of Boavita, Boyacá. The study was observational, descriptive, cross-sectional with simple random sampling. Faecal samples were taken from 297 sheep and 337 goats to identify parasite eggs. The general prevalence was 8.0% (51/634), being 9.1% for sheep and 7.1% for goats. The prevalence in sheep was higher in males (14.8%) than in females (8.5%), likewise, sheep less than one year old (9.3%) and Criolla (11.1%) presented the highest prevalence. In goats, the prevalence was higher in females (7.3%) than in males (5.6%), and those less than one year old (10.5%) and the Alpine breed (8%) presented the greater prevalence. No significant statistical association was found between females and males. The Creole breed was established as a risk factor for sheep. ©Los autores.</t>
  </si>
  <si>
    <t>fascioliasis; flukes; goats; sheep</t>
  </si>
  <si>
    <t>Article; Colombia; controlled study; Fasciola hepatica; fascioliasis; feces analysis; female; goat; male; nonhuman; prevalence; risk factor; sheep</t>
  </si>
  <si>
    <t>(2020) Municipio, , http://www.boavita-boyaca.gov.co/municipio/nuestro-municipio, [Internet]. Disponible en; Aghayan, S, Gevorgian, H, Ebi, D, Atoyan, H, Addy, F, Mackenstedt, U, Romig, T, Fasciola spp in Armenia: genetic diversity in a global context (2019) Vet Parasitol, 268, pp. 21-31; Andreyanov, O, Postevoy, A, Sidor, E., The effect of ambient temperature on biological properties and energy metabolism of Fasciola hepatica metacercariae (2021) Vet Parasitol, 299, p. 109576; Arbabi, M, Nezami, E, Hooshyar, H, Delavari, M., Epidemiology and economic loss of fasciolosis and dicrocoeliosis in Arak, Iran (2018) Vet World, 11, pp. 1648-1655. , 10.14202%2-Fvetworld.-2018.1648-1655; Arias-Pacheco, C, Lucas, J, Rodríguez, A, Córdoba, D, Lux-Hoppe, E., Economic impact of the liver condemnation of cattle infected with Fasciola hepatica in the Peruvian Andes (2020) Trop Anim Health Pro, 52, pp. 1927-1932; Atiq, M, Shakeed, U, Muhammad, M, Muhammad, U, Syed, S, Muhammad, K, Khalid, M, Prevalence of Fasciola hepatica infestation and pathological examination in sheep (Ovis aries) in Dera Ismail Khan (2020) Pure Appl Biol, 9, pp. 105-111; Becerra, W., Consideraciones sobre estrategias sostenibles para el control de Fasciola hepatica en Latinoamérica (2001) Rev Colomb Cienc Pec, 14, pp. 28-35; Bimirew, F, Cherinnat, T., Coprological examination of ovine fasciolosis in Horro district community based sheep breeding program, Horro Guduru Wollega Zone, Estern Ethiopia (2020) J Vet Health, 2, pp. 31-35; Botero, D, Restrepo, M., Conceptos generales sobre parasitología (2005) Parasitosis humanas, pp. 2-34. , En: 4 ed. Medellín, Colombia: Corporación para Investigaciones Biológicas; Campos, C, Añorga, H, Casana, W, Atac, K, Murrieta, A., Prevalencia de fascioliasis en ovinos y bovinos en la provincia de Pataz, La Libertad, Perú, mediante examen coproparasitológico y Western Blot (2018) Rev Inv Vet Perú, 29, pp. 1421-1429; Castro, N, Becerra, W., Foco de fasciolasis ovina en una hacienda en la vereda presidente, municipio de Chitagá, Norte de Santander, Colombia (2011) Bistua, 9, pp. 64-72; Celik, O, Celik, B., Investigation of the prevalence of Fasciola hepatica in small ruminants in the Siirt region, Turkey (2018) Iran J Parasitol, 13, pp. 627-631; Cuervo, P, Sidoti, L, Fantozzi, C, Neira, G, Gerbeno, L, Mera, R., Sierra, R., Fasciola hepatica infection and association with gastrointestinal parasites in creole goats from western Argentina (2013) Rev Bras Parasitol V, 22, pp. 53-57; Esteban-Andrés, D, González-Garduño, R, Garduza-Arias, G, Ojeda-Robertos, N, Reyes-Montes, F, Gutiérrez-Cruz, S., Desarrollo de resistencia a nematodos gastrointestinales en ovinos de pelo desafiados con diferentes niveles de infección (2013) Rev Med Vet Zoot, 60, pp. 169-181; Figueroa Castillo, JA, Jasso Villazul, C, Liébano Hernández, E, Martínez Labat, P, Rodríguez Vivas, RI, Zárate Ramos, JJ., Examen coproparsitoscópico (2015) Técnicas para el diagnóstico de parásitos con importancia en salud pública y veterinaria, pp. 78-120. , En: México: AMPAVE-CONASA; Getachew, G., Study on prevalence and associated risk factors of ovine fasciolosis in and around Nekemte Town, Oromia, Ethiopia (2021) Int J Vet Sci Med Diagn, 4, p. 1069; Howell, A, Williams, D., The epidemiology and control of liver flukes in cattle and sheep (2020) Vet Clin N Am-Food A, 36, pp. 109-123; (2019) Censo pecuario nacional, , https://www.ica.gov.co/areas/pecuaria/servicios/epidemiologia-veterinaria/censos-2016/censo-2018, [Internet]. Disponible en; Jara, C, Escalante, H, Cassana, W, Davelois, K, Benites, A., Prevalence of fascoliasis in sheep and cattle in the province of Pataz, La Libertad, Peru through coproparasitological tests and Western Blot (2018) Rev Inv Vet Perú, 29, pp. 1421-1429; Julon, D, Puicón, V, Chávez, A, Bardales, W, Gonzales, J, Vásquez, H, Maicelo, J., Prevalencia de Fasciola hepatica y parásitos gastrointestinales en bovinos de la RegiónAmazonas, Perú (2020) Rev Inv Vet Perú, 31, p. e17560; Khademvatan, S, Majidiani, H, Khalkhali, H, Taghipour, A, Asadi, N, Yousefi, E., Prevalence of fasciolosis in livestock and humans: a systematic review and meta-analysis in Iran (2019) Comp Immunol Microbiol Infect Dis, 65, pp. 116-123; Khanjaria, A, Bahonara, A, Fallaha, S, Bagheri, M, Alizadeh, A, Fallah, M, Khanjari, Z., Prevalence of fasciolosis and dicrocoeliosis in slaughtered sheep and goats in Amol abattoir, Mazandaran, northern Iran (2014) Asian Pac J Trop Dis, 4, pp. 120-124; Lalrinkima, H, Lalchandama, C, Jacob, S, Raina, O, Lallianchunga, M., Fasciolosis in India: an overview (2021) Exp Parasitol, 222, p. 108066; López-Villacís, I, Artieda-Rojas, J, Mera-Andrade, I, Muñoz-Espinosa, S, Rivera-Guerra, E, Cuadrado-Guevara, C, Zurita-Vásquez, H, Montero-Recalde, A., Fasciola hepatica aspectos relevantes en la salud animal (2017) J Selva Andina Anim Sci, 4, pp. 137-146; López Corrales, J, Cwiklinski, K, De Marco Verissimo, C, Dorey, A, Lalor, R, Jewhurst, H, McEvoy, A, Diagnosis of sheep fasciolosis caused by Fasciola hepatica using cathepsin L enzyme-linked immunosorbent assays (ELISA) (2021) Vet Parasitol, 298, p. 109517; Machado, M, Lopes, E, Duarte de Morais, J, Schmidt, V., Doenças parasitárias em ovinos no Rio Grande do Sul (2021) Braz J Anim Environ Res, 4, pp. 2275-2283; Martínez-Valladares, M, Robles-Pérez, D, Martínez-Pérez, J, Cordero-Peréz, C, Famularo, M, Fernández-Pato, N, González-Lanza, C, Castañón-Ordóñez, L, Prevalence of gastrointestinal nematodes and Fasciola hepatica in sheep in the northwest of Spain: relation to climatic conditions and/ or man-made environmental modifications (2013) Parasite Vector, 6, p. 282; Mas-Coma, S, Bargues, M, Valero, M., Human fascioliasis infection sources, their diversity, incidence factors, analytical methods and prevention measures (2018) Parasitology, 145, pp. 1665-1699; Mehmood, K, Zhang, H, Sabir, A, Abbas, R, Ijaz, M, Durrani, A, Saleem, M, A review on epidemiology, global prevalence and economical losses of fasciolosis in ruminants (2017) Microb Pathog, 109, pp. 253-262; Moazeni, M, Ahmadi, A., Controversial aspects of the life cycle of Fasciola hepatica (2016) Exp Parasitol, 169, pp. 81-89; Montero, A, Rodríguez, I, Veirano, G, Geldhof, P, Rendón, D., Prevalencia y carga parasitaria mensual de nematodos gastrointestinales y Fasciola hepatica en bovinos lecheros de dos distritos del Valle del Mantaro, Junín, Perú (2020) Rev Inv Vet Perú, 31, p. e17819; Munguía-Xóchihua, J, Ibarra-Velarde, F, Ducoing-Watty, A, Montenegro-Cristino, N, Quiroz-Romero, H., Prevalence of Fasciola hepatica (ELISA and fecal analysis) in ruminants from a semi-desert area in the northwest of Mexico (2007) Parasitol Res, 101, pp. 127-130; Mustafa, A, Ozlem, B, Cenk, B, Gokmen, P, Ali, Sinasi U., Serologic detection of antibodies against Fasciola hepatica in sheep in the middle Black Sea region of Turkey (2017) J Microbiol Immunol, 50, pp. 377-381; Odeniran, PO, Omolabi, KF, Ademola, IO., Economic impact assessment of small ruminant fasciolosis in Nigeria using pooled prevalence obtained from literature and field epidemiological data (2021) Vet Parasitol Reg Stud Reports, 24, p. 100548; Ouchene-Khelifi, N, Ouchene, N, Dahmani, H, Dahmani, A, Sadi, M, Douifi, M., Fasciolosis due to Fasciola hepatica in ruminants in abattoirs and its economic impact in two regions in Algeria (2018) Trop Biomed, 35, pp. 181-187; Pereira, A, Uribe, N, Pointer, J., Lymnaeidae from Santander and bordering departments of Colombia: Morphological characterization, molecular identification and natural infection with Fasciola hepatica (2020) Vet Parasitol Reg Stud Reports, 20, p. 100408; Pérez-Creo, A, Díaz, P, López, C, Béjar, J, Martínez-Sernández, V, Panadero, R, Díez-Baños, P, Fasciola hepatica in goats from north-western Spain: risk factor analysis using a capture ELISA (2016) Vet J, 208, pp. 104-105; Pinilla, J, Muñoza, A, Delgado, N., Prevalence and risk factors associated with liver fluke Fasciola hepatica in cattle and sheep in three municipalities in the Colombian Northeastern Mountains (2020) Vet Parasitol Reg Stud Reports, 16, p. 100364; Pulido-Medellín, M, Chavarro-Tulcán, I, Díaz-Anaya, A., Prevalence and risk factors of gastrointestinal parasites in sheep from Ubaté, Cundinamarca, Colombia (2020) Braz J Vet Pathol, 42, p. e098819; Pulido-Medellín, M, García-Corredor, D, Díaz-Anaya, A, Andrade-Becerra, R., Pesquisa de parásitos gastrointestinales en pequeñas explotaciones ovinas del municipio de Toca, Colombia (2014) Rev Salud Anim, 36, pp. 65-69; Rahman, A, Islam, S, Talukder, M, Hassan, M, Dhand, N, Ward, M., Fascioliasis risk factors and space-time clusters in domestic ruminants in Bangladesh (2017) Parasite Vector, 10, p. 3011; Ramesh, S, Ram, S., Prevalence of fascioliasis in goat in Sunsari district, Nepal (2019) IOSR J Agric Vet Sci, 1, pp. 9-15; Rashid, M, Rashid, M, Akbar, H, Ahmad, L, Hassan, M, Ashraf, K, Saeed, K, Gharbi, M., Systematic review on modelling approaches for economic losses studies caused by parasites and their associated diseases in cattle (2019) Parasitology, 146, pp. 129-141; Roldán, C, Begovoeva, M, López-Olvera, J, Velarde, R, Cabezón, O, Min, A, Pizzato, F, Pasquetti, M, Endemic occurrence of Fasciola hepatica in an alpine ecosystem, Pyrenees, Northeastern Spain (2020) Transbound Emerg Dis, 68, pp. 2589-2594; Ruhoollah Khan, W, Al-jabr, O, Khan, T, Khan, A, El-Ghareeb, W, Aguilar-Marcelino, L, Hussein, E, Prevalência de parasita gastrointestinal em pequenos ruminantes do distrito Upper Dir, da província de Khyber Pakhtunkhwa, no Paquistão (2021) Braz J Biol, 83, p. e248978; Shahzad, W, Mehmood, K, Munir, R, Aslam, W, Ijaz, M, Ahmad, R, Khan, M, Prevalence and molecular diagnosis of Fasciola hepatica in sheep and goats in different districts of Punjab (2012) Pak Vet J, 32, pp. 535-538; Sierra, C, Portillo, J, Tafur, G, Martínez-Rodríguez, L., Incidencia de fasciolosis ovina y caprina en el norte del Cesar y sur de La Guajira (2018) REDVET, 19 (3). , http://repositorio.udes.edu.co/handle/001/3318, [Internet]. Disponible en; Takang, M, LeBreton, M, Ayuk, C, MacLeod, E., A socio-economic study of Fasciola infections in cattle and sheep at the Etoudi slaughterhouse, Yaoundé, Cameroon (2019) J Helminthol, 94, p. E92; Tasawar, Z, Minir, U, Hayat, S, Lashari, M., The prevalence of Fasciola hepatica in goats around multan (2007) Pak Vet J, 27, pp. 5-7; Ticona, S, Chávez, A, Casas, V, Alfonso, C, Li, E., Prevalencia de Fasciola hepatica en bovinos y ovinos de Vilcashuamán, Ayacucho (2010) Rev Inv Vet Perú, 21, pp. 168-174; Tikyaa, G, Oke, P, Ikpa, T, Imandeh, G., (2019) The effect of water sources, nutritional qualities and management; 33(4): e23340 systems on the prevalence of gastrointestinal helminth infections in ruminants in Benue State, Nigeria (2022) J Agr Sci, 18, pp. 26-31. , Rev Inv Vet Perú; Vázquez, A, Sabourin, E, Alda, P, Leroy, C, Carron, E, Mulero, E, Caty, C, Genetic diversity and relationships of the liver fluke Fasciola hepatica (Trematoda) with native and introduced definitive and intermediate hosts (2020) Transbound Emerg Dis, 68, pp. 2274-2286; Villa-Mancera, A, Reynoso-Palomar, A., High prevalence, potential economic impact, and risk factors of Fasciola hepatica in dairy herds in tropical, dry and temperate climate regions in Mexico (2019) Acta Trop, 193, pp. 169-175; Yang, Y, Li, M, Pan, C, Yang, Y, Chen, X, Yao, C, Du, A., A duplex PCR for the simultaneous detection of Fasciola hepatica and Clonorchis sinensis (2018) Vet Parasitol, 259, pp. 1-5; Zafar, A, Khan, M, Sindhu, Z, Abbas, R, Masood, S, Abbas, Z, Mahmood, M, Seroprevalence of Fasciola hepatica in small ruminants of District Chakwal, Punjab, Pakistan (2019) Pak Vet J, 39, pp. 96-100</t>
  </si>
  <si>
    <t>Bulla-Castañeda, D.M.; Grupo de Investigación en Medicina Veterinaria y Zootecnia – GIDIMEVETZ, Colombia; email: diana.bulla@uptc.edu.co</t>
  </si>
  <si>
    <t>Universidad Nacional Mayor de San Marcos</t>
  </si>
  <si>
    <t>Rev. Investi. Vet. Peru</t>
  </si>
  <si>
    <t>2-s2.0-85140612477</t>
  </si>
  <si>
    <t>Rodriguez A.L., Alba J.E., Juajibioy J.C.</t>
  </si>
  <si>
    <t>57942470000;57941382800;56263625500;</t>
  </si>
  <si>
    <t>SCALING PROPERTY OF THE GLIMM FUNCTIONAL</t>
  </si>
  <si>
    <t>International Journal of Applied Mathematics</t>
  </si>
  <si>
    <t>10.12732/ijam.v35i4.5</t>
  </si>
  <si>
    <t>https://www.scopus.com/inward/record.uri?eid=2-s2.0-85140611741&amp;doi=10.12732%2fijam.v35i4.5&amp;partnerID=40&amp;md5=ef774a569fb401d6d01aabb8e65edb9b</t>
  </si>
  <si>
    <t>School Of Mathematics And Statistics, Universidad Pedagogica Y Tecnologica De Colombia, North Central Avenue 39-115, Tunja,Boyaca, 150003, Colombia</t>
  </si>
  <si>
    <t>Rodriguez, A.L., School Of Mathematics And Statistics, Universidad Pedagogica Y Tecnologica De Colombia, North Central Avenue 39-115, Tunja,Boyaca, 150003, Colombia; Alba, J.E., School Of Mathematics And Statistics, Universidad Pedagogica Y Tecnologica De Colombia, North Central Avenue 39-115, Tunja,Boyaca, 150003, Colombia; Juajibioy, J.C., School Of Mathematics And Statistics, Universidad Pedagogica Y Tecnologica De Colombia, North Central Avenue 39-115, Tunja,Boyaca, 150003, Colombia</t>
  </si>
  <si>
    <t>In this paper we study a new property for the Glimm potential introduced by L. Caravenna [3]. This new property enable us to study scalar conservation laws with a particular source term called linear damping. By the operator splitting method joined with the polygonal approximation method introduced by C. Dafermos [4] we shown the well-posedness of the Cauchy problem for scalar conservation laws with linear damping and finally we show that the solution exponentially decays. © 2022 Academic Publications</t>
  </si>
  <si>
    <t>Glimm functional; Linear damping; Poligonal approximation; Splitting</t>
  </si>
  <si>
    <t>Amadori, D., Guerra, G., Global BV solutions and relaxation limit for a system of conservation laws (2001) Proc. of the Royal Society of Edinburgh, Sect. A: Mathematics, 131 (1), pp. 1-26. , [1]; Caravenna, L., (2005) Master’s Thesis, Universita degli Studi di Trieste Facolta di Scienze Matematiche Fisiche e Naturalil, , [2] Corso di Laurea Magistrale in Matematica; Caravenna, L., An entropy based Glimm-type functional (2008) J. of Hyperbolic Differential Equations, 5 (3). , [3]; Dafermos, C.M., Polygonal approximations of solutions of the initial value problem for a conservation law (1972) J. Math. Anal. and Appl, 38 (1), pp. 33-41. , [4]; Goatin, P., Laurent-Brouty, N., The zero relaxation limit for the Aw–Rascle–Zhang traffic flow model (2019) Zeitschrift für angew. Math. und Phys, 70 (1), p. 31. , [5]; Modena, S.A., Forward-in-time” quadratic potential for systems of conservation laws (2017) Nonlinear Diff. Equations and Appl. NoDEA, 24 (5), pp. 1-23. , [6]</t>
  </si>
  <si>
    <t>Academic Publications Ltd.</t>
  </si>
  <si>
    <t>Int. J. Appl. Math.</t>
  </si>
  <si>
    <t>2-s2.0-85140611741</t>
  </si>
  <si>
    <t>Tarazona-Manrique L.E., Salamanca-Acuña E.E., Andrade-Becerra R.J., Vargas-Abella J.C.</t>
  </si>
  <si>
    <t>57219535130;57941764100;56242204600;57190740941;</t>
  </si>
  <si>
    <t>Determination of risk factors related to the prevalence of subclinical mastitis in dairy goats in Boyacá, Colombia [Determinación de los factores de riesgo relacionados con prevalencia de mastitis subclínica en cabras lecheras en Boyacá-Colombia]</t>
  </si>
  <si>
    <t>e2774</t>
  </si>
  <si>
    <t>10.21897/rmvz.2774</t>
  </si>
  <si>
    <t>https://www.scopus.com/inward/record.uri?eid=2-s2.0-85140590452&amp;doi=10.21897%2frmvz.2774&amp;partnerID=40&amp;md5=67a31e58bff3d02b40b02464a078cb0f</t>
  </si>
  <si>
    <t>Laboratorio de microbiología veterinaria, Boyacá, Colombia</t>
  </si>
  <si>
    <t>Tarazona-Manrique, L.E., Laboratorio de microbiología veterinaria, Boyacá, Colombia; Salamanca-Acuña, E.E., Laboratorio de microbiología veterinaria, Boyacá, Colombia; Andrade-Becerra, R.J., Laboratorio de microbiología veterinaria, Boyacá, Colombia; Vargas-Abella, J.C., Laboratorio de microbiología veterinaria, Boyacá, Colombia</t>
  </si>
  <si>
    <t>Objective. Determine the prevalence of subclinical mastitis and the main risk factors associated with its presentation in the goat production systems of the municipality of Boavita. Materials and methods. A cross-sectional study was carried out between the months of March to July 2021 in 15 farms in the municipality. 256 lactating goats without the presence of clinical mastitis in any of the udder halves were included, a milk sample was taken prior to milking, and it was transported in refrigeration until arrival at the laboratory for evaluation through CMT. The risk factors determined were subjected to univariate and multivariate statistical analysis using the Statgraphics Centurion X statistical program. Results. The general prevalence of subclinical mastitis was 26.56% and the main associated risk factors were: more than three years, number of births greater than five, days in milk production, absence of disinfection processes prior to milking, poor body condition and presence of lesions on the nipples. Conclusions. For the first time in the country, the prevalence and the main risk factors associated with it were determined in dairy goat herds located in the municipality of Boavita, Boyacá © El (los) autor (es) 2022. Este artículo se distribuye bajo los términos de la licencia internacional Creative Commons Attribution 4.0 (https://creativecommons.org/licenses/by-nc-sa/4.0/), que permite a otros distribuir, remezclar, retocar, y crear a partir de su obra de modo no comercial, siempre y cuando den crédito y licencien sus nuevas creaciones bajo las mismas condiciones</t>
  </si>
  <si>
    <t>Inflammation; Lactation; Mammary gland; Risk; Ruminant</t>
  </si>
  <si>
    <t>Park, Y., Goat Milk: Composition, Characteristics (2010) Encyclopedia of Animal Science, , 1 Pond, W.G. and N. Bell (Eds). Taylor and Francis, CRC Press; Boca Raton, FL., USA; Arora, R, Bhojak, N, Joshi, R., Comparative aspects of Goat and Cow milk (2013) Int J Eng Sci Inv, 2, pp. 7-10. , http://www.ijesi.org/papers/Vol(2)1/B210710.pdf, 2; Kumar, R, Kumar, D, Kumar, B, Singh, S, Sharma, S, Kumar, A, Kumar, S., Prevalence, current antibiogram and risk factors associated with mastitis in dairy goats in Punjab (2016) Int J Sci Env Tech, 5 (6), pp. 4580-4593. , https://www.ijset.net/journal/1493.pdf, 3; Islam, M, Samad, M, Anisur, A., Bacterial pathogens and risk factors associated with mastitis in black bengal goats in bangladesh (2011) Bangl J Vet Med, 9 (2), pp. 155-159. , https://www.banglajol.info/index.php/BJVM/article/view/13458/9693, 4; Ribeiro, A, Ribeiro, S., Specialty products made from goat milk (2010) Small Rum Res, 89, pp. 225-233. , https://doi.org/10.1016/j.smallrumres.2009.12.048, 5; Megersa, B, Tdesse, C, Abunna, F, Regasa, A, Mekibib, B, Debela, E., Occurrence of mastitis and associated risk factors in lactating goats under pastoral management in Borana, Southern Ethiopia (2010) Trop Anim Health Prod, 42, pp. 1249-1255. , https://doi.org/10.1007/s11250-010-9557-7, 6; Tarazona, L, Andrade, R, Vargas, J., Physicochemical characteristics of raw milk in sheep of Boyacá, Colombia (2020) Rev Vet, 1 (2), pp. 126-130. , https://revistas.unne.edu.ar/index.php/vet/article/download/4730/4430, 7; Andrade, R, Pulido, M, Rodríguez, C., (2012) Sanidad de ubre, calidad de leche, , 8. 1a ed. Universidad Pedagógica y Tecnológica de Colombia: Tunja, Colombia; Andrade, R, Vargas, J, Caro, Z., (2018) Importancia del conteo de células somáticas en la calidad de la leche de vaca, , https://editorial.uptc.edu.co/gpd-importancia-del-conteo-de-celulas-somaticas-en-la-calidad-de-la-leche-de-vaca-9789586602761.html, 9. 1a ed. Universidad Pedagógica y Tecnológica de Colombia: Tunja, Colombia; Tarazona, L, Andrade, R, Villate, J., Bacterial and fungal infectious etiology causing mastitis in dairy cows in the highlands of Boyacá (Colombia) (2019) Rev Med Vet Zoot, 66 (3), pp. 208-218. , https://doi.org/10.15446/rfmvz.v66n3.84258, 10; Contreras, A, Sierra, D, Sanchez, A, Corrales, J, Marco, J, Paape, M, Gonzalo, C., Mastitis in small ruminants (2007) Small Rum Res, 68, pp. 145-153. , https://pubag.nal.usda.gov/download/10816/pdf, 11; Persson, Y, Olofsson, I., Direct and indirect measurement of somatic cell count as indicator of intramammary infection in dairy goats (2011) Acta Vet Scand, 53, p. 1520. , https://doi.org/10.1186/1751-0147-53-15, 12; Petlane, M, Noor, R, Maheswari, R., Relationship between Somatic Cell Counts, Mastitis and Milk Quality in Ettawah Grade and PESA Goats Walailak (2013) J Sci &amp; Tech, 10 (6), pp. 607-613. , https://wjst.wu.ac.th/index.php/wjst/article/view/492, 13; Podhorecká, K, Borková, M, Sulc, M, Seydlová, R, Dragou no vá, H, Svejcarová, M, Peroutková, J, Elich, O., Somatic Cell Count in Goat Milk: An Indirect Quality Indicator (2021) Foods, 10, p. 1046. , https://doi.org/10.3390/foods10051046, 14; (2022) Censo Nacional Equinos-Caprinos-Ovinos 2022, , https://www.ica.gov.co/areas/pecuaria/servicios/epidemiologia-veterinaria/censos-2016/censo-2018/censos-otras-especies-2022-1.aspx, 15. ICA. Instituto Colombiano Agropecuario: Bogotá, Colombia; (2021) Alcaldía de Boavita, , http://www.boavita-boyaca.gov.co/, 16. Bogotá. Gobierno de Colombia. [Internet]; Marogna, G, Pilo, C, Vidili, A, Tola, S, Schianchi, G, Leori, S., Comparison of clinical findings, microbiological results, and farming parameters in goat herds affected by recurrent infectious mastitis (2012) Small Rum Res, 102, pp. 74-83. , https://doi.org/10.1016/j.smallrumres.2011.08.013, 17; Mahlangu, P, Maina, N, Kagira, J., Prevalence, Risk Factors, and Antibiogram of Bacteria Isolated from Milk of Goats with Subclinical Mastitis in Thika East Subcounty, Kenya (2018) Hindawi J Vet Med, p. 3801479. , https://doi.org/10.1155/2018/3801479, 18; Ghosh, A, Datta, S, Mandal, D, Das, A, Roy, D, Tudu, N., Body condition scoring in goat: Impact and significance (2019) J Ent Zool Stud, 7 (2), pp. 554-560. , https://www.entomoljournal.com/archives/2019/vol7issue2/PartJ/7-2-62-202.pdf, 19; Vieira, A, Brandão, S, Monteiro, A, Ajuda, I, Stilwell, G., Development and validation of a visual body condition scoring system for dairy goats with picture-based training (2015) J Dairy Sci, 98, pp. 6597-6608. , https://doi.org/10.3168/jds.2015-9428, 20; Taufik, E, Hildebrandt, G, Kleer, J, Wirjantoro, T, Kreausukon, K, Pasaribu, F., Contamination Level of Staphylococcus spp. in Raw Goat Milk and Associated Risk Factors (2008) Media Peternakan, 31 (3), p. 155165. , https://journal.ipb.ac.id/index.php/mediapeternakan/article/view/1054, 21; Wakwoya, A, Molla, B, Belihu, K, Kleer, J, Hildebrandt, G., A Cross-sectional Study on Prevalence, Antimicrobial Susceptibility Pattern and Associated Bacterial Pathogens of Goat Mastitis (2006) Intern J Appl Res Vet Med, 4, pp. 169-176. , http://www.jarvm.com/articles/Vol4Iss2/Molla.pdf, 22; Bazan, R, Cervantes, E, Salas, G, Segura, J., Prevalencia de mastitis subclínica en cabras lecheras en Michoacán, México (2009) Rev Cient, 19 (4), pp. 334-338. , http://ve.scielo.org/scielo.php?pid=S0798-22592009000400003&amp;script=sciabstract, 23; García, A, Rivero, J, Gonzáles, P, Valero-Leal, K, Izquierdo, P, García, A, Colmenares, C., Calidad bacteriológica de la leche cruda de cabra producida en la parroquia Faría, municipio Miranda, estado Zulia, Venezuela (2009) Rev Fac Agron, 26 (1), pp. 59-77. , http://ve.scielo.org/scielo.php?pid=S0378-78182009000100004&amp;script=sciabstract, 24; Gazzola, A, Minozzi, G, Biffani, S, Mattiello, S, Bailo, G, Piccinini, R., Effect of Weeping Teats on Intramammary Infection and Somatic Cell Score in Dairy Goats (2021) Front Vet Sci, 8, p. 622063. , https://doi.org/10.3389/fvets.2021.622063, 25; Kucevic, D, Pihler, I, Plavsic, M, Vukovic, T., The composition of goat milk in different types of farmings (2016) Biotech An Husb, 32 (4), pp. 403-412. , https://doi.org/10.2298/BAH1604403K, 26; Pereira, C, Marques, L, Ferreria, J, Almeida, V, do Nascimento, E., Mastite por contagem de células somáticas e isolamento bacteriano em cabras negativas para Staphylococcus aureus (2016) Rev Bras Med Vet, 38 (1), pp. 99-104. , https://rbmv.org/BJVM/article/download/254/172/562, 27; Souza, F, Blagitz, M, Penna, C, Della Libera, A, Heinemann, M, Cerqueira, M., Somatic cell count in small ruminants: Friend or foe? (2012) Small Rum Res, 107, pp. 65-75. , https://doi.org/10.1016/j.smallrumres.2012.04.005, 28</t>
  </si>
  <si>
    <t>Tarazona-Manrique, L.E.; Laboratorio de microbiología veterinariaColombia; email: Luis.tarazona01@uptc.edu.co</t>
  </si>
  <si>
    <t>2-s2.0-85140590452</t>
  </si>
  <si>
    <t>Osuna F.J., Chaparro J.R., Pavon E., Alba M.D.</t>
  </si>
  <si>
    <t>56022092200;57936087900;14034550500;54981240100;</t>
  </si>
  <si>
    <t>Ceramics International</t>
  </si>
  <si>
    <t>https://www.scopus.com/inward/record.uri?eid=2-s2.0-85140312097&amp;doi=10.1016%2fj.ceramint.2022.10.046&amp;partnerID=40&amp;md5=8a2806de9591207b61506ea865f0386d</t>
  </si>
  <si>
    <t>Instituto Ciencia de los Materiales de Sevilla (CSIC-US), Avda. Américo Vespucio, 49, Sevilla, 41092, Spain; Universidad Pedagógica y Tecnológica de Colombia - Uptc, Avenida central del norte 39-115, Boyacá, Colombia; Departamento de Física de la Materia Condensada. Universidad de Sevilla, Avda. Reina Mercedes s/n, Sevilla, 41012, Spain</t>
  </si>
  <si>
    <t>Osuna, F.J., Instituto Ciencia de los Materiales de Sevilla (CSIC-US), Avda. Américo Vespucio, 49, Sevilla, 41092, Spain; Chaparro, J.R., Instituto Ciencia de los Materiales de Sevilla (CSIC-US), Avda. Américo Vespucio, 49, Sevilla, 41092, Spain, Universidad Pedagógica y Tecnológica de Colombia - Uptc, Avenida central del norte 39-115, Boyacá, Colombia; Pavon, E., Instituto Ciencia de los Materiales de Sevilla (CSIC-US), Avda. Américo Vespucio, 49, Sevilla, 41092, Spain, Departamento de Física de la Materia Condensada. Universidad de Sevilla, Avda. Reina Mercedes s/n, Sevilla, 41012, Spain; Alba, M.D., Instituto Ciencia de los Materiales de Sevilla (CSIC-US), Avda. Américo Vespucio, 49, Sevilla, 41092, Spain</t>
  </si>
  <si>
    <t>Clay minerals are ceramics materials that are involved in a wide range of economic uses. But, their structure and composition are modified by heating and, consequently, compromise their final applications. The actual temperatures at which changes occur vary greatly from one group to another group and even for different specimens within a given group. The aim of this research has been to evaluate the thermal behaviour of a set of design swelling micas, Na-Mica-n (Mn) and compare them with a set of natural smectites. All samples were heated in the range 200 °C to 1000 °C; afterwards, they were rehydrated thorough water suspension (0.4% wt). The results have shown that swelling micas have better property of hydration/dehydration than natural clay minerals and those with higher layer charge exhibited higher rehydration ability and dehydration temperature. © 2022 Elsevier Ltd and Techna Group S.r.l.</t>
  </si>
  <si>
    <t>Brittle micas; Ceramics; Dehydration/rehydration; Swelling; Thermal stability</t>
  </si>
  <si>
    <t>Clay; Clay minerals; Dehydration; Swelling; Actual temperature; Brittle mica; Ceramic; Comparison study; Dehydration-rehydration; Economic use; Highest temperature; Smectites; Swelling micas; Thermal behaviours; Mica</t>
  </si>
  <si>
    <t>call 860/2019; Universidad de Sevilla; Ministerio de Ciencia, Tecnología e Innovación Productiva, MINCyT; Junta de Andalucía: P12-FQM-567</t>
  </si>
  <si>
    <t>F.J. Osuna thanks his grant to the training researcher program associated with the excellence project of Junta de Andalucía ( P12-FQM-567 ). Dr. Pavón thanks University of Seville for the financial support of her current contract from VI PPIT-US program. Dr. Chaparro thanks to Ministerio de Ciencia Tecnología e Innovación - MINCIENCIAS, Colombia for a grant (call 860/2019 ).</t>
  </si>
  <si>
    <t>Murray, H.H., Overview - clay mineral applications (1991) Appl. Clay Sci., 5, pp. 379-395; Bergaya, F., Lagaly, G., Handbook of Clay Science (2013), second ed. Elsevier Amsterdam; Sellin, P., Leupin, O.X., The use of clay as an engineered barrier in radioactive-waste management - a review (2014) Clay Clay Miner., 61; Busch, A., Alles, S., Gensterblum, Y., Prinz, D., Dewhurst, D.N., Raven, M.D., Stanjek, H., Krooss, B.M., Carbon dioxide storage potential of shales (2008) Int. J. Greenh. Gas Control, 2; Giesting, P., Guggenheim, S., Koster van Groos, A.F., Busch, A., Interaction of carbon dioxide with Na-exchanged montmorillonite at pressures to 640bars: implications for CO2 sequestration (2012) Int. J. Greenh. Gas Control, 8; Romanov, V.N., Evidence of irreversible CO2 intercalation in montmorillonite (2013) Int. J. Greenh. Gas Control, 14; Javadpour, F., Fisher, D., Unsworth, M., Nanoscale gas flow in shale gas sediments (2007) J. Can. Pet. Technol., 46; Ross, D.J.K., Marc Bustin, R., The importance of shale composition and pore structure upon gas storage potential of shale gas reservoirs (2009) Mar. Petrol. Geol., 26; Balde, M.Y., Njiomou Djangang, C., Bah, A., Blanchart, P., Njopwouo, D., Effect of physicochemical characteristics on the use of clays from Kindia (Guinea) in ceramic compositions (2020) Int. J. Appl. Ceram. Technol., pp. 1-10; Bergaya, F., Theng, B.K.G., Lagaly, G., Handbook of Clay Science (2006), Elsevier; Wang, L., Zhou, H., Li, J., Fan, T., Wang, E., From ambient hydration/dehydration to non-ambient thermal phase transition of natural Na-montmorillonite, an in-situ x- ray diffraction approach (2012) Mica Prop. Synth. Ansd Appl, pp. 39-58. , Nova Science Publishers, Inc; Bhattacherjee, S., Jain, S., Santhanam, M., A method to increase the workability retention of concrete with limestone calcined clay based cementitious system using a dispersing agent containing sodium hexametaphosphate (2022) Cem. Concr. Compos., 132; Luzu, B., Trauchessec, R., Lecomte, A., Packing density of limestone calcined clay binder (2022) Powder Technol., 408; Zhang, Z., Heath, A., Valsaraj, K.T., Ebert, W.L., Yao, T., Lian, J., Wang, J., Mechanism of iodine release from iodoapatite in aqueous solution (2018) RSC Adv., 8, pp. 3951-3957; Wang, S., Guo, S., Gao, X., Zhang, P., Li, G., Effects of cement content and soil texture on strength, hydraulic, and microstructural characteristics of cement-stabilized composite soils (2022) Bull. Eng. Geol. Environ., 81, p. 264; Gencel, O., Bilir, T., Bademler, Z., Ozbakkaloglu, T., A detailed review on foam concrete composites: ingredients, properties, and microstructure (2022) Appl. Sci., 12, p. 5752; Cao, Y., Wang, Y., Zhang, Z., Wang, H., Recycled sand from sandstone waste: a new source of high-quality fine aggregate (2022) Resour. Conserv. Recycl., 179; Li, R., Schmid, M., Sui, T., Plank, J., Influence of calcined clays on workability of low carbon composite cements (2022) Lect. Notes Civ. Eng., 203, pp. 677-685; Park, T.J., Seoung, D., Thermal behavior of groundwater-saturated Korean buffer under the elevated temperature conditions: in-situ synchrotron X-ray powder diffraction study for the montmorillonite in Korean bentonite (2021) Nucl. Eng. Technol., 53, pp. 1511-1518; Ewing, R.C., Long-term storage of spent nuclear fuel (2015) Nat. Mater., 14, pp. 252-257; Characterization of Swelling Clays as Components of the Engineered Barrier System for Geological Repositories (2013), https://www-pub.iaea.org/MTCD/Publications/PDF/TE-1718_web.pdf, July 29, 2022; Ravella, R., Komarneni, S., Martinez, C.E., Highly charged swelling mica-type clays for selective Cu exchange (Environmental Science and Technology (2008) 42, (113-118 (2008) Environ. Sci. Technol., 42, p. 8613; Komarneni, S., Ravella, R., Novel clays: solid-state synthesis, characterization and cation exchange selectivity (2008) Curr. Appl. Phys., 8, pp. 104-106; Martín-Rodríguez, R., Aguado, F., Alba, M.D., Valiente, R., Perdigón, A.C., Eu 3+ luminescence in high charge mica: an in situ probe for the encapsulation of radioactive waste in geological repositories (2019) ACS Appl. Mater. Interfaces, 11; Osuna, F.J., Cota, A., Pavón, E., Carolina Pazos, M., Alba, M.D., Cesium adsorption isotherm on swelling high-charged micas from aqueous solutions: effect of temperature (2018) Am. Mineral., 103; Osuna, F.J., Cota, A., Pavón, E., Pazos, M.C., Alba, M.D., Cs+ immobilization by designed micaceous adsorbent under subcritical conditions (2017) Appl. Clay Sci., 143, pp. 293-299; Alba, M.D., Castro, M.A., Naranjo, M., Pavón, E., Hydrothermal reactivity of Na-n-micas (n = 2, 3, 4) (2006) Chem. Mater., 18, pp. 2867-2872; Naranjo, M., Castro, M.A.M.A., Cota, A., Osuna, F.J.F.J., Pavón, E., Alba, M.D.M.D., Synthesis temperature effect on Na-Mica-4 crystallinity and heteroatom distribution (2015) Microporous Mesoporous Mater., 204, pp. 282-288; https://www.clays.org/sourceclays_data/, (n.d.); Kimura, H., Sakurai, M., Sugiyama, T., Tsuchida, A., Okubo, T., Masuko, T., Dispersion state and rheology of hectorite particles in water over a broad range of salt and particle concentrations (2011) Rheol. Acta, 50, pp. 159-168; Wallace, J.F., Rutherford, C.J., Geotechnical properties of LAPONITE RD (2015) Geotech. Test J., 38, pp. 574-587; Becher, T.B., Braga, C.B., Bertuzzi, D.L., Ramos, M.D., Hassan, A., Crespilho, F.N., Ornelas, C., The structure-property relationship in LAPONITE® materials: from Wigner glasses to strong self-healing hydrogels formed by non-covalent interactions (2019) Soft Matter, 15, pp. 1278-1289; Massiot, D., Fayon, F., Lapron, M., King, I., Le Calve, S., Alonso, B., Durand, J.O., Hoatson, G., Modelling one- and two-dimensional solid-state NMR spectra (2002) Magn. Reson. Chem., 40, pp. 70-76; Derkowski, A., Drits, V.A., McCarty, D.K., Nature of rehydroxylation in dioctahedral 2:1 layer clay minerals (2012) Am. Mineral., 97, pp. 610-629; Pavón, E., Castro, M.A., Naranjo, M., Orta, M.M., Pazos, M.C., Alba, M.D., Hydration properties of synthetic high-charge micas saturated with different cations: an experimental approach (2013) Am. Mineral., 98, pp. 394-400; Pavón, E., Alba, M.D., Castro, M.A., Cota, A., Osuna, F.J., Pazos, M.C., Effect of the crystal chemistry on the hydration mechanism of swelling micas (2017) Geochem. Cosmochim. Acta, 217; Ma, L., Su, X., Xi, Y., Wei, J., Liang, X., Zhu, J., He, H., The structural change of vermiculite during dehydration processes: a real-time in-situ XRD method (2019) Appl. Clay Sci., 183; Alba, M.D., Becerro, A.I., Castro, M.A., Perdigon, A.C., Hydrothermal reactivity of Lu-saturated smectites: Part I. A long-range order study (2001) Am. Mineral., 86, pp. 115-123; Liebau, F., Structural Chemistry of Silicates (1985), Springer- Verlag Berlin; Sanz, J., Serratosa, J.M., Si-29 and Al-27 high-resolution MAS-NMR spectra of phyllosilicates (1984) J. Am. Chem. Soc., 106, pp. 4790-4793; Mantovani, M., Escudero, A., Alba, M.D., Becerro, A.I., Stability of phyllosilicates in Ca(OH)2 solution: influence of layer nature, octahedral occupation, presence of tetrahedral Al and degree of crystallinity (2009) Appl. Geochem., 24, pp. 1251-1260; Kirkpatrick, R.J., Kinsey, R.A., Smith, K.A., Henderson, D.M., Oldfield, E., High-resolution solid-state Na-23, Al-27, and Si-29 nuclear magnetic-resonance spectroscopic reconnaissance of alkali and plagioclase feldspars-All Databases (1985) Am. Mineral., 50, pp. 1-15. , https://www.webofscience.com/wos/alldb/full-record/WOS:A1985ACH2300010, (Accessed 23 December 2021); Laperche, V., Lambert, J.F., Prost, R., Fripiat, J.J., High-resolution solid-state NMR of exchangeable cations in the interlayer surface of a swelling mica: 23Na, 111Cd, and 133Cs vermiculites (1990) J. Phys. Chem., 94, pp. 8821-8831; Bryce, D.L., Adiga, S., Elliott, E.K., Gokel, G.W., Solid-state 23Na NMR study of sodium lariat ether receptors exhibiting cation - π interactions (2006) J. Phys. Chem., 110, pp. 13568-13577; Weiss, C.A., Altaner, S.P., Kirkpatrick, R.J., High-resolution 29 Si NMR spectroscopy of 2:1 layer silicates; correlations among chemical shift, structural distortions, and chemical variations | American Mineralogist | GeoScienceWorld (1987) Am. Mineral., 72, pp. 935-942. , https://pubs.geoscienceworld.org/msa/ammin/article-abstract/72/9-10/935/42010/High-resolution-29-Si-NMR-spectroscopy-of-2-1?redirectedFrom=fulltext, (Accessed 23 December 2021); Engelhardt, G., Michel, D., High Resolution Solid State NMR of Silicates and Zeolites (1987), John Wiley and Sons New York; Goñi, S., Puertas, F., Hernández, M.S., Palacios, M., Guerrero, A., Dolado, J.S., Zanga, B., Baroni, F., Quantitative study of hydration of C3S and C2S by thermal analysis : evolution and composition of C-S-H gels formed (2010) J. Therm. Anal. Calorim., 102, pp. 965-973; Smith, K.A., Kirkpatrick, R.J., Oldfield, E., Henderson, D.M., High-resolution silicon-29 nuclear magnetic resonance spectroscopic study of rock-forming silicates (1983) Am. Mineral., 68, pp. 1206-1215; Mackenzie, H.J.D., Smith, M.E., Multinuclear Solid-State NMR of Inorganic Materials (2002), Pergamon Materials Series Amsterdam; Zeng, Z., Matuschek, D., Studer, A., Schwickert, C., Pöttgen, R., Eckert, H., Synthesis and characterization of inorganic-organic hybrid materials based on the intercalation of stable organic radicals into a fluoromica clay (2013) Dalton Trans., 42, pp. 8585-8596; Thompson, J.G., Withers, R.L., Whittaker, A.K., Traill, R.M., Fitzgerald, J.D., A reinvestigation of low-carnegieite by XRD, NMR, and TEM (1993) J. Solid State Chem., 104, pp. 59-73; Ferrage, E., Kirk, C.A., Cressey, G., Cuadros, J., Dehydration of Ca-montmorillonite at the crystal scale. Part I: structure evolution (2007) Am. Mineral., 92, pp. 994-1006; Pavón, E., Castro, M.A., Cota, A., Osuna, F.J., Pazos, M.C., Alba, M.D., Interaction of hydrated cations with mica-n (n = 2, 3 and 4) surface (2014) J. Phys. Chem. C, 118, pp. 2115-2123; Michot, L.J., Bihannic, I., Pelletier, M., Rinnert, E., Robert, J.L., Hydration and swelling of synthetic Na-saponites: influence of layer charge (2005) Am. Mineral., 90, pp. 166-172; Magi, M., Lippmaa, E., Samoson, A., Engelhardt, G., Grimmer, A.R., Solid-state high-resolution silicon-29 chemical shifts in silicates (1984) J. Phys. Chem., 88, pp. 1518-1522; Weiss, R.J., Altanier, C.A., Kiirkpatrick, S.P., High-resolution Si-29 NMR-spectroscopy of 2-1 layer silicates - correlations among chemical-shift, structural distortions, and chemical variations (1987) Am. Mineral., 72, pp. 935-942; Kodama, T., Hasegawa, K., ichi Shimizu, K., Komarneni, S., Novel Na-3-mica: alkaline earth cation exchange and immobilization (2003) Separ. Sci. Technol., 38, pp. 679-694; Alba, M.D., Becerro, A.I., Castro, M.A., Perdigón, A.C., Trillo, J.M., Inherent acidity of aqua metal ions in solids: an assay in layered aluminosilicates (2003) J. Phys. Chem. B, 107; Naranjo, M., Castro, M.A., Cota, A., Pavón, E., Pazos, M.C., Alba, M.D., A new route of synthesis of Na-Mica-4 from sodalite (2014) Microporous Mesoporous Mater., 186, pp. 176-180; Weller, M.T., Dann, S.E., Johnson, G.M., Mead, P.J., MASNMR chemical shifts and structure in frameworks (1997) Stud. Surf. Sci. Catal., 105, pp. 455-462; Ohgushi, T., Kawanabe, Y., Properties of Na ions in NaZSM-5 zeolite (1994) Zeolites, 14, pp. 356-359; Casal, B., Aranda, P., Sanz, J., Ruiz-Hitzky, E., Interlayer adsorption of macrocyclic compounds (Crown-Ethers and cryptands) in 2:1 phyllosilicates: II. Structural features (1994) Clay Miner., 29, pp. 191-203; Trill, H., Eckert, H., Srdanov, V.I., Mixed halide sodalite solid solution systems. Hydrothermal synthesis and structural characterization by solid state NMR (2003) J. Phys. Chem. B, 107, pp. 8779-8788; Cattaneo, A.S., Bracco, S., Comotti, A., Galimberti, M., Sozzani, P., Eckert, H., Structural characterization of pristine and modified fluoromica using multinuclear solid-state NMR (2011) J. Phys. Chem. C, 115, pp. 12517-12529; Reinholdt, M., Miehé-Brendlé, J., Delmotte, L., Le Dred, R., Tuilier, M.-H., Synthesis and characterization of montmorillonite-type phyllosilicates in a fluoride medium (2005) Clay Miner., 40, pp. 177-190</t>
  </si>
  <si>
    <t>Alba, M.D.; Instituto Ciencia de los Materiales de Sevilla (CSIC-US), Avda. Américo Vespucio, 49, Spain; email: alba@icmse.csic.es</t>
  </si>
  <si>
    <t>CINND</t>
  </si>
  <si>
    <t>Ceram Int</t>
  </si>
  <si>
    <t>2-s2.0-85140312097</t>
  </si>
  <si>
    <t>Tarazona-Manrique L.E., Andrade-Becerra R.J., Vargas-Abella J.C.</t>
  </si>
  <si>
    <t>57219535130;56242204600;57190740941;</t>
  </si>
  <si>
    <t>Frequency of contamination of raw cow's milk by aflatoxin M1 in cooling tanks in Boyacá, Colombia [Frecuencia de la contaminación de leche cruda de vaca por aflatoxina M1 en tanques de enfriamiento en Boyacá, Colombia]</t>
  </si>
  <si>
    <t>Ciencia Tecnologia Agropecuaria</t>
  </si>
  <si>
    <t>e2058</t>
  </si>
  <si>
    <t>10.21930/RCTA.VOL23_NUM2_ART:2058</t>
  </si>
  <si>
    <t>https://www.scopus.com/inward/record.uri?eid=2-s2.0-85140226802&amp;doi=10.21930%2fRCTA.VOL23_NUM2_ART%3a2058&amp;partnerID=40&amp;md5=af35df659d58bacf7a2940a5fcccab6c</t>
  </si>
  <si>
    <t>Tarazona-Manrique, L.E., Universidad Pedagógica y Tecnológica de Colombia, Tunja, Colombia; Andrade-Becerra, R.J., Universidad Pedagógica y Tecnológica de Colombia, Tunja, Colombia; Vargas-Abella, J.C., Universidad Pedagógica y Tecnológica de Colombia, Tunja, Colombia</t>
  </si>
  <si>
    <t>The consumption, by animals, of fermented foods contaminated with mycotoxin-producing molds, mainly of the genus Aspergillus, allows the presence of aflatoxins in raw milk, generating a public health problem. The objective of the present work was to detect the concentrations and frequency of aflatoxin M1 in samples of raw milk from cows, stored in cooling tanks in four municipalities of the department of Boyacá for one year, determining the variations according to the season. The proposed study was longitudinal, descriptive and quantitative. Four cooling tanks were selected at convenience in four different municipalities of the department and were sampled twice a month for a whole year. An ANOVA was performed to determine the statistical differences between aflatoxin M1 concentrations for each period. Statistical differences were determined between each of the quarters of the study, 135 positive results were found from a total of 384 samples collected throughout the study. The maximum concentration of the toxin was found in the dry season with a value of 2.4 µg/kg, while the maximum value in the rainy season was 1.4 µg/kg. The concentrations and seasonal variations of aflatoxin M1 in samples from milk cooling tanks were determined for the first time in the department of Boyacá, finding the highest concentrations and number of positive cases of aflatoxin M1 in the dry season. © 2022 Corporacion Colombiana de Investigacion Agropecuaria Corpoica. All rights reserved.</t>
  </si>
  <si>
    <t>Aspergillus spp; mold fungus; public health; toxicology</t>
  </si>
  <si>
    <t>Battacone, G., Nudda, A., Rassu, S., Decandia, M., Pulina, G., Excretion pattern of aflatoxin M1 in milk of goats fed a single dose of aflatoxin B1 (2012) Journal of Dairy Science, 95 (5), pp. 2656-2661. , http://dx.doi.org/10.3168/jds.2011-5003; Chavarría, G., Granados-Chinchilla, F., Alfaro-Cascante, M., Molina, A., Detection of aflatoxin M1 in milk, cheese and sour cream samples from Costa Rica using enzyme-assisted extraction and HPLC (2015) Food Additives and Contaminants: Part B, 8 (2), pp. 128-135. , https://doi.org/10.1080/19393210.2015.1015176; Cómbita, A., Mildenberg, S., (2009) Detección de aflatoxina M1 en leches frescas comercializadas en la zona del Valle del Cauca (Colombia) mediante la técnica de elisa, , https://repository.javeriana.edu.co/handle/10554/8204, [Tesis de grado, Pontificia Universidad Javeriana, Bogotá, Colombia]. Repositorio Javeriana; Daou, R., Afif, C., Joubrane, K., Rabba, L., Maroun, R., Ismail, A., El Khoury, A., Occurrence of aflatoxin M1 in raw, pasteurized, UHT cows’ milk, and dairy products in Lebanon (2020) Food Control, 111, p. 107055. , https://doi.org/10.1016/j.foodcont.2019.107055; De Roma, A., Rossini, C., Ritieni, A., Gallo, P., Esposito, M., A survey on the Aflatoxin M1 occurrence and seasonal variation in buffalo and cow milk from Southern Italy (2017) Food Control, 81, pp. 30-33. , https://doi.org/10.1016/j.foodcont.2017.05.034; Dos Santos, J., França, V., Katto, S., Santana, E., Aflatoxin M1 in pasteurized, UHT milk and milk powder commercialized in Londrina, Brazil and estimation of exposure (2015) Archivos Latinoamericanos de Nutrición, 65 (3), pp. 181-185. , http://ve.scielo.org/pdf/alan/v65n3/art07.pdf; El Marnissi, B., Belkhou, R., Morgavi, D., Bennani, L., Boudra, H., Occurrence of aflatoxin M1 in raw milk collected from traditional dairies in Morocco (2012) Food and Chemical Toxicology, 50 (8), pp. 2819-2821. , http://dx.doi.org/10.1016/j.fct.2012.05.031; Fallah, A., Assessment of aflatoxin M1 contamination in pasteurized and UHT milk marketed in central part of Iran (2010) Food and Chemical Toxicology, 48 (3), pp. 988-991. , http://dx.doi.org/10.1016/j.fct.2010.01.014; Fernandes, A., Correa, B., Rosim, R., Kobashigawa, E., Oliveira, C., Distribution and stability of aflatoxin M1 during processing and storage of Minas Frescal cheese (2012) Food Control, 24 (1-2), pp. 104-108. , http://dx.doi.org/10.1016/j.foodcont.2011.09.010; Ghiasian, S., Maghsood, A., Neyestani, T., Mirhendi, S., Occurrence of aflatoxin M1 in raw milk during the summer and winter seasons in Hamedan, Iran (2007) Journal of Food Safety, 27 (2), pp. 188-198. , https://doi.org/10.1111/j.1745-4565.2007.00071.x; Giovati, L., Magliani, W., Ciociola, T., Santiolini, C., Conti, S., Polonelli, L., AFM1 in milk: Physical, biological, and prophylactic methods to mitigate contamination (2015) Toxins, 7 (10), pp. 4330-4339. , https://doi.org/10.3390/toxins7104330; Gonçalves, B., Gonçalves, J., Rosim, R., Cappato, L., Cruz, A., Oliveira, C., Effects of different sources of Saccharomyces cerevisiae biomass on milk production, composition, and aflatoxin M1 excretion in milk from dairy cows fed aflatoxin B1 (2017) Journal of Dairy Science, 100 (7), pp. 5701-5708. , https://doi.org/10.3168/jds.2016-12215; Granados, F., Insights into the interaction of milk and dairy products with aflatoxin M1 (2016) Milk Proteins - Structure to Biological Properties and Health Aspects, pp. 265-286. , https://doi.org/10.5772/63433, En I. Gigli (Ed), IntechOpen Elsevier Applied Science; Hajmohammadi, M., Valizadeh, R., Naserian, A., Nourozi, M., Rocha, R., Oliveira, C., Composition and occurrence of aflatoxin M1 in cow’s milk samples from Razavi Khorasan Province, Iran (2020) International Journal of Dairy Technology, 73 (1), pp. 40-45. , https://doi.org/10.1111/1471-0307.12661; Hernández-Valvidia, E., Valvidia-Flores, A., Cruz-Vazquez, C., Martínez-Saldaña, M., Quezada-Tristan, T., Rangel-Muñoz, E., Ortíz-Martinez, R., Jaramillo-Juarez, F., Diagnosis of Subclinical Aflatoxicosis by Biochemical Changes in Dairy Cows under Field Conditions (2021) Pakistan Veterinary Journal, 41 (1), pp. 33-38. , http://dx.doi.org/10.29261/pakvetj/2020.075; (2020) Boletín meteorológico 2019, , http://www.ideam.gov.co/web/tiempo-y-clima/tiempo-clima; Traditional herbal medicines, some mycotoxins, napthalene and styrene (2002) IARC Monographs on the Identification of Carcinogenic Hazards to Humans, 82 (1), pp. 1-556. , https://pubmed.ncbi.nlm.nih.gov/12687954/; Iha, M., Barbosa, C., Okada, I., Truckess, M., Aflatoxin M1 in milk and distribution and stability of aflatoxin M1 during production and storage of yoghurt and cheese (2013) Food control, 29 (1), pp. 1-6. , https://doi.org/10.1016/j.foodcont.2012.05.058; Iqbal, S., Jinap, S., Pirouz, A., Ahmad, A., Aflatoxin M1 in milk and dairy products, occurrence and recent challenges: A review (2015) Trends in Food Science and Technology, 46 (1), pp. 110-119. , http://dx.doi.org/10.1016/j.tifs.2015.08.005; Ismaiel, A., Tharwat, N., Sayed, M., Gameh, S., Two-year survey on the seasonal incidence of aflatoxin M1 in traditional dairy products in Egypt (2020) Journal of Food Science and Technology, 57 (6), pp. 2182-2189. , https://doi.org/10.1007/s13197-020-04254-3; (2013) Resolución 4506: Por la cual se establecen los niveles máximos de contaminantes en los alimentos destinados al consumo humano y se dictan otras disposiciones, , https://www.minsalud.gov.co/sites/rid/Lists/BibliotecaDigital/RIDE/DE/DIJ/resolucion-4506-de-2013.pdf; Nemati, M., Abbasi, M., Khankandi, P., Masoud, A., A survey on the occurrence of aflatoxin M1 in milk samples in Ardabil, Iran (2010) Food Control, 21 (7), pp. 1022-1024. , https://doi.org/10.1016/j.foodcont.2009.12.021; Oliveira, F., Corassin, C., Correa, B., Oswald, I., Animal health: mycotoxins (2014) Encyclopedia of Agriculture and Food Systems, pp. 358-377. , 2nd edn, ed Van Alfen N. Oxford UK: Elsevier Limited; Picinin, L., Oliveira, M., Azevedo, E., Quintão, Â., Toaldo, I., Bordignon, M., Influence of climate conditions on aflatoxin M1 contamination in raw milk from Minas Gerais State, Brazil (2013) Food Control, 31 (2), pp. 419-424. , http://dx.doi.org/10.1016/j.foodcont.2012.10.024; Sadia, A., Abdul, M., Deng, Y., Akbar, E., Riffat, S., Naveed, S., Arif, M., A survey of aflatoxin M1 in milk and sweets of Punjab, Pakistan (2012) Food Control, 26 (2), pp. 235-240. , https://doi.org/10.1016/j.foodcont.2012.01.055; Sarma, U., Bhetaria, P., Devi, P., Varma, A., Aflatoxins: Implications on health (2017) Indian Journal of Clinical Biochemistry, 32 (2), pp. 124-133. , https://doi.org/10.1007/s12291-017-0649-2; Skrbic, B., Zivancev, J., Antic, I., Godula, M., Levels of aflatoxin M1 in different types of milk collected in Serbia: Assessment of human and animal exposure (2014) Food Control, 40, pp. 113-119. , http://dx.doi.org/10.1016/j.foodcont.2013.11.039; Tarazona, L., Villate, J., Forero, E., Grijalba, J., Vargas, J., Andrade, R., Presencia de microorganismos micóticos en leche cruda de tanques de enfriamiento en el Altiplano Boyacense (Colombia) (2019) CES Medicina Veterinaria y Zootecnia, 14 (2), pp. 8-17. , http://dx.doi.org/10.21615/cesmvz.14.2.1; Temamogullari, F., Kanici, A., Short communication: Aflatoxin M1 in dairy products sold in Sanliurfa, Turkey (2014) Journal of Dairy Science, 97 (1), pp. 162-165. , http://dx.doi.org/10.3168/jds.2012-6184; Tomasevic, I., Petrovic, J., Jovetic, M., Raicevic, S., Milojevic, M., Miocinovic, J., Two year survey on the occurrence and seasonal variation of aflatoxin M1 in milk and milk products in Serbia (2015) Food Control, 56, pp. 64-70. , http://dx.doi.org/10.1016/j.foodcont.2015.03.017; Villar, D., Olivera, M., Dídier, J., Chaparro, J., (2012) Aproximación al tema de residuos antimicrobianos y antiparasitarios en leche, , https://revistas.udea.edu.co/index.php/biogenesis/issue/view/2516, Universidad de Antioquia y Biogénesis; Xiong, J., Wang, Y., Ma, M., Liu, J., Seasonal variation of aflatoxin M1 in raw milk from the Yangtze River Delta region of China (2013) Food Control, 34 (2), pp. 703-706. , http://dx.doi.org/10.1016/j.foodcont.2013.06.024; Yunus, A., Imtiaz, N., Khan, H., Nawaz, M., Zafar, Y., Aflatoxin contamination of milk marketed in Pakistan: A longitudinal Study (2019) Toxins, 11 (2), p. 110. , http://dx.doi.org/10.3390/toxins11020110; Zinedine, A., González, J., Soriano, J., Moltó, L., Idrissi, L., Mañes, J., Presence of aflatoxin M1 in pasteurized milk from Morocco (2007) International Journal of Food Microbiology, 114 (1), pp. 25-29. , http://dx.doi.org/10.1016/j.ijfoodmicro.2006.11.001</t>
  </si>
  <si>
    <t>Andrade-Becerra, R.J.; Universidad Pedagógica y Tecnológica de Colombia, Avenida Central del Norte 39-115, Colombia; email: Roy.andrade@uptc.edu.co</t>
  </si>
  <si>
    <t>Corporacion Colombiana de Investigacion Agropecuaria Corpoica</t>
  </si>
  <si>
    <t>Cienc. Tecnol. Agropecu.</t>
  </si>
  <si>
    <t>2-s2.0-85140226802</t>
  </si>
  <si>
    <t>Gasca-Álvarez H.J., González W.</t>
  </si>
  <si>
    <t>35799469000;57394608500;</t>
  </si>
  <si>
    <t>Perception and use of edible insects in Santa María de Itapinima and Piracemo indigenous communities, Mitú, Vaupés, Colombia [Percepción y uso de insectos comestibles en las comunidades indígenas de Santa María de Itapinima y Piracemo, Mitú, Vaupés, Colombia]</t>
  </si>
  <si>
    <t>Revista de la Sociedad Entomologica Argentina</t>
  </si>
  <si>
    <t>10.25085/rsea.810301</t>
  </si>
  <si>
    <t>https://www.scopus.com/inward/record.uri?eid=2-s2.0-85140084631&amp;doi=10.25085%2frsea.810301&amp;partnerID=40&amp;md5=8046ed65fd92ba3b0cada1f0ee1b2e38</t>
  </si>
  <si>
    <t>Instituto Amazónico de Investigaciones Científicas SINCHI, Sede de Enlace, Calle 20 N° 5-44, Bogotá, Colombia; Universidad Pedagógica y Tecnológica de Colombia, Avenida Central del Norte 39-115, Sede Central - Tunja, Boyacá, Colombia; Corporación Sentido Natural, Bogotá, Colombia; Instituto Amazónico de Investigaciones Científicas SINCHI, Subsede Mitú, Carrera 14 #10-37, Centro, Mitú, Vaupés, Colombia</t>
  </si>
  <si>
    <t>Gasca-Álvarez, H.J., Instituto Amazónico de Investigaciones Científicas SINCHI, Sede de Enlace, Calle 20 N° 5-44, Bogotá, Colombia, Universidad Pedagógica y Tecnológica de Colombia, Avenida Central del Norte 39-115, Sede Central - Tunja, Boyacá, Colombia, Corporación Sentido Natural, Bogotá, Colombia; González, W., Instituto Amazónico de Investigaciones Científicas SINCHI, Subsede Mitú, Carrera 14 #10-37, Centro, Mitú, Vaupés, Colombia</t>
  </si>
  <si>
    <t>The indigenous communities of the Colombian Amazon East maintain their traditional knowledge for the use of their resources. Insects have been used as an alternative food that has been included as part of their daily diet. Fourteen species of edible insects belonging to 15 families of five orders were recorded in the communities of Santa María de Itapinima and Piracemo, located on the he Cuduyari River in the department of Vaupés. According to its use value, mojojoy Rhynchophorus palmarum (L.) (Coleóptera: Curculionidae), manivara Syntermes spinosus (Latreille) (Blattodea: Termitidae), leaf-cutting ant Atta laevigata (F. Smith) (Hymanoptera: Formicidae) and several species of moth caterpillars (Lepidoptera) commonly called as tapuru, are the most important species of edible insects. For each species, its ecological calendar was established, and its collecting techniques and methods, and traditional forms of preparation and consumption were documented. Through community pedagogical workshops, strategies for the conservation and sustainable use of edible insects were proposed, identifying research priorities in order to improve the food security of communities. © 2022, Sociedad Entomologica Argentina. All rights reserved.</t>
  </si>
  <si>
    <t>Anthropo-entomophagy; Biodiversity; Ethnoentomology; Nutrition; Traditional knowledge</t>
  </si>
  <si>
    <t>Aldasoro-Maya, E.M., Argueta-Villamar, A., Colecciones etnoentomológicas comunitarias: Una propuesta conceptual y metodológica (2013) Etnobiología, 11 (2), pp. 1-15; Alfaro-Valverde, A., Badilla-Vargas, M., El taller pedagógico, una herramienta didáctica para abordar temas alusivos a la Educación Ciudadana (2015) Revista Electrónica Perspectivas, 10, pp. 81-146; Arango, N., Elfi-Chavez, M., Feinsinger, P., (2002) Guia metodológica para la enseñanza de ecología en el patio de la escuela, , National Audubon Society. Nueva York NY. USA; Baiano, A., Edible insects: An overview on nutritional characteristics, safety, farming, production technologies, regulatory framework, and socio-economic and ethical implications (2020) Trends in Food Science &amp; Technology, 100, p. 3550; Banjo, A.D., Lawal, O.A., Songonuga, E.A., The nutritional value of fourteen species of edible insects in Southwestern Nigeria (2006) African Journal of Biotechnology, 5 (3), pp. 298-301; Becker, V.O., Checklist of the new world Notodontidae (Lepidoptera, Noctuoidea) (2014) Lepidoptera. Novae, 7 (1), pp. 1-40; Cabrera, G., Nates Parra, G., Uso de las abejas por comunidades indígenas: Los Nukak y las abejas sin aguijón (1999), Simposio de Meliponicultura. Tercer Encuentro IUSSI Bolivariana; Cerda, H., Martínez, R., Briceño, N., Pizzoferrato, L., Hermoso, D., Paoletti, M., Cría, análisis nutricional y sensorial del picudo del cocotero Rhynchophorus palmarum (Coleóptera: Curculionidae), insecto de la dieta tradicional indígena amazónica (1999) Ecotrópicos, 12 (1), pp. 25-32; Constantino, R., Revision of the neotropical termite genus Syntermes Holmgren (Isoptera: Termitidae) (1995) The university of Kansas Bulletin, 55 (13), pp. 455-518; Costa-Neto, E.M., (2002) Manual de etnoentomología, , Manuales y Tesis SEA. Sociedad Entomológica Aragonesa, Zaragoza, España; Costa-Neto, E.M., Insetos como fontes de alimentos para o homem: Valoragáo de recursos considerados repugnantes (2003) Interciencia, 28 (3), pp. 136-140; Costa-Neto, E.M., Insetos como recursos alimentares nativos no semiárido do estado da Bahia, nordeste do Brasil (2004) Zonas Áridas, 8, pp. 33-40; Costa-Neto, E.M., Anthropo-entomophagy in Latin America: An overview of the importance of edible insects to local communities (2015) Journal of Insects as Food and Feed, 1 (1), pp. 17-23; Costa-Neto, E.M., Ramos-Elorduy, J., Los insectos comestibles de Brasil: Etnicidad, diversidad e importancia en la alimentación (2006) Boletín de la Sociedad Entomológica Aragonesa, 38, pp. 423-442; Costa-Neto, E.M., Santos-Fita, D., Vargas Clavijo, M., (2009) Manual de Etnozoología: Una guía teóríco-práctíca para investigar la interconexión del ser humano con los animales, , Tundra Ediciones, Valencia, España; Cristancho-Sánchez, S.V., Barragán-Fonseca, K.B., Análisis del Sistema de aprovechamiento del gusano mojojoy (Rynchophorus palmarum) (Coleóptera: Curculionidae) en el municipio de Leticia-Amazonas, Colombia (2011) Etnozoología. Un enfoque binacional México-Colombia, pp. 131-199. , Universidad Autónoma del Estado de Morelos (ed. Monroy-Martínez, R., García-Flores, A., Pino-Moreno, J.M., &amp; Monroy-Ortiz, R), Centro de Investigaciones Biológicas, Cuernavaca; DeFoliart, G.R., (2002) The human use of insects as food resource: a bibliographic account in progress, , Https://web.archive.org/web/20150127012156/http://www.foodinsects.com/book7_31/The%20Human%20Use%20of%20lnsects%20as%20a%20Food7o20Resource.htm, Recuperado agosto, 2021 de; Di Mattia, C, Battista, N., Sacchetti, G., Serafini, M., Antioxidant activities in vitro of water and liposoluble extracts obtained by different species of edible insects and invertebrates (2019) Frontiers in Nutrition, 6, p. 106; Dufour, D.L., Insects as food: A case study from Northern Amazon (1987) American Anthropologist, 89, pp. 383-397; Fernández, F., Castro-Huertas, V., Serna, F., (2015) Hormigas Cortadoras de hojas en Colombia: Acromyrmex &amp; Atta, , Universidad Nacional de Colombia, Bogotá, Colombia; Gasca-Álvarez, H.J., El significado de los escarabajos (Coleóptera: Scarabaeoidea) en una comunidad Uitoto de Leticia, Amazonas (Colombia): Una exploración preliminar a su conocimiento etnoentomológico (2005) Boletín Sociedad Entomológica Aragonesa, 36, pp. 309-315; Gasca-Álvarez, H.J., Costa-Neto, E.D., Insects as a food source for indigenous communities in Colombia: A review and research perspectives (2022) Journal of Insects as Food and Feed, 8 (6), pp. 593-603; Gasca-Álvarez, H.J., González, W., Aproximación al uso y aprovechamiento de insectos comestibles en las comunidades indígenas del oriente amazónico colombiano (2021) Revista Peruana de Biología, 28 (4), p. e21227; Gahukar, R.T., Entomophagy and human food security (2011) International Journal of Tropical Insect Science, 31 (3), pp. 129-144; Gómez, R., Evaluación de la factibilidad de la cría de mariposas y coleópteros como alternativa de aprovechamiento sostenible para la regeneración del bosque en territorios dedicados a la siembra de cultivos ¡lícitos y como fuente de ingresos económicos a comunidades de campesinos e indígenas de la Amazonia colombiana (en línea) (2003), http://www.entomologia.net/charla9.htm, Segunda reunión Entomológica 2003. Consultado el 20 de abril de 2019. Disponible en; Guiñé, R.P.F., Correia, P., Coelho, C, Costa, C.A., The role of edible insects to mitigate challenges for sustainability (2021) Open Agriculture, 6, pp. 24-36; Johnson, D.V., The contribution of edible forest insects to human nutrition and to forest management: Current status and future potential. Forest Insects as Food: Humans Bite Back (2010) Proceedings of a Workshop on Asia-Pacific Resources and Their Potential for Development, pp. 5-22. , (ed. Durst, D.B., Johnson, D.V., Leslie R.N., &amp; Shono, K), FAO Regional Office for Asia and the Pacific, Bangkok; Jara, F., La miel y el aguijón, taxonomía zoológica y etnobiología como elementos en la definición de las nociones de género entre los Andoke (Amazonia Colombiana) (1996) Journal de la Societé des Americanistes, 82, pp. 209-258; Jongema, Y., (2017) List of edible insects of the world, , Https://www.wur.nl/en/Research-Results/Chair-groups/Plant-Sciences/Laboratory-of-Entomology/Edible-insects/Worldwide-species-list.htm, Wageningen University, Wageningen, the Netherlands. Recuperado agosto, 2021 de; Kim, T.K, Yong, H.I., Kim, Y.B., Kim, H.W., Choi, Y.S., Edible insects as a protein source: a review of public perception, processing technology, and research trends (2019) Food Science of Animal Resources, 39, pp. 521-540; Molina, J., Si fueran de comer no serían tantos (2015) Hipótesis, 18, pp. 31-41; Motte-Florac, E., Ramos-Elorduy, R., Is the traditional knowledge important? (2002) Ethnobiology, Benefits Sharing and Biocultural Diversity, p. 207224. , (ed. Stepp, J., Wyndham, F., &amp; Zarger, R), International Congress of Ethnobiology, Georgia; Mitsuhashi, J., (2017) Edible Insects of the World, , CRC Press, Boca Raton, USA; Mozhui, L, Kakati, L.N., Changkija, S., A study on the use of insects as food in seven tribal communities in Nagaland, Northeast India (2017) Journal of Human Ecology, 60 (1), pp. 42-54; Osorno-Muñoz, M., Atuesta-Dimian, N., Jaramillo-Hurtado, L.F., Sua-Tunjano, S., Barona-Colmenares, A., Roncancio-Duque, N., La despensa de Tiquié. Diagnóstico y manejo comunitario de la fauna de consumo en la Guayana colombiana (2014), Instituto Amazónico de Investigaciones Científicas Sinchi. Ministerio de Ambiente y Desarrollo Sostenible., Bogotá; Pal, P., Roy, S., Edible insects: Future of Human food - A Review (2014) International Letters of Natural Sciences, 26, pp. 1-11; Paoletti, M.G., Dufour, D.L., Edible invertebrates among Amazonian Indians: A critical review of disappearing knowledge (2005) Ecological Implications of Mini livestock, Potential of Insects, Rodents, Frogs and Snails, pp. 293-342. , (ed. Paoletti, M.G), Science Publishers Inc, Enfield; Paoletti, M.G., Dufour, D.L, Cerda, H., Torres, F., Pizzoferrato, L, Pimentel, D., The importance of leaf- and litter-feeding invertebrates as sources of animal protein for de Amazonian Amerindians (2012) Proceeding of the Royal Society B, 267, pp. 2247-2252; Phillips, O.L, Gentry, A.H., Reynel, C, Wilkin, P., Galvez-Durand, B., Quantitative ethnobotany and Amazonian conservation (1994) Conservation Biology, 8, pp. 225-248; Pino-Moreno, J.M., Ganguly, A., Determination of fatty acid content in some edible insects of Mexico (2016) Journal of Insects as Food and Feed, 2, pp. 37-42; Peña-Venegas, CP., Valderrama, A.M., Acosta Muñoz, L.E., Pérez Rúa, M.N., (2009) Seguridad alimentaria en comunidades indígenas del Amazonas: Ayer y hoy, , Sinchi-Ministerio De Medio Ambiente, Bogotá; Ramos-Elorduy, J., (1998) Creepy crawly cuisine, , Inner Traditions International, Rochester; Ramos-Elorduy, J., Anthropo-entomophagy: Cultures, evolution and sustainability (2009) Entomological Research, 39, pp. 271-288; Ramos-Elorduy, J., Costa-Neto, E.M., Pino-Moreno, J.M., Cuevas-Correa, M., García-Figeroa, J., Zenita, D.F., Conocimiento de la entomofauna útil en el poblado La Purísima, Palmar de Bravo, Estado de Puebla, México (2007) Biotemas, 20 (2), pp. 121-134; Ramos-Elorduy, J., Pino Moreno, J.M., Landero, I., Murguía, G., Biodiversidad antropoentomofagica de la Region De Zongolica Veracruz, México (2008) Revista de Biología Tropical, 56, pp. 306-316; Ramos-Elorduy, J., Pino-Moreno, J.M., Vázquez, A.I., Landero, I., Oliva-Rivera, H., Camacho, V., Edible Lepidoptera in Mexico: Geographic distribution, ethnicity, economic and nutritional importance for rural people (2011) Journal of Ethnobiology and Ethnomedicine, 7 (2), pp. 1-22; Ruddle, K., The Human Use of Insects: Examples from the Yukpa (1973) Biotrópica, 5 (2), p. 94101; Selaledi, L, Hassan, Z., Mányelo, T. G., Mabelebele, M., Insects' production, consumption, policy, and sustainability: What have we learned from the indigenous knowledge systems? (2021) Insects, 12 (432), pp. 1-18; Seni, A., Edible insects: Future prospects for dietary regimen (2017) International Journal of Current Microbiology and Applied Sciences, 6 (8), p. 13021314; Siago-Kusia, E., Borgemeister, C., Khamis, F.M., Copeland, R. S., Tanga, C.T., Levi-Ombura, F., Subramanian, S., Diversity, Host Plants and Potential Distribution of Edible Saturniid Caterpillars in Kenya (2021) Insects, 12 (600), pp. 1-21. , https://doi.Org/10.3390/insects12070600; Sogari, G., Mora, C, Menozzi, D., (2019) Edible Insects in the Food Sector Methods, Current Applications and Perspectives, , Springer, Cham; Tobolkova, B., Edible insects-the future of a healthy diet? (2019) Novel Techniques in Nutrition and Food Science, 4 (2), pp. 326-328; Van Huis, A., Potential of Insects as Food and Feed in Assuring Food Security (2013) Annual Review of Entomology, 58, pp. 563-583; Van Huis, A., Van Itterbeeck, J., Klunder, H., Mertens, E., Halloran, A., Muir, G., Vantomme, P., (2013) Edible insects: Future prospects for food and feed security, , FAO, Rome; Xiaoming, C, Ying, F., Hong, Z., Review of the nutrition value of edible insects (2010) Forest Insects as Food: Humans Bite Back, p. 8592. , (ed. Durst, D.B., Johnson, D.V., Leslie, R.N., &amp; Shono, K), FAO Regional Office for Asia and the Pacific, Bankok</t>
  </si>
  <si>
    <t>Gasca-Álvarez, H.J.; Instituto Amazónico de Investigaciones Científicas SINCHI, Calle 20 N° 5-44, Colombia; email: scarab7@gmail.com</t>
  </si>
  <si>
    <t>Sociedad Entomologica Argentina</t>
  </si>
  <si>
    <t>Rev. Soc. Entomol. Argent.</t>
  </si>
  <si>
    <t>2-s2.0-85140084631</t>
  </si>
  <si>
    <t>Cano C.B., Castro N.V., Roncal P.B., Villacorta J.V.</t>
  </si>
  <si>
    <t>57930962000;57931106900;57391870200;57930530100;</t>
  </si>
  <si>
    <t>Social networks and their influence on the customers' purchase decision of a peruvian pizzeria [Redes sociales y su influencia en la decisión de compra de los clientes de una pizzería peruana]</t>
  </si>
  <si>
    <t>Proceedings of the LACCEI international Multi-conference for Engineering, Education and Technology</t>
  </si>
  <si>
    <t>2022-July</t>
  </si>
  <si>
    <t>10.18687/LACCEI2022.1.1.15</t>
  </si>
  <si>
    <t>https://www.scopus.com/inward/record.uri?eid=2-s2.0-85140038146&amp;doi=10.18687%2fLACCEI2022.1.1.15&amp;partnerID=40&amp;md5=930ba545ff105a49f8ba0e5ef3eab31b</t>
  </si>
  <si>
    <t>Facultad de Negocios, Universidad Privada del Norte, Trujillo, Peru; Facultad de Ciencias Empresariales, Universidad César Vallejo, Trujillo, Peru</t>
  </si>
  <si>
    <t>Cano, C.B., Facultad de Negocios, Universidad Privada del Norte, Trujillo, Peru; Castro, N.V., Facultad de Negocios, Universidad Privada del Norte, Trujillo, Peru; Roncal, P.B., Facultad de Negocios, Universidad Privada del Norte, Trujillo, Peru; Villacorta, J.V., Facultad de Ciencias Empresariales, Universidad César Vallejo, Trujillo, Peru</t>
  </si>
  <si>
    <t>The research aims to determinate the influence of social networks on the customers' purchase decision of a peruvian pizzeria in the city of Trujillo, Peru, considering the increase in the use of these digital platforms today. The study considered a population subject to the study of 326 consumers registered in the company's database, of which 157 of them answered the survey. Besides, using instruments validated on Likert scale, the variables in question were measured, obtaining as main results that social networks influence the dimensions of recognition of the need, search for information and the process of evaluating alternatives in 50.6%, 37.7% and 35.3% respectively. At the same time, all the Spearman Rho tests to find the relationship became significant (p&lt;0.01) and positive. Finally, this research concluded that social networks influence 45.8% in the customers' purchase decision of the peruvian pizzeria, after an Rsquared resulted in 0.458 within the coefficient of determinationtest. © 2022 Latin American and Caribbean Consortium of Engineering Institutions. All rights reserved.</t>
  </si>
  <si>
    <t>post-purchase; purchase decision; Social networks</t>
  </si>
  <si>
    <t>Abad, J., (2020) Uso de redes sociales y su relación con la decisión de compra del cliente de la Academia de Artes Marciales Mixtas Cyclops Fight Team, Trujillo 2019, , https://repositorio.upn.edu.pe/bitstream/handle/11537/23332/Abad%20Acosta%20Jhon%20Franck.pdf?sequence=6&amp;isAllowed=y, [Tesis de Licenciatura, Universidad Privada del Norte]; Ackerman, S., Com, S., (2013) Metodología de la investigación, , Ediciones del Aula Taller; Baena, G., (2014) Metodología de la investigación, , Grupo Editorial Patria; Cabrerizo, M., (2014) Procesos de venta, , Editex; Choquepata, J., Molina, J., (2020) El Marketing Digital en Redes Sociales como Herramienta para Influenciar en la Decisión de Compra de Clientes de Restaurantes de Comida Rápida, , https://repositorio.utp.edu.pe/bitstream/handle/20.500.12867/3881/Juan%20Choquepata_Jorge%20Molina_Trabajo%20de%20Investigacion_Bachiller_2020.pdf?sequence=1&amp;isAllowed=yBBBB, [Trabajo de Bachiller, Universidad Tecnológica del Perú]; Cruz, I., Miranda, A., Importancia de la inclusión de las estrategias con redes sociales digitales en restaurantes de la zona gastronómica de la ciudad de Tijuana (2020) El Periplo Sustentable, (38), pp. 74-112. , https://dialnet.unirioja.es/servlet/articulo?codigo=7734565; Dvoskin, R., (2004) Fundamentos de marketing, , Granica S.A; Flores, B., (2020) Influencia de las redes sociales en la decisión de compra del cliente de la pollería Berito's del distrito de San Juan Bautista-2020, , http://repositorio.ups.edu.pe/bitstream/handle/UPS/196/INFORME%20ACABADO%2007-08.pdf, [T esis de Licenciatura, Universidad Privada de la Selva Peruana]; Flores, D., (2019) Las redes sociales y proceso de decisión de compra en la empresa El Arlequín Café-Bar, Ventanilla 2019, , https://repositorio.ucv.edu.pe/bitstream/handle/20.500.12692/55015/Flores_ADG-SD.pdf?sequence=1&amp;isAllowed=y, [Tesis de Licenciatura, Universidad César Vallejo]; Gil, J., (2016) Técnicas e instrumentos para la recogida de información, , UNED; Gonzales, N., (2020) Facebook y la decisión de compra de los clientes del restaurante Raíces, Chiclayo 2020, , https://repositorio.ucv.edu.pe/bitstream/handle/20.500.12692/59532/Gonzales_CNE-SD.pdf?sequence=1&amp;isAllowed=yA, [Tesis de Licenciatura, Universidad César Vallejo]; González, P., Cañizares, C., Patiño, G., Las redes sociales como factor de decisión: millennials frente a la generación X (2018) Economía y Política, (27), pp. 9-28. , https://doi.org/10.25097/rep.n27.2018.01A; Hafeez, H., Manzoor, A., Salman, F., Impact of social networking sites on consumer purchase intention: An analysis of restaurants in Karachi [El impacto de los sitios de redes sociales en la intención de compra de los consumidores: Un análisis de los restaurantes en Karachi (2017) Journal of Business Strategies, 11 (1), pp. 1-20. , https://www.proquest.com/scholarly-journals/impact-social-networkingsites-on-consumer/docview/1925862621/se-2?accountid=36937A; Haudi, H., Santamoko, R., Rachman, A., Surono, Y., Mappedeceng, R., Musnaini, M., Wijoyo, H., The effects of social media marketing, store environment, sales promotion and perceived value on consumer purchase decisions in small market [Los efectos del marketing en redes sociales, el entorno de la tienda, la promoción de ventas y el valor percibido en las decisiones de compra del consumidor en un mercado pequeño (2022) International Journal of Data and Network Science, 6 (1), pp. 67-72. , https://doi.org/10.5267/j.ijdns.2021.10.003; Hernández, R., Mendoza, C., (2018) Metodología de la investigación: Las rutas cuantitativa, cualitativa ymixta, , McGraw-Hill Interamericana; Hernández, R., Fernández, C., Baptista, M., (2014) Metodología de la investigación (6a ed.), , Mc Graw Hill Education; (2021) Social Trends 2021, , https://www.hootsuite.com/es/pages/social-trends-2021; Ko, H., Social desire or commercial desire? The factors driving social sharing and shopping intentions on social commerce platforms [¿Deseo social o deseo comercial? Los factores que impulsan el intercambio social y las intenciones de compra en las plataformas de comercio social (2018) Electronic Commerce Research and Applications, 28, pp. 1-15. , https://doi.org/10.1016/j.elerap.2017.12.011; Kotler, P., Keller, K., (2006) Dirección de marketing, , (12a ed). Prentice Hall; Li, C., How social commerce constructs influence customers' social shopping intention? An empirical study of a social commerce website [¿Cómo influyen las construcciones de comercio social en la intención de compra social de los clientes? Un estudio empírico de un sitio web de comercio social (2019) Technological Forecasting and Social Change, 144, pp. 282-294. , https://doi.org/10.1016/j.techfore.2017.11.026; Mercado, S., (2010) Comportamiento del consumidor: el liderazgo en las ventas, , DeltaPublicaciones; Mhlanga, O., Tichaawa, T., Influence of social media on customer experiences in restaurants: A South African study [Influencia de las redes sociales en las experiencias de los clientes en los restaurantes: Un estudio sudafricano (2017) Tourism, 65 (1), pp. 45-60. , https://hrcak.srce.hr/file/263328; Mollá, A., Berenguer, G., Gómez, M., Quintanilla, I., (2013) Comportamiento del consumidor, , UOC; Quispe, A., (2014) El uso de la encuesta en las ciencias sociales, , Díaz de Santos; Rissoan, R., (2016) Redes sociales: comprender y dominar las nuevas herramientas de comunicación, , Ediciones ENI; Rodríguez, I., Ammetller, G., López, O., Maraver, G., Martínez, M., Jiménez, A., Codina, J., Martínez, F., (2011) Principios y estrategias de marketing: (incluyeweb), , UOC; Rodríguez, M., Redes sociales y hábitos de consumo en estudiantes universitarios, caso universidad pedagógica y tecnológica de Colombia, en Boyacá-Colombia (2018) Espacios, 39 (9), p. 37. , http://www.revistaespacios.com/a18v39n09/18390937.html#; Schiffman, L., Kanuk, L., (2005) Comportamiento del Consumidor (8a ed.), , Prentice Hall; Tafadzwa, E., Fritz, T., Chuchu, T., Factors influencing food consumption satisfaction and purchase decisions of restaurant consumers [Factores que influyen en la satisfacción con el consumo de alimentos y en las decisiones de compra de los consumidores de restaurantes (2021) Cogent Business and Management, 8 (1), pp. 1-27. , https://doi.org/10.1080/23311975.2021.1968731; Valls, M., (2016) Las redes sociales: herramienta de gestión empresarial, , Ugerman</t>
  </si>
  <si>
    <t>Larrondo Petrie M.M.Texier J.Pena A.Viloria J.A.S.</t>
  </si>
  <si>
    <t>Latin American and Caribbean Consortium of Engineering Institutions</t>
  </si>
  <si>
    <t>20th LACCEI International Multi-Conference for Engineering, Education Caribbean Conference for Engineering and Technology, LACCEI 2022</t>
  </si>
  <si>
    <t>18 July 2022 through 22 July 2022</t>
  </si>
  <si>
    <t>Proc. LACCEI int. multi-conf. eng. educ. technol.</t>
  </si>
  <si>
    <t>2-s2.0-85140038146</t>
  </si>
  <si>
    <t>Gutiérrez de la Cruz A., Ibañez Arteaga Y., Alva-Diaz L., Effio-Quezada W.</t>
  </si>
  <si>
    <t>57930818600;57931256500;57930660500;57220077769;</t>
  </si>
  <si>
    <t>“Efficiency of Phaseolus vulgaris Pod and Citrus sinensis Peel in Arsenic Biosorption from Moche River Water” [“Eficiencia de Vaina de Phaseolus vulgaris y Cáscara de Citrus sinensis en la Biosorción de Arsénico del Agua del Río Moche”]</t>
  </si>
  <si>
    <t>10.18687/LACCEI2022.1.1.633</t>
  </si>
  <si>
    <t>https://www.scopus.com/inward/record.uri?eid=2-s2.0-85140035341&amp;doi=10.18687%2fLACCEI2022.1.1.633&amp;partnerID=40&amp;md5=ed64d4ad598e456a03fb78ed91572edc</t>
  </si>
  <si>
    <t>Ingenieria Ambiental, Universidad Privada del Norte (UPN), Trujillo, Peru</t>
  </si>
  <si>
    <t>Gutiérrez de la Cruz, A., Ingenieria Ambiental, Universidad Privada del Norte (UPN), Trujillo, Peru; Ibañez Arteaga, Y., Ingenieria Ambiental, Universidad Privada del Norte (UPN), Trujillo, Peru; Alva-Diaz, L., Ingenieria Ambiental, Universidad Privada del Norte (UPN), Trujillo, Peru; Effio-Quezada, W., Ingenieria Ambiental, Universidad Privada del Norte (UPN), Trujillo, Peru</t>
  </si>
  <si>
    <t>This research determined the efficiency of the pod of Phaseolus vulgaris and the shell of Citrus sinensis in the biosorption of arsenic from the water of the Moche river, using volumetric, gravimetric and spectrophotometric methods. For this, 400 ml of water from the Moche River was used, at an initial concentration (Ci) of7, 058 mg/L of as, with 5, 7 and 10g of each biosorbent, using the jar test equipment at a speed of agitation of 80 and 100 rpm, for a contact time of 120 and 180 min. Obtaining the highest percentage of Biosorption for the pod of Phaseolus Vulgaris is 85% with a final concentration (Cf) of As of 1.058 mg/L, and the highest percentage for the shell of Citrus sinensis is 88.96% with a final concentration (Cf) of as of 0.779 mg/L, both with optimal conditions of 120 min, 80 rpm and 5g. Concluding that the shell of Citrus sinensis is the most efficient in the biosorption of arsenic with 88.96%, likewise, the pod of Phaseolus vulgaris is efficient by 85%, evidencing that both biomasses have efficiency to biosorb more than 50% of arsenic from the Mocheriver water. © 2022 Latin American and Caribbean Consortium of Engineering Institutions. All rights reserved.</t>
  </si>
  <si>
    <t>agitation speed; Arsenic biosorption; Citrus sinensis peel; contact time; Phaseolus vulgaris sheath</t>
  </si>
  <si>
    <t>Reyes, Y., Vergara, I., Torres, O., Díaz, M., González, E., Contaminación por metales pesados: Implicaciones en salud, ambiente y seguridad alimentaria (2016) Ingeniería Investigación y Desarrollo, 2 (2), pp. 66-77. , http://revistas.uptc.edu.co/revistas/index.php/ingenieria_sogamoso/article/view/5447, (2 de julio); (2006) Amenaza de arsénico en Bangladesh, , http://www.fao.org/ag/esp/revista/0605sp1.htm, FAO. Recuperado de; (2019) El Río Reconquista, el segundo cauce más contaminado de la Argentina, , https://www.infobae.com/tendencias/ecologia-y-medioambiente/2019/03/10/el-rio-reconquista-el-segundo-cauce-mascontaminado-de-la-argentina/, Federovisky (10 de mayo de) Infobae. Recuperado de; Galetovic, a., de Fernicola, N., Arsénico en el agua de bebida: un problema de salud pública (2003) Revista Brasilera de Ciencias Farmacéuticas, 39 (4), pp. 365-372. , http://dx.doi.org/10.1590/S1516-93322003000400003, Recuperado de; El Río Moche (2009) Municipalidad Provincial de Trujillo, 1, p. 5; Gonzales, R., Los derechos humanos y el riesgo que causa el agua contaminada del río Moche en Trujillo (2012) Revista Digital, pp. 181-197. , http://revistas.unitru.edu.pe/index.php/PGM/article/view/200; (2015) Actualización de identificación de fuentes contaminantes en la cuenca del Río Moche, , http://sial.segat.gob.pe/documentos/informe-actualizacionidentificacion-fuentes-contaminantes-cuenca-rio, (4 de septiembre). Recuperado de; (2018) Diagnóstico hídrico rápido de la cuenca del río Moche como fuente de agua y servicios ecosistémicos hídricos para la EPS SEDALIB S.A, , http://www.sedalib.com.pe/upload/drive/32019/201903055683862528.pdf; Volesky, B., (1990) Biosorption of heavy metals, , Montreal, Canadá: McGill University. Revista Digital, 235-250http://biosorption.mcgill.ca/publication/PDFs/101-BP'95-11, 235-50-RevHolan.pdf; Choquejahua, Y., (2018) Evaluación de la remoción de arsénico en medio acuoso a través de la bioadsorción con biomasas de granos de cebada (Hordeum vulgare L.) y avena (Avena sativa L.) bajo condiciones altoandinas-Puno, 2018 [tesis de licenciatura, Universidad Peruana Unión], , https://repositorio.upeu.edu.pe/bitstream/handle/UPEU/1689/Yesica_Tesis_Licenciatura_2018.pdf?sequence=1&amp;isAllowed=y, Repositorio de tesis; Trelles, C., Herrera. A. &amp; Nuñez, J.) Biosorción de arsénico en medio acuoso empleando biomasas vegetales inertes, , http://cybertesis.uni.edu.pe/bitstream/uni/1152/1/trelles_bj.pdf, [tesis de maestría, Universidad Nacional de Ingeniería] Repositorio Institucional; (2017) Decreto Supremo Nª004-2017. Aprueban Estándares de Calidad Ambiental (ECA) para Agua y establecen Disposiciones Complementarias, , https://sinia.minam.gob.pe/normas/aprueban-estandares-calidadambiental-eca-agua-establecen-disposiciones, Ministerio del Ambiente, Perú (7 de junio) Diario El Peruano; Cardona, A., Cabañas, D., Zepeda, A., Evaluación del poder biosorbente de cáscara de naranja para la eliminación de metales pesados, Pb (II) y Zn (II) (2013) Ingeniería: Revista Digital, 17 (1), pp. 1-9. , http://www.redalyc.org/html/467/46729718001/; Tejeda, L., Tejada, C., Marimón, W., Villabona, A., Estudio de modificación química y física de biomasa (Citrus Sinensis y Musa Paradisiaca) para la adsorción de metales pesados en solución (2014) Luna Azul: Revista Digital, 39, pp. 124-142. , https://www.redalyc.org/articulo.oa?id=321732142008; Franco, J., (2014) Evaluación de la vaina de frijol Cargamanto Rojo como material biosorbente en la remoción de cadmio (cd2+) presente en soluciones acuosas [tesis de licenciatura, Universidad Libre de Colombia], , http://hdl.handle.net/10901/11223; Sharma, S., (2015) Heavy Metals in Water, , Japiur, India: Royal Society of Chemistry; Ramón, F., (2017) Capacidad del residuo de la cebada "Hordeum vulgare" para la absorción de cromo (Cr+6) en aguas contaminadas a nivel del laboratorio 2017 [tesis de grado, Universidad César Vallejo], , http://repositorio.ucv.edu.pe/bitstream/handle/UCV/10356/Ramon_JF.pdf?sequence=1&amp;isAllowed=y; Ordoñez, A., (2015) Bioadsorción de Pb y Cr mediante la utilización de cáscara de naranja (Citrus Sinensis) molida, Machala (tesis de licenciatura), , http://repositorio.utmachala.edu.ec/bitstream/48000/1897/1/CD00308.pdf, Universidad Técnica de Machala. Machala, Ecuador. Recuperado de; Romero, M., Colín, A., Sánchez, E., Ortiz, L., Tratamiento de aguas residuales por un sistema piloto de Humedales Artificiales: evaluación de la remoción de la carga orgánica (2009) Revista Internacional de Contaminación Ambiental, 25 (3), pp. 157-167. , http://www.scielo.org.mx/scielo.php?script=sci_arttext&amp;pid=S0188-49992009000300004; Jacobs, M., (1996) Economía verde; Medio ambiente, desarrollo sosteni bley la política del futuro, , Barcelona, España: ICARIA</t>
  </si>
  <si>
    <t>2-s2.0-85140035341</t>
  </si>
  <si>
    <t>De Luxán Meléndez S.</t>
  </si>
  <si>
    <t>55968529300;</t>
  </si>
  <si>
    <t>Educating historians in the late Franco period. Readings and teachers (1967-1973). Memories and historical constructions [La formación del historiador en el Tardofranquismo. Lecturas y maestros (1967-1973). Entre la recreación de un recuerdo y la construcción histórica]</t>
  </si>
  <si>
    <t>Revista de Historiografia</t>
  </si>
  <si>
    <t>10.20318/REVHISTO.2022.6183</t>
  </si>
  <si>
    <t>https://www.scopus.com/inward/record.uri?eid=2-s2.0-85140014662&amp;doi=10.20318%2fREVHISTO.2022.6183&amp;partnerID=40&amp;md5=303535d3ea82ee70fa056854592a6b44</t>
  </si>
  <si>
    <t>Universidad de Las Palmas de Gran Canaria, Spain</t>
  </si>
  <si>
    <t>De Luxán Meléndez, S., Universidad de Las Palmas de Gran Canaria, Spain</t>
  </si>
  <si>
    <t>This paper is divided into two parts. In the first, Readings and teachers, I examine the late Franco period, a time of hope for change and democratic transition in Spain. In the second part, Between French and British historiography, I discuss four readings that were important in our education and which constituted the foundations for our subsequent development. The method employed is the one proposed by the readings, which can be summarised as the tension between historian and context and the discovery of the essence of the historian's role. © 2022 UNIV CARLOSIII MADRID. All rights reserved.</t>
  </si>
  <si>
    <t>Historiography; readings and teachers</t>
  </si>
  <si>
    <t>Juliá, Santos, (2017) Transición. Historia de una política española (1937-2017), , Barcelona; Aróstegui, Julio, La contemporaneidad, época y categoría histórica (2006) Transitions politiques et culturelles en Europe méridionale (XIXe-XXe siècle), 36 (1), p. 109. , en Paul Aubert (coord), Dossier des Mélanges de la Casa de Velázquez. Nouvelle série; Haslam, Jonathan, Carr, E.H., (2008) Los riesgos de la integridad, p. 15. , Valencia; Nora, Pierre, Autorretrato en escorzo (y nada complaciente) con figuras al fondo (2005) Cuadernos de Historia Contemporánea, 27, pp. 53-59. , y sus Essais d'ego-histoire. Aclaro que solo comparto alguna parte del discurso de Aróstegui del que alabo su sinceridad y, sobre todo, su postulado final de que la vida y la historia es cambiar, aunqu solo; Creyghton, Camille, (2016) La survivance de Michelet: Historiographie et politique en France depuis 1870, p. 15. , https://dare.uva.nl/search?identifier=1839fcc1-beb2-4dd9-9dd2-cd8a39fb4324, [consulta 06.05.20]; El largo destino de 'Áncora y Delfín' (2004) El País, , https://elpais.com/diario/2004/11/11/catalunya/1100138841_850215.html, Tomo la imagen de la novela de Miguel Delibes (1920-2010), La sombra del ciprés es alargada, Premio Nadal 1947, publicada al año siguiente en la colección Ancora y delfín de la editorial Destino. Cf. Fernando Valls, 10 de noviembre de [consulta 20.05.20]; (1936), Miguel Delibes escribió un texto en que puede apreciarse su relación con la editorial, España 1950: muerte y resurrección de la novela, Barcelona, Destino, Ancora y Delfín. En la novela se respira el pesimismo derivado de la Guerra civil española; Steiner, Georges, (2016) Lecciones de los maestros, , Madrid; de Luxán Meléndez, Santiago, Historia total o historias particulares. La historiografía española en 1976 (1977) Cuadernos de Investigación histórica, 1, pp. 217-220. , Recensión del libro Once ensayos sobre la historia, Madrid, 1976; María Jover Zamora, José, Corrientes historiográficas en la España contemporánea (1976) Once ensayos sobre la historia, p. 236. , en VV.AA. Madrid; Ángel García de Cortázar, José, Los nuevos métodos de investigación histórica, pp. 31-47. , En el libro al que nos referimos, de modo especial, los estudios de; José Carreras Ares, Juan, Categorías historiográficas y periodización histórica, pp. 51-56; Tomás, Francisco, Valiente, Historia del Derecho e Historia, pp. 161-181; Vilar, Pierre, (1964) Catalunya dins l'Espanya Moderna, I, p. 17. , Barcelona; Díaz, Elías, (1974) Pensamiento español 1929-1973, pp. 244-245. , Madrid, Con relación a la recepción del marxismo, Jover; El desarrollo de la historiografía española en la década posterior a 1939, fue analizado por el historiador catalán en "Desarrollo de la historiografía española entre 1939-1949 (1952), pp. 477-508. , en Saeculum (Munich), Publicado por primera vez en castellano en Obra dispersa (II), Barcelona, 1967, 15-35; Viu, Vicente Cacho, Los supuestos del contemporaneismo en la historiografía de posguerra (1988) Cuadernos De Historia Contemporánea, 9, p. 17. , https://revistas.ucm.es/index.php/CHCO/article/view/CHCO8888120017A, Recuperado a partir de); El Congreso Internacional de Historia de París (1950) Destino, (684), pp. 477-478. , Por ejemplo, 16 de septiembre de Recogido en Obra dispersa (II); María Jover Zamora, José, El siglo XIX en la historiografía española contemporánea (1939-1972) (1974) El siglo XIX en España. Doce estudios, pp. 9-151. , en Barcelona, La cita en la 10-12; El propio Reglá escribió Introducción a la Historia. Socieconomía, política y cultura (2007), Fundación Española de Historia Moderna, prólogo de Emilia Salvador Esteban (1 edición en catalán 1967); Victoria López Cordón, María, La obra y la personalidad de José María Jover Zamora (1988) Cuadernos de Historia Contemporánea, pp. 29-40. , no9; Martín, Ignacio Peiró, Las metamorfosis de un historiador: el tránsito hacia el contemporaneismo de José María Jover Zamora (2007) Jerónimo Zurita, 82, pp. 175-234; Franco, Rosario Ruiz, (2012) Pensar el pasado. José María Jover y la historiografía española, , (ed), Madrid; https://www.nuevarevista.net/entrevista-carlos-seco-serrano/, [consulta 04.06.21]; Martín, Ignacio Peiró, Autobiografía de una generación: España, 1975-1984 (2014), 12, pp. 81-84. , Hispania Nova: Revista de historia contemporánea, En este artículo Peiró comenta el artículo de Aróstegui, al que nos hemos referido. Ignacio Peiró Martín, Historiadores en España. Historia de la Historia y memoria de la profesión, Zaragoza, 2013, y 193-259; Igualmente, Historiadores en el purgatorio. Continuidades y rupturas en los años sesenta (2013) Cercles. Revista d'Història Cultural, 16, pp. 53-81; Viu, Vicente Cacho, (1962) La Institución libre de Enseñanza, , Madrid; de Terán, Manuel, Sabarís, Luis Solé, (1968) Geografía regional de España, , Barcelona; Mendoza, Josefina Gómez, Cincuenta años de la Geografía Regional de España, obra universitaria, de escuela y de época (1968-2018) (2018) Boletín de la Asociación de Geógrafos Españoles, 79, pp. 1-38. , http://dx.doi.org/10.21138/bage.2744, [consulta 30.05.21]; (1969) Las monografías fundamentales que estudiamos fueron El Tratado de Geografía Humana de Max Derruau, , (Barcelona, Vicens Vives), del mismo autor su Europa (Barcelona, Labor, 1965), y L'Afrique de Pierre Gouru (París, Hachette, 1970) que impartió en Quinto curso como tema monográfico Antonio Gil Olcina; Labrousse, Ernst, (1973), Madrid; (1966), Nuestro primer encuentro con Braudel fue con Las civilizaciones actuales. Estudio de Historia Económica y Social, Madrid, El libro fue el manual que sustituyó en Primero de Comunes (1967-1968) que impartió Julio Valdeón Baruque, al de Manuel Ferrandis Historia General de la Cultura, Madrid 1964, que se jubiló ese año. Sobre Braudel y su influencia actual a través de su relación con Estados Unidos, Giuliana Gemelli, Fernan Braudel, Valencia, 2005; Herr, Richard, (1962) España y la revolución del siglo XVIII, , Madrid; Elliott, John H., (1965) La España imperial 1469-1716, , Barcelona; Lynch, John, (1972) España bajo los Austrias, , Barcelona; Elliott, John H., (2012) Haciendo Historia, pp. 189-217. , Madrid; Mastrogregori, Massimo, El Manuscrito Interrumpido de Marc Bloch: Apología Para La Historia o El Oficio de Historiador (Seccion de Obras de Historia), México, 1969. Cf. el no 36 (1995) de la revista Iztapalapa, consagrado a Annales, historia y presente, la contribución de este autor El problema histórico de los primeros Annales (1929-1945), pp. 9-22; Febvre y Bloch, Igualmente, Ignacio Olábarri, Las vicisitudes de Clío (siglos XVIII-XXI) (2013), Ensayos historiográficos. Salamanca; Dumoulin, Olivier, (2004) Marc Bloch o El compromiso del historiador, , Granada, 2003. Igualmente, Carol Fink, Marc Bloch. Una vida para la historia, Valencia; Van, H., Werveke en la reedicición española de 1969, , Cit. (México, Fondo de Cultura Económica, 5); Dosse, Françoise, (1988) La historia en migajas, De Annales a la nueva Historia, pp. 17-97. , Valencia; Bloch, Marc, (1945) Annales d'histoire sociale, (1). , 8 année N; Febvre, Lucien, De l' histoire au martyre. Marc Bloch 1886-1944 (1945) Annales d'histoire sociale, (1), pp. 1-10. , https://doi.org/10.3406/ahess.1945.3143.www.persee.fr/doc/ahess_1243-258x_1945_num_8_1_3143, La revista se abre con un artículo de 8 année, N. [consulta 07.05.20]; Altman, Georges, Au temps de la clandestinité: notre "Narbonne" de la résistance (1945) Annales d'histoire sociale, 8 (1), pp. 11-14. , année, N; Narbonne" es uno de los apodos que utilizó en la Resistencia Marc Bloch, , https://doi.org/10.3406/ahess.1945.3144.www.persee.fr/doc/ahess_1243-258x_1945_num_8_1_3144, [consulta 07.05.20]; Le Goff, Jacques, Bloch, Marc, (2003) Datos tomados del libro: Étienne Bloch, Marc Bloch. El historiador en su laboratorio, , Dialnet-MarcBloch-4796571 [Consulta 04.05.20]. Universidad Juárez Autónoma de Tabasco; Rojas, Reinaldo, Étienne Bloch: bibliógrafo de Marc Bloch (2018) Historia y Memoria, pp. 349-367. , en (enero-junio de), Dialnet-EtienneBloch-6309898. [Consultado el 4 de mayo de 2020]; Sorgentini, H., Mastrogregori, Massimo. El manuscrito interrumpido de Marc Bloch. Apología para la historia o el oficio de historiador (1998), 4 (5). , http://www.fuentesmemoria.fahce.unlp.edu.ar/art_revistas/pr.2852/pr.2852.pdf, México, Fondo de Cultura Económica, 140 páginas [En línea]. Cuadernos del CISH, 1999, Disponible en; El trasfondo musical de esta escena es el 'Canto del partisano https://www.youtube.com/watch?v=epwynYzSeVQ, himno de la Resistencia francesa, cantado por Yves Montand. [consulta 07.05.20]; Bloch, Marc, (2002) La extraña derrota. Testimonio escrito en 1940.Prólogo de Stanley Hoffmann, , Barcelona, El libro se publicó con una biografía sumaria del historiador; Bloch, Marc, Pour une histoire comparée des sociétés européennes (1928) Revue de Synthèse historique, 46, pp. 15-50; Igualmente, (1963) Mélanges historiques, 1, pp. 16-40. , Paris; Verhulst, Adriaan, Marc Bloch and Henri Pirenne on Comparative History. A Biographical Note (2001) Revue belge de philologie et d'histoire, 79 (2). , tome fasc. Histoire medievale, moderne et contemporaine Middeleeuwse, moderne en hedendaagsegeschiedenis; Pirenne, Henri, De la méthode comparative en histoire (1991) Compterendu du Ve Congrès des Sciences Historiques. Bruxelles 1923, pp. 19-32. , Guillaume Des Marez and François-L. Ganshof, eds., Bryce and Mary Lyon, "The birth of Annales history: the letters of Lucien Febvre and Marc Bloch to Henri Pirenne (1921-1935) Brussels; Elliott, J.H., (2012) Haciendo Historia, pp. 189-217. , Madrid; Buey, Francisco Fernández, Filósofo, escritor, comunista crítico y marxista singular. Se formó con Manuel Sacristán. Ejerció la docencia en las Universidades de Valladolid y Barcelona (UB y Pompeu Fabra), enseñando Historia de las Ideas y Filosofía Política (2012), https://www.elviejotopo.com/autor/francisco-fernandez-buey/, (Palencia, 1943 Barcelona). En la UPF dirigió la Cátedra UNESCO de Estudios Interculturales y el Centro de Estudios sobre Movimientos Sociales. [Consulta 03.05.20]; Murgadas, Rafael Argullol, (1949) narrador, poeta y ensayista, ha sido catedrático de Estética y Teoría de las Artes en la Facultad de Humanidades de la Universidad Pompeu Fabra, , https://elpais.com/politica/2011/07/20/biografiaeldebate/1311182575_685160.html, (Barcelona), [consulta 04.05.20]; Pellistrandi, Benoit, La historiografía francesa del siglo XX y su acogida en España, open books (1999) Actas del Coloquio celebrado en la Casa de Velázquez, , (dir), (24-26 de noviembre de) 2002; Gil, Emilio, (2014) Leer las imágenes... de Alberto Corazón, , https://pionerosgraficos.com/leer-las-imagenes-de-alberto-corazon/, 03.02., en [consulta 06.05.20]; (1974) Història, Economia, Cultura, 4, pp. 283-298. , Publicado en Recerques. El propio Fontana prologó la nueva edición de Combats, Planeta, 2017; Tony, Judt, (2010) Postguerra. Una historia de Europa desde 1945, , Madrid, 5 ed; Creyghton, Camille, (2016) La survivance de Michelet: Historiographie et politique en France depuis 1870, p. 12. , https://dare.uva.nl/search?identifier=1839fcc1-beb2-4dd9-9dd2-cd8a39fb4324, [consulta 06.05.20]; Monod, Gabriel, La Vie et la pensée de Jules Michelet, 1798-1852 (1923), 2. , Cours professé au collège de France, Henri hauser et Charles BéMont (éd), Paris, E. Champion, La bibliografía y la recepción de Michelet parece reducirse a Francia: Aule Petitier, Jules Michelet. L'homme histoire, Paris, 2006; Via- LLaneix, Paul, (1971) La voie royale. Essai sur l'idée de peuple dans l'oeuvre de Michelet, , Paris, Flammarion; Viallaneix, Paul, (1998) Michelet, les travaux et les jours, 1798-1874, , Paris, coll. Bibliothèque des Histoires; Gautheret, Jérôme, L'Histoire de France" de Michelet enfin rééditée (2008) Le Monde, , 7 de febrero de; Mosquete, Teresa Vicente, Elisée Reclus y su aportación a la cartografía (2008) Segon Congrés Català de Geografia, , https://www.researchgate.net/publication/242598583_Elisee_Reclus_y_su_aportacion_a_la_Cartografia, 29-31 de maig de [consulta 08.05.20]; Burckhardt, Jacob, (1968) La cultura del Renacimiento en Italia, , Barcelona; Sánchez, Nuria Corral, La Cultura del Renacimiento en Italia un siglo y medio después: reflexiones en torno a una obra clásica (2014) Revista Historias del Orbis Terrarum, 7, pp. 136-171. , www.orbisterrarum.cl, [consulta 06.05.20]. Anejos de Estudios Clásicos, Medievales y Renacentistas, Santiago, 2014; Moller, Bertrand, Lucien febvre et Henri Berr: De la synthèse à l' histoire-problème (1996) Rev synth, 117, pp. 39-59. , https://doi.org/10.1007/BF03181302, [consulta 06.05.20]; Aguet, Jean-Pierre, Moller, Bertrand, 'Combats pour l' histoire'de Lucien Febvre dans la Revue de synthese historique (1905-1939) (1984) Revue suisse d'histoire, 35, pp. 389-447. , et; Lévy-Dumoulin, Olivier, Les "Ecoles historiques" à l'épreuve de Gabriel Monod. Un historien célébré et méconnu (2012) Revue historique, 664, pp. 789-801. , https://www.cairn.info/revue-historique-2012-4-page-789.htm#, [consulta 06.05.20]; Martonne, Gouru, Papy, George, Derruau, Lacoste, Claval, Paul, (1974) Evolución de la Geografía Humana, pp. 63-76. , etc Barcelona; Ballesteros, Aurora García, Vidal de la Blache en la crítica al neopositivismo en Geografía (1983) Anales de Geografía de La Universidad Complutense, 3, pp. 25-39; Capel, Horacio, (1981) Filosofía y ciencia en la Geografía contemporánea. Una introducción a la Geografia, , Barcelona; Lyon, Bryce, (1974) Henri Pirenne: A Biographical and Intellectual Study, , Ghent; del Corral, Luis Díez, (2018) El rapto de Europa. Una interpretación histórica de nuestro tiempo, , http://dbe.rah.es/biografias/12492/eduardoibarra-y-rodriguez, Madrid, (1 ed. 1954). Sobre Ibarra cf. Luis Miguel de la Cruz Herranz [consulta 05.06.20]. Destaco que fue catedrático de Zaragoza y de la Universidad Central, coincidiendo en esta última con Rafael Altamira; García, Manuel Ouviña, (2017) Josué de castro (1908-1973). Biografía intelectual, científica y política de un luchador contra el hambre, , Tesis doctoral, Universitat Pompeu Fabra; Vives, Jaime Vicens, (1974) Historia General Moderna, p. 3. , Barcelona, 9 ed. (l ed. de 1942); Croce, Benedetto, (1965) Teoría e historia de la historiografía, , Buenos Aires; de Luxán Meléndez, Santiago, Hacia una definición de la Historia Moderna de los manuales y obras generales del panorama editorial español: 1970-1988 (1990) Boletín Millares Carlo, 11, pp. 237-264; (2018), https://conversacionsobrehistoria.info/2019/08/22/en-defensa-de-la-historia-i-la-mirada-de-e-h-carr/, [consulta 17.05.20]. El año pasado; Pallarés-Burke, María Lucía, (2005) La nueva historia: Nueve entrevistas, p. 53. , Las consecuencias económicas de la paz es un libro que tuvo también importancia en nuestra formación 69. Valencia (trad. De Vicente Berenguer); Antes de su muerte en 1982, se le instó a formalizar sus creencias políticas, lo que hizo en una carta personal de tres páginas a mi abuelo, que sobrevive escondida en lo profundo de los archivos familiares; estipula que era un marxista, , https://conversacionsobrehistoria.info/2019/08/22/en-defensa-de-la-historiai-la-mirada-de-e-h-carr/, [consulta 17.05.20]; (2009), https://www.nexos.com.mx/?p=14526, Ibídem. Como biógrafo de Carr, Jonathan Haslam. E.H. Carr. Los riesgos de la integridad, Universitat de Valencia, Roberto Breña. "E. H. Carr: Historia, disidencia e ideología [consulta 17.05.20]; Carr, E. H., (1977) La Revolución Bolchevique 1917-1923, p. 9. , Madrid; (1973) El debate de Carr se dirigió también al Karl Popper de La miseria del historicismo, , Madrid</t>
  </si>
  <si>
    <t>de Luxán Meléndez, S.; Universidad de Las Palmas de Gran CanariaSpain; email: santiago.deluxan@ulpgc.es</t>
  </si>
  <si>
    <t>UNIV CARLOSIII MADRID</t>
  </si>
  <si>
    <t>Rev. Histrogr.</t>
  </si>
  <si>
    <t>2-s2.0-85140014662</t>
  </si>
  <si>
    <t>Fernández E.A., Roa Martín N.C.</t>
  </si>
  <si>
    <t>57192273844;57930686000;</t>
  </si>
  <si>
    <t>Educational Policy Framework to promote Computational Thinking towards STEAM in Public Schools in Boyacá - Colombia</t>
  </si>
  <si>
    <t>https://www.scopus.com/inward/record.uri?eid=2-s2.0-85140013025&amp;partnerID=40&amp;md5=d5022c4a34b27d09e01588864b7678ca</t>
  </si>
  <si>
    <t>Fernández, E.A., Universidad Pedagógica y Tecnológica de Colombia, Colombia; Roa Martín, N.C., Universidad Pedagógica y Tecnológica de Colombia, Colombia</t>
  </si>
  <si>
    <t>This paper proposes a framework of Education Policy fostering the development of computational thinking in the path of the STEAM approach for public elementary schools. This exploratory analysis concludes that it is required to perform a deep diagnosis of the teachers' knowledge degree in new pedagogic models and methodologies such as problem-based learning, project-based learning (PBL), game-based learning, etc., and the infrastructure and technology available at the schools (including connectivity), and also, eventual inversion in the public schools of Boyacá to support an adequate teaching and learning process. Besides, it is necessary to train the teachers of elementary schools in digital skills, didactics, and new learning models to develop an integral and transversal curricular design as a path to strengthen the skills of both professors and students in the context of programming, data science, robotics, IoT, arts, and soft skills, that will deliver a higher level of skills developing learning competencies centered on the student during your studies towards university. © 2022 Latin American and Caribbean Consortium of Engineering Institutions. All rights reserved.</t>
  </si>
  <si>
    <t>Computational Thinking; game-based learning; language programing; PBL; STEAM</t>
  </si>
  <si>
    <t>This work has been supported by the School of Electronic Engineering of the Universidad Pedagógica y Tecnológica de Colombia (UPTC) within the telecommunications research group GINTEL.</t>
  </si>
  <si>
    <t>Papert, S., (1980) Mindstorms: Children, computers, and powerful ideas, , 2nd ed. New York, NY, USA: Basic Books, Inc., Publishers; Lodi, M., Martini, S., Computational Thinking, Between Papert and Wing (2021) Sci. Educ, 30 (4), pp. 883-908; Wing, J. M., Computational Thinking (2006) Commun. ACM, 49 (3), pp. 33-35. , Mar; Angeli, C., A K-6 Computational Thinking Curriculum Framework: Implications for Teacher Knowledge (2016) J. Educ. Technol. Soc, 19 (3), pp. 47-57. , http://www.jstor.org/stable/jeductechsoci.19.3.47, Feb. [Online]. Available; Margaret, M., I., Jeanette M. and Hartnett, “Computational Thinking in Junior Classrooms in New Zealand (2020) J. Open, Flex. Distance Learn, 24 (2), pp. 28-48; Angeli, C., Giannakos, M., Computational thinking education: Issues and challenges (2020) Comput. Human Behav, 105, p. 106185. , https://doi.org/10.1016/j.chb.2019.106185; Cook, K., Bush, S., Cox, R., Edelen, D., Development of elementary teachers' science, technology, engineering, arts, and mathematics planning practices (2020) Sch. Sci. Math, 120 (4), pp. 197-208. , https://doi.org/10.1111/ssm.12400, Apr; Bers, M. U., Flannery, L., Kazakoff, E. R., Sullivan, A., Computational thinking and tinkering: Exploration of an early childhood robotics curriculum (2014) Comput. Educ, 72, pp. 145-157. , https://doi.org/10.1016/j.compedu.2013.10.020; Jenson, M., Jennifer; Droumeva, “Exploring Media Literacy and Computational Thinking: A Game Maker Curriculum Study (2016) Electron. J. e-Learning, 14 (2), pp. 111-121; Hsu, T.-C., Chang, S.-C., Hung, Y.-T., How to learn and how to teach computational thinking: Suggestions based on a review of the literature (2018) Comput. Educ, 126, pp. 296-310. , https://doi.org/10.1016/j.compedu.2018.07.004; ¿Quiénes son los docentes en Colombia? Características generales y brechas regionales (2018) Cent. Estud. Económicos Reg. Cart. - Banco la Respública, 276. , L. et al. Bonilla-Mejía</t>
  </si>
  <si>
    <t>2-s2.0-85140013025</t>
  </si>
  <si>
    <t>Fuentes-Contreras É.H., Rivas-Ramírez D.</t>
  </si>
  <si>
    <t>57223121004;57204806758;</t>
  </si>
  <si>
    <t>LESSONS (PRELIMINARIES) OF CONSTITUTIONAL SCIENCE. INPUTS FOR AN HISTORICAL STUDY OF COLOMBIAN CONSTITUTIONALISM OF THE END OF 19TH CENTURY [LECCIONES (PRELIMINARES) DE CIENCIA CONSTITUCIONAL. INSUMOS PARA EL ESTUDIO DE LA OBRA DE JUAN FÉLIX DE LEÓN, DENTRO DEL CONSTITUCIONALISMO COLOMBIANO DE FINALES DEL SIGLO XIX*/**]</t>
  </si>
  <si>
    <t>Historia Constitucional</t>
  </si>
  <si>
    <t>10.17811/HC.V0I23.819</t>
  </si>
  <si>
    <t>https://www.scopus.com/inward/record.uri?eid=2-s2.0-85140000194&amp;doi=10.17811%2fHC.V0I23.819&amp;partnerID=40&amp;md5=22f20ca5b016c879032c9a17e28f3e86</t>
  </si>
  <si>
    <t>Universidad de Los Andes, Chile; Investigador independiente, Colombia</t>
  </si>
  <si>
    <t>Fuentes-Contreras, É.H., Universidad de Los Andes, Chile; Rivas-Ramírez, D., Investigador independiente, Colombia</t>
  </si>
  <si>
    <t>In 1877, Professor Juan Félix De León published the work Lecciones de Ciencia Constitucional (Lessons in Constitutional Science), which studies the constitutional law of the 19th century. Based on it, this article proposes, from a genealogical methodology, a historical-interpretative reconstruction of the Constitution of the United States of Colombia (1863) regarding the issues of carrying and trading of weapons and constitutional reform. To this end, it contains a study of the context in which the work was published, the professional life of Professor De León and the contents of the book Lecciones de Ciencia Constitucional. © 2022 Seminario de Historia Constitucional "MartÃƒÂ­nez Marina". All rights reserved.</t>
  </si>
  <si>
    <t>19th century; Colombia; Colombian history; Constitutional Law; Juan Félix De León; Lecciones de Ciencia Constitucional</t>
  </si>
  <si>
    <t>AAVV, (2019) Guerra civil de 1876 o guerra de las escuelas, , LAVP, New York; ACOSTA-ALVARADO, Paola, ÁLVEZ MARÍN, Amaya, BETANCUR-RESTREPO, Laura, PRIETO-RÍOS, Enrique, RIVAS-RAMÍREZ, Daniel, VEÇOSO, Fabia, Rethinking International Legal Education In Latin America: Exploring Some Obstacles Of A Hegemonic Colonial Academic Model In Chile And Colombia (2021) Decolonizing Law: Indigenous, Third World and Settler Perspectives, , En: Sujith Xavier, Beverley Jacobs, Valerie Wabookse, Jeffrey G. Hewitt &amp; Amar Bhatia (eds) Londres, Routledge; FUENTES-CONTRERAS, Édgar Hernán, El fenómeno jurídico como construcción cultural (2015) Liber Amicorum. Homenaje a Marco Gerardo Monroy Cabra, Academia Colombiana de Jurisprudencia, pp. 109-128. , en Hernán Alejandro Olano García (coord. acad), Bogotá, D.C; AGUILERA PEÑA, Mario, Cien años de la guerra civil de 1895: con arcos de triunfo celebró Rafael Reyes la victoria de la regeneración (1995) Credencial Historia, (63). , https://www.banrepcultural.org/biblioteca-virtual/credencial-historia/numero-63/cien-anos-de-la-guerra-civil-de-1895, n disponible en (fecha de consulta 3, ene., 2022); ARENAS MENDOZA, Hugo Andrés, La importancia de la Corte Suprema Federal de los Estados Unidos de Colombia (1863-1886) en la consolidación de la Responsabilidad Patrimonial de las administraciones públicas nacionales (2011) AAVV, Instituciones Judiciales y Democracia. Reflexiones con ocasión del Bicentenario de la Independencia y del Centenario del Acto Legislativo 3 de 1910, pp. 335-368. , en Consejo de Estado, Bogotá, D.C; BARRETO ROZO, Antonio, MALAGÓN PINZÓN, Miguel, OTERO-CLEVES, Ana María, (2015) Tratados y manuales jurídicos del período radical. Análisis de la segunda mitad del siglo XIX colombiano, , Universidad de los Andes, Bogotá, D.C; BASILIEN-GAINCHE, Marie-Laure, La constitucionalidad de contienda: la promoción jurídica de la guerra civil en la Colombia del siglo XIX (2008) Historia Crítica, (35), pp. 130-149; BERRÍO, Pedro Justo, (1864) Manifiesto que el gobernador provisorio, de Antioquia dirige a la nación y a cada uno de los estados que la forman, , Hoja Suelta, Medellín; BOTERO-BERNAL, Andrés, Saberes y poderes. Los grupos intelectuales en Colombia (2011) Pensamiento Jurídico, (30), pp. 161-216; BOTERO-BERNAL, Andrés, Presupuestos epistemológicos y metodológicos de la iushistoria (2010) Precedente, pp. 45-70. , En; (1997) Derecho Constitucional Colombiano siglo XIX, , Imprenta Nacional de Colombia, Bogotá, D.C; CARDONA ZULUAGA, Patricia, Florentino González y la defensa de la república (2014) Araucaria, 16 (32), pp. 435-458; CASTRO-GÓMEZ, Santiago, GROSFOGUEL, Ramón, (2007) El Giro Decolonial Reflexiones Para Una Diversidad Epistémica Más Allá Del Capitalismo Global, , Bogota: Siglo del Hombre Editores; CATAÑO, Gonzalo, Un Estudio sobre la Clase Obrera (2011) Revista de Economía Institucional, 13 (24), pp. 481-492; CONTINI, Giuseppe, (1971) La Revisione Costituzionale In Italia, , Università di Cagliari, Milano; CORAL LUCERO, James Iván, La consolidación de la Constitución de 1853: debates y consensos (2013) Precedente, 2, pp. 47-71; CORDOVEZ MOURE, José María, (2006) Reminiscencias de Santafé y Bogotá, , Epígrafe, Bogotá, D.C; CORTÉS GUERRERO, José David, Desafuero eclesiástico, desamortización y tolerancia de cultos: Una aproximación comparativa a las reformas liberales mexicana y colombiana de mediados del siglo XIX (2004) Fronteras de la Historia, 9, pp. 93-128. , https://doi.org/10.22380/20274688.606, (fecha de consulta 3, ene., 2022); CRUZ RODRÍGUEZ, Edwin, El federalismo en Colombia (1863-1880). Una interpretación desde la perspectiva cognitiva (2013) Principia Iuris, (20), pp. 111-130; CRUZ RODRÍGUEZ, Edwin, La nación en Colombia del Radicalismo a la Regeneración (1863-1889): Una interpretación política (2010) Pensamiento Jurídico, (28), pp. 69-104; CRUZ RODRÍGUEZ, Edwin, El Federalismo en la Historiografía Política Colombiana (1853-1886) (2011) Historia Critica, (44), pp. 104-127; CUCCHI, Laura, Las Lecciones de Derecho Constitucional de Florentino González en la Universidad de Buenos Aires (1869-1874). Diseños políticos nacionales y circulación trasnacional de doctrinas en la construcción de los estados sudamericanos (2019) Historia Constitucional, (20), pp. 999-1020. , https://doi.org/10.17811/hc.v0i20.571, n (fecha de consulta 3, ene., 2022); DAU-LIN, Hsü, (1998) Mutación de la Constitución, , Traducción de Christian Förster y Pablo Lucas Verdú, Instituto Vasco de Administración Pública, Bilbao; DE CABO MARTÍN, Carlos, (2003) La reforma constitucional en la perspectiva de las fuentes del derecho, , Trotta, Madrid; DE MENDOZA VÉLEZ, Jorge, (1952) Gobernantes de la Nueva Granada, , Minerva, Bogotá, D.C; DE VEGA, Pedro, (2011) La reforma constitucional y la problemática del Poder Constituyente, , Tecnos, Madrid; DEHÁQUIZ, M., Jorge, A., GUTIÉRREZ DE, C., María, Luz, (2014) Escuela Normal Nacional de Institutoras de Bucaramanga Normas e Historial 1874-1899, , y (Comp), Dehaquiz Mejia, Bucaramanga; ESPAÑA, Gonzalo, (2013) El país que se hizo a tiros: Las guerrillas civiles en que se forjó Colombia (1810-1903), , Debate, Madrid; FERREYRA, (2007) RaúlGustavo,Reformaconstitucionalycontroldeconstitucionalidad, , Ediar, Buenos Aires; FONT OPORTO, Pablo, El núcleo de la doctrina de Francisco Suárez sobre la resistencia y el tiranicidio (2013) Pensamiento, 69 (260), pp. 493-521; FOUCAULT, Michel, (2008) Genealogía del racismo, , Traducción de Alfredo Tzveibel, Altamira, La Plata; FOUCAULT, Michel, (2008) Nietzsche, la Genealogía, la Historia, , Traducción de José Vázquez Pérez, Pre-Textos, Valencia; FUENTES-CONTRERAS, Édgar Hernán, MURILLO, Nadia Michele, CASTILLO, PATIÑO, Arley, Jhamer, (2021) (R)evolución del Constitucionalismo provincial en la (Primera) independencia de la Nueva Granada, , y (coords. acads), Grupo Editorial Ibáñez, Bogotá, D.C; FUENTES-CONTRERAS, Édgar Hernán, Cultura, Derecho y Comunicación. Descripción del fenómeno jurídico como construcción cultural (2020) Temas Selectos de Derecho constitucional y arbitraje, pp. 9-29. , en AAVV., Universidad del Valle, Cochabamba; GARCÍA LOZANO, Juan Carlos, Educación y modernidad en la sociedad civil colombiana (2018) Encuentros, (8), pp. 27-50; GAVIRIA LIÉVANO, Enrique, (2002) El liberalismo y la insurrección de los artesanos contra el librecambio, , Universidad de Bogotá Jorge Tadeo Lozano, Bogotá, D.C; GIRALDO JIMÉNEZ, Fabio Humberto, Constituciones y cultura política 1863-1886 (1992) Estudios Políticos, (1), pp. 7-28; GIRALDO RAMÍREZ, Jorge, FORTOU, R., Antonio, José, Una comparación cuantitativa de las Guerras Civiles colombianas, 1830-2010 (2011) Análisis Político, (72), pp. 3-21. , y nº; GÓMEZ, Amaral Palevi, Ideas y pensamientos educativos en América Latina. De la escolástica colonial al posneoliberalismo educativo (2010) Revista Latinoamericana de Estudios Educativos, 11 (2). , ARÉVALO; GONZÁLEZ, Florentino, (1869) Lecciones de Derecho Constitucional, , Medardo Rivas, Bogotá; GONZÁLEZ, Florentino, (1871) Lecciones de Derecho Constitucional, Segunda Edición, corregida y aumentada, , Rosa y Bouret, Paris; GOYES MORENO, Isabel, (2008) La enseñanza del Derecho en Colombia 1886-1930, , Tesis Doctoral, Universidad de Nariño, San Juan de Pasto; GUERRERO APRÁEZ, Víctor, Hacia una aproximación comparativa de las Guerras Civiles de 1876-77 y los Mil Días (2013) Pap. Polít, 18 (2), pp. 549-583; GUZMÁN MÉNDEZ, Diana Paola, La enseñanza de la lectura como profilaxis: el Decreto Orgánico de Instrucción Pública: entre la caridad y la instrucción (2016) Historia y Memoria, (13), pp. 121-149; HAMILTON, Alexander, MADISON, James, JAY, John, (1982) El Federalista, , FCE, México, D.F; HERNÁNDEZ-PINZÓN GARCÍA, Alonso, El derecho constitucional a las armas en EE.UU (2010) RJUAM, (21), pp. 133-148; ISASI-DÍAZ, Ada María, MENDIETA, Eduardo, (2012) Decolonizing Epistemologies: Latina/o Theology and Philosophy, , New York: Fordham University Press; JARAMILLO JARAMILLO, Juliana, (2013) El movimiento educativo en los Estados Unidos de Colombia, 1863-1886. Una mirada a través de la participación de las asociaciones voluntarias, , Tesis de Magíster, Universidad Nacional de Colombia, Bogotá, D.C; JARAMILLO URIBE, Jaime, El proceso de la educación del Virreinato a la época contemporánea (1980) Manual de historia de Colombia, , en Jaime Jaramillo Uribe (dir), Tomo III, Instituto colombiano de cultura, Bogotá; JARAMILLO URIBE, Jaime, LEMAITRE, Eduardo, (1986) Núñez y Caro 1886, , y otros, Banco de la República, Bogotá; JELLINEK, George, (1991) Reforma y mutación de la Constitución, , Centro de Estudios Constitucionales, Madrid; JIMENO, Myriam, (2008) Los límites de la libertad. Ideología política y violencia en los radicales colombianos, , Universidad Nacional de Colombia, Bogotá, D.C; LAGUNA RODRÍGUEZ, Nelson Enrique, Documentos plebeyos frente a las reformas liberales del siglo XIX (1848-1863) (2009) Vínculos, 6 (1), pp. 84-97. , https://doi.org/10.14483/2322939X.4145, n (fecha de consulta 3, ene., 2022); LAVERDE AMAYA, Isidoro, (1895) Bibliografía colombiana, , Medardo Rivas, Bogotá; LEÓN GÓMEZ, Adolfo, (1905) Secretos del Panóptico, , Imprenta de M. Rivas &amp; Ca, Bogotá; LEÓN GÓMEZ, Santiago, El constitucionalismo colombiano en el Siglo XX ¿Modelo de organización o elemento de dominación? (2013) Historia Constitucional, (14), pp. 467-488; LEÓN, Juan Félix de, Discurso ordenado por el artículo 246 del Reglamento. Sesión solemne del 15 de diciembre de 1869 (1870) Anales de la Universidad Nacional de los Estados Unidos de Colombia, 3 (13), pp. 70-85; LEÓN, Juan Félix de, Programa del curso segundo de la Escuela de Jurisprudencia en la Universidad Nacional (1871) Anales de la Universidad Nacional de los Estados Unidos de Colombia, 5 (28-29), pp. 152-163; LEÓN, Juan Félix de, (1877) Lecciones de Ciencia Constitucional dictadas en el curso oral de la materia, , en la Universidad Nacional de los Estados Unidos de Colombia, Imprenta de Medardo Rivas, Bogotá; MALAGÓN PINZÓN, Miguel, Florentino González, el constitucionalismo del siglo xix y la Procuraduría General de la Nación (2017) Rev. Derecho Público, (38). , https://derechopublico.uniandes.edu.co/index.php?option=com_content&amp;view=article&amp;id=602%3Aflorentino-gonzalez-el-constitucionalismodel-siglo-xix-y-la-procuraduria-general-de-la-nacion&amp;catid=46%3A38&amp;Itemid-=151&amp;lang=es, n disponible en (fecha de consulta 3, ene., 2022); MALAGÓN PINZÓN, Miguel, La regeneración, la Constitución de 1886 y el papel de la Iglesia Católica (2006) Civilizar, (11). , https://www.redalyc.org/articulo.oa?id=100220318001, n disponible en (fecha de consulta 3, ene., 2022); MALAGÓN PINZÓN, Miguel, (2019) Historia de la formación y la enseñanza de la ciencia administrativa y el derecho administrativo en Colombia (1826-1939), , Universidad de los Andes y Universidad del Rosario, Bogotá, D.C; MALANGÓN PINZÓN, Miguel, La acción pública de inconstitucionalidad en la Colombia del siglo XIX a través de una ley sobre el Colegio Mayor del Rosario (2007) Estudios Socio-Jurídicos, 9 (2), pp. 207-231; MALANGÓN PINZÓN, Miguel, La Suspensión Provisional en el Derecho Constitucional Colombiano (2011) AAVV, Instituciones Judiciales y Democracia. Reflexiones con ocasión del Bicentenario de la Independencia y del Centenario del Acto Legislativo 3 de 1910, pp. 369-383. , en Consejo de Estado, Bogotá, D.C; MANRIQUE ARANGO, Carlos Mario, HERNÁNDEZ FOX, Arlen, Leonor, (2018) La influencia de las ideas socialistas en la Revolución del medio siglo en Colombia (1849-1954), , y Uniagustiniana, Bogotá, D.C; MARQUARDT, Bernd, Estado y Constitución en la Colombia de la Regeneración del Partido Nacional 1886-1909 (2011) Ciencia Política, (11), pp. 56-81; MARTÍNEZGARNICA, Armando, IdeologíayrealidaddelaGuardiaColombiana, 1863-1885 (2012) Historia y Sociedad, (22), pp. 25-50; MARTÍNEZ MARTÍNEZ, Faustino, El regicidio en las Partidas (2017) Clio &amp; Crimen, (14), pp. 59-84; MAYORGA GARCÍA, Fernando, El Manual de lógica de un libre pensador: Francisco Eustaquio Álvarez (2007) Francisco Eustaquio Álvarez, Manual de Lógica, pp. 11-65. , en Universidad del Rosario, Bogotá, D.C; MEJÍA GUTIÉRREZ, Jaime, Las ideas, los valores y los conocimientos de las élites republicanas que construyeron la nación y fundaron la Universidad Libre y laica a comienzos del siglo XX en Colombia (2008) Praxis, (4), pp. 10-23; MEJÍA GUTIÉRREZ, Jaime, Los movimientos de proyectos educativos universitarios en un contexto histórico de la vida colombiana, en la construcción del Estado-Nación a finales del siglo XIX y comienzos del siglo XX (2008) Polémica, (9), pp. 134-155; MEJÍA GUTIÉRREZ, Jaime, (2017) La Universidad Republicada y Laica en Colombia 1886-1924, , Escuela Superior de Administración Pública, Bogotá, D.C; MEJÍA, Sergio, Sobre la idea de tiranicidio en los Derechos y deberes del hombre en sociedad, catecismo republicano de Juan José Nieto (Cartagena, 1834) (2011) Estudios Sociales, (38), pp. 176-178; MELGAREJO ACOSTA, María del Pilar, El pensar histórico como genealogía: acto interpretativo y construcción de subjetividad (2000) Fronteras de la Historia, 5, pp. 35-50; MENA, Luis Alfonso, Melo, José María, (2018) el Rebelde General de los Artesanos y otros Ensayos Históricos, , LitoMuñoz, Cali; MILLÁN, O., Enrique, (1892) El origen y la fuente del derecho. Tesis leída y sostenida ante el Consejo de Profesores Universidad Externado de Colombia, para optar al grado de doctor en Jurisprudencia, , Echeverría Hermanos, Bogotá; MORALES BENÍTEZ, Otto, El pensador Rafael Uribe Uribe (2001) Derecho del Estado, (10), pp. 195-209; MORENO MONTOYA, Óscar Andrés, Historias de rojos y azules: los partidos políticos tradicionales colombianos desde la Independencia hasta mediados del siglo XIX (2012) Ciencias Sociales y Educación, 1 (1), pp. 93-110; MOUCHET, Carlos, Florentino Gonzalez, un Jurista de America: Sus Ideas Sobre el Regimen Municipal (1960) Journal of Inter-American Studies, 2 (1), pp. 83-101; OLANO GARCÍA, Hernán Alejandro, El Constitucionalista José Vicente Concha Ferreira (2002) Discurso del doctor Hernán Alejandro Olano García, en su posesión como Miembro Correspondiente de la Academia Colombiana de Jurisprudencia, , Bogotá, D.C., octubre 24 de; OLANO GARCÍA, Hernán Alejandro, Florentino González, constitucionalista y hacendista (2008) Vniversitas, 57 (116), pp. 289-295. , https://revistas.javeriana.edu.co/index.php/vnijuri/article/view/14570, n (fecha de consulta 3, ene., 2022); OLANO GARCÍA, Hernán Alejandro, Introducción al Lecciones de Ciencia Constitucional de Juan Félix de León (2009) Lecciones de Ciencia Constitucional, pp. 3-13. , en Juan Félix De León, Segunda Edición, Academia Colombiana de Jurisprudencia, Bogotá, D.C; OLANO GARCÍA, Hernán Alejandro, (2002) Constitucionalismo Histórico, , Librería del Profesional, Bogotá, D.C; OLANO GARCÍA, Hernán Alejandro, (2021) Manual de Pensamiento Histórico Constitucional Colombiano, , Tirant lo blanch, Bogotá, D.C; OLANO GARCÍA, Hernán Alejandro, (2015) Mil trescientos juristas, , Academia Colombiana de Jurisprudencia, Bogotá, D.C; ORTIZ MESA, Luis Javier, Antioquia durante la federación, 1850-1885 (2008) Anuario de Historia Regional y de las Fronteras, 13 (1), pp. 1-22; ORTIZ, Venancio, (1972) Historia de la Revolución del 17 de abril de 1854, , Banco Popular, Bogotá; OTERO BUITRAGO, Nancy, (2015) Tomás Cipriano de Mosquera: Análisis de su correspondencia como fuente historiográfica y mecanismo de poder. 1845-1878, , Universidad del Valle, Cali; OTERO MUÑOZ, Gustavo, (2019) Historia del Periodismo en Colombia, , Universidad Sergio Arboleda, Bogotá, D.C; OTERO SUÁREZ, Iván Daniel, La aplicación del artículo 91 de la Constitución de Rionegro. Una herramienta constitucional para la solución de los conflictos armados (2015) Derecho del Estado, (34), pp. 203-235; PATIÑO-ROJAS, Jorge Enrique, La Constitución de Rionegro. Antecedentes y esfuerzos en la concreción de un sistema política para Colombia (2015) Principia Iuris, 12 (24), pp. 221-239; PRADA NIÑO, Hernán, (1989) Nicolás Pinzón Warlosten. El Fundador, , en AAVV, Universidad Externado de Colombia. 1886 1986. Cien años de educación para la Libertad, Universidad Externado de Colombia, Bogotá; QUINCHE RAMÍREZ, Víctor Alberto, Ramírez, Manuel Fernando Quinche, Foucault y el análisis genealógico del derecho (2006) Estud. Socio-Jurídicos, 8 (2), pp. 29-43. , n; RAMÍREZ BACCA, Renzo, ZAPATA, Juan Guillermo, Pueblo”, constituciones y política en Antioquia (Colombia), 1810-1877 (2014) Historia y Sociedad, (27), pp. 101-135. , n; RODRÍGUEZGÓMEZ, JuanCamilo, ElcontextodelastesisdelprimerExternado, 1886-1895 (2011) Tesis del primer Externado 1886-1895, pp. 13-24. , en Juan Camilo Rodríguez Gómez (comp), Universidad Externado de Colombia, Bogotá, D.C; RODRÍGUEZ GÓMEZ, Juan Camilo, (2018) La luz no se extingue: Historia del Primer Externado 1886-1895, , Universidad Externado de Colombia, Bogotá, D.C; RODRÍGUEZ PIÑERES, Eduardo, Relaciones entre los Poderes Judicial y Legislativo (Trabajo laureado en el concurso abierto por el Gobierno para la provisión de las Delegaciones de Colombia en el segundo Congreso Científico Panamericano) (1916) Estudios de Derecho, 5 (45-46), pp. 1090-1999; RUBIO FRADE, José María, MENDOZA PÉREZ, (1986) Francisco y otros, Los Constituyentes de 1886, , Tomo I VI, Banco de la República, Bogotá; SÁNCHEZ RAMOS, Juan Darío, (2012) El pensamiento jurídico en los Estados Unidos de Colombia. Bogotá, 1863-1885, , Tesis de Magíster, Universidad Nacional de Colombia, Bogotá, D.C; SANTAMARÍA, Alejandro, El control constitucional por vía de excepción en el pensamiento constitucional colombiano: 1811-1886 (2012) Historia del Derecho Público en Colombia, pp. 263-320. , en Francisco Barbosa Delgado (edit), Tomo I, Universidad Externado de Colombia, Bogotá, D.C; SASTOQUE, R., Carolina, Edna, Mario, M., La guerra civil de 1876-1877 en los Andes Nororientales colombianos (2010) Economía Institucional, 12 (22), pp. 193-214. , n; SERPA FLÓREZ, Fernando, El golpe de Melo (1965) Boletín Cultural y Bibliográfico, 8 (7), pp. 1025-1029; SOTO ARANGO, Diana, (2006) Aproximación histórica de la universidad colombiana en el siglo XIX, , Universidad Pedagógica y Tecnológica de Colombia, Tunja; TASCÓN, Tulio Enrique, (2005) Historia del Derecho Constitucional Colombiano, , Universidad Externado de Colombia, Bogotá, D.C; TINJACA, R., Pablo, Pedro, El general Jose Maria Dionisio Melo y Ortiz (2017) Academia Huilense de Historia, (68), pp. 85-92; URIBE DE HINCAPIÉ, María Teresa, LÓPEZ LOPERA, Liliana María, (2008) La guerra por las soberanías. Memorias y relatos en la guerra civil de 1859-1862 en Colombia, , Instituto de Estudios Políticos La carreta, Medellín; URIBE URIBE, Rafael, (2013) Un defensor de la alegría: Rafael Uribe Uribe (1859-1914), , Universidad del Rosario, Bogotá, D.C; VARGAS MARTÍNEZ, Gustavo, María Melo, José, (1998) Los artesanos y el socialismo, , Planeta, Bogotá, D.C; VARGAS VILA, José María, Melo (1965) Boletín Cultural y Bibliográfico, 8 (5), pp. 722-724; VILA CASADO, Iván, (2018) Historia del Constitucionalismo colombiano, , Grupo Editorial Ibáñez, Bogotá, D.C; ZULUAGA GIL, Ricardo, (2013) El Estado Soberano de Antioquia, , Jurídica Sánchez, Medellín; AAVV, (2019) Guerra civil de 1876 o guerra de las escuelas, , LAVP, New York; ACOSTA-ALVARADO, Paola, ÁLVEZ MARÍN, Amaya, BETANCUR-RESTREPO, Laura, PRIETO-RÍOS, Enrique, RIVAS-RAMÍREZ, Daniel, VEÇOSO, Fabia, Rethinking International Legal Education In Latin America: Exploring Some Obstacles Of A Hegemonic Colonial Academic Model In Chile And Colombia (2021) Decolonizing Law: Indigenous, Third World and Settler Perspectives, , En: Sujith Xavier, Beverley Jacobs, Valerie Wabookse, Jeffrey G. Hewitt &amp; Amar Bhatia (eds) Londres, Routledge; AGUILERA PEÑA, Mario, Cien años de la guerra civil de 1895: con arcos de triunfo celebró Rafael Reyes la victoria de la regeneración (1995) Credencial Historia, (63). , https://www.banrepcultural.org/biblioteca-virtual/credencial-historia/numero-63/cien-anos-de-la-guerra-civil-de-1895, n disponible en (fecha de consulta 3, ene., 2022); ARENAS MENDOZA, Hugo Andrés, La importancia de la Corte Suprema Federal de los Estados Unidos de Colombia (1863-1886) en la consolidación de la Responsabilidad Patrimonial de las administraciones públicas nacionales (2011) AAVV, Instituciones Judiciales y Democracia. Reflexiones con ocasión del Bicentenario de la Independencia y del Centenario del Acto Legislativo 3 de 1910, pp. 335-368. , en Consejo de Estado, Bogotá, D.C; BARRETO ROZO, Antonio, MALAGÓN PINZÓN, Miguel, OTERO-CLEVES, Ana María, (2015) Tratados y manuales jurídicos del período radical. Análisis de la segunda mitad del siglo XIX colombiano, , Universidad de los Andes, Bogotá, D.C; BASILIEN-GAINCHE, Marie-Laure, La constitucionalidad de contienda: la promoción jurídica de la guerra civil en la Colombia del siglo XIX (2008) Historia Crítica, (35), pp. 130-149; BERRÍO, Pedro Justo, (1864) Manifiesto que el gobernador provisorio, de Antioquia dirige a la nación y a cada uno de los estados que la forman, , Hoja Suelta, Medellín; BOTERO-BERNAL, Andrés, Saberes y poderes. Los grupos intelectuales en Colombia (2011) Pensamiento Jurídico, (30), pp. 161-216; BOTERO-BERNAL, Andrés, Presupuestos epistemológicos y metodológicos de la iushistoria (2010) Precedente, pp. 45-70. , En; (1997) Derecho Constitucional Colombiano siglo XIX, , Imprenta Nacional de Colombia, Bogotá, D.C; CARDONA ZULUAGA, Patricia, Florentino González y la defensa de la república (2014) Araucaria, 16 (32), pp. 435-458; CASTRO-GÓMEZ, Santiago, GROSFOGUEL, Ramón, (2007) El Giro Decolonial Reflexiones Para Una Diversidad Epistémica Más Allá Del Capitalismo Global, , Bogota: Siglo del Hombre Editores; CATAÑO, Gonzalo, Un Estudio sobre la Clase Obrera (2011) Revista de Economía Institucional, 13 (24), pp. 481-492; CONTINI, Giuseppe, (1971) La Revisione Costituzionale In Italia, , Università di Cagliari, Milano; CORAL LUCERO, James Iván, La consolidación de la Constitución de 1853: debates y consensos (2013) Precedente, 2, pp. 47-71; CORDOVEZ MOURE, José María, (2006) Reminiscencias de Santafé y Bogotá, , Epígrafe, Bogotá, D.C; CORTÉS GUERRERO, José David, Desafuero eclesiástico, desamortización y tolerancia de cultos: Una aproximación comparativa a las reformas liberales mexicana y colombiana de mediados del siglo XIX (2004) Fronteras de la Historia, 9, pp. 93-128. , https://doi.org/10.22380/20274688.606, (fecha de consulta 3, ene., 2022); CRUZ RODRÍGUEZ, Edwin, El federalismo en Colombia (1863-1880). Una interpretación desde la perspectiva cognitiva (2013) Principia Iuris, (20), pp. 111-130; CRUZ RODRÍGUEZ, Edwin, La nación en Colombia del Radicalismo a la Regeneración (1863-1889): Una interpretación política (2010) Pensamiento Jurídico, (28), pp. 69-104; CRUZ RODRÍGUEZ, Edwin, El Federalismo en la Historiografía Política Colombiana (1853-1886) (2011) Historia Critica, (44), pp. 104-127; CUCCHI, Laura, Las Lecciones de Derecho Constitucional de Florentino González en la Universidad de Buenos Aires (1869-1874). Diseños políticos nacionales y circulación trasnacional de doctrinas en la construcción de los estados sudamericanos (2019) Historia Constitucional, (20), pp. 999-1020. , https://doi.org/10.17811/hc.v0i20.571, n (fecha de consulta 3, ene., 2022); DAU-LIN, Hsü, (1998) Mutación de la Constitución, , Traducción de Christian Förster y Pablo Lucas Verdú, Instituto Vasco de Administración Pública, Bilbao; DE CABO MARTÍN, Carlos, (2003) La reforma constitucional en la perspectiva de las fuentes del derecho, , Trotta, Madrid; DE MENDOZA VÉLEZ, Jorge, (1952) Gobernantes de la Nueva Granada, , Minerva, Bogotá, D.C; DE VEGA, Pedro, (2011) La reforma constitucional y la problemática del Poder Constituyente, , Tecnos, Madrid; DEHÁQUIZ, M., Jorge, A., GUTIÉRREZ DE, C., María, Luz, (2014) Escuela Normal Nacional de Institutoras de Bucaramanga Normas e Historial 1874-1899, , y (Comp), Dehaquiz Mejia, Bucaramanga; ESPAÑA, Gonzalo, (2013) El país que se hizo a tiros: Las guerrillas civiles en que se forjó Colombia (1810-1903), , Debate, Madrid; FERREYRA, (2007) RaúlGustavo,Reformaconstitucionalycontroldeconstitucionalidad, , Ediar, Buenos Aires; FONT OPORTO, Pablo, El núcleo de la doctrina de Francisco Suárez sobre la resistencia y el tiranicidio (2013) Pensamiento, 69 (260), pp. 493-521; FOUCAULT, Michel, (2008) Genealogía del racismo, , Traducción de Alfredo Tzveibel, Altamira, La Plata; FOUCAULT, Michel, (2008) Nietzsche, la Genealogía, la Historia, , Traducción de José Vázquez Pérez, Pre-Textos, Valencia; FUENTES-CONTRERAS, Édgar Hernán, MURILLO, Nadia Michele, CASTILLO, PATIÑO, Arley, Jhamer, (2021) (R)evolución del Constitucionalismo provincial en la (Primera) independencia de la Nueva Granada, , y (coords. acads), Grupo Editorial Ibáñez, Bogotá, D.C; FUENTES-CONTRERAS, Édgar Hernán, Cultura, Derecho y Comunicación. Descripción del fenómeno jurídico como construcción cultural (2020) Temas Selectos de Derecho constitucional y arbitraje, pp. 9-29. , en AAVV., Universidad del Valle, Cochabamba; FUENTES-CONTRERAS, Édgar Hernán, El fenómeno jurídico como construcción cultural Liber, , en Hernán Alejandro Olano García (coord. acad); (2015) Homenaje a Marco Gerardo Monroy Cabra, Academia Colombiana de Jurisprudencia, pp. 109-128. , Amicorum. Bogotá, D.C; GARCÍA LOZANO, Juan Carlos, Educación y modernidad en la sociedad civil colombiana (2018) Encuentros, (8), pp. 27-50; GAVIRIA LIÉVANO, Enrique, (2002) El liberalismo y la insurrección de los artesanos contra el librecambio, , Universidad de Bogotá Jorge Tadeo Lozano, Bogotá, D.C; GIRALDO JIMÉNEZ, Fabio Humberto, Constituciones y cultura política 1863-1886 (1992) Estudios Políticos, (1), pp. 7-28; GIRALDO RAMÍREZ, Jorge, FORTOU, R., Antonio, José, Una comparación cuantitativa de las Guerras Civiles colombianas, 1830-2010 (2011) Análisis Político, (72), pp. 3-21. , y nº; GÓMEZ, Amaral Palevi, Ideas y pensamientos educativos en América Latina. De la escolástica colonial al posneoliberalismo educativo (2010) Revista Latinoamericana de Estudios Educativos, 11 (2). , ARÉVALO; GONZÁLEZ, Florentino, (1869) Lecciones de Derecho Constitucional, , Medardo Rivas, Bogotá; GONZÁLEZ, Florentino, (1871) Lecciones de Derecho Constitucional, Segunda Edición, corregida y aumentada, , Rosa y Bouret, Paris; GOYES MORENO, Isabel, (2008) La enseñanza del Derecho en Colombia 1886-1930, , Tesis Doctoral, Universidad de Nariño, San Juan de Pasto; GUERRERO APRÁEZ, Víctor, Hacia una aproximación comparativa de las Guerras Civiles de 1876-77 y los Mil Días (2013) Pap. Polít, 18 (2), pp. 549-583; GUZMÁN MÉNDEZ, Diana Paola, La enseñanza de la lectura como profilaxis: el Decreto Orgánico de Instrucción Pública: entre la caridad y la instrucción (2016) Historia y Memoria, (13), pp. 121-149; HAMILTON, Alexander, MADISON, James, JAY, John, (1982) El Federalista, , FCE, México, D.F; HERNÁNDEZ-PINZÓN GARCÍA, Alonso, El derecho constitucional a las armas en EE.UU (2010) RJUAM, (21), pp. 133-148; ISASI-DÍAZ, Ada María, MENDIETA, Eduardo, (2012) Decolonizing Epistemologies: Latina/o Theology and Philosophy, , New York: Fordham University Press; JARAMILLO JARAMILLO, Juliana, (2013) El movimiento educativo en los Estados Unidos de Colombia, 1863-1886. Una mirada a través de la participación de las asociaciones voluntarias, , Tesis de Magíster, Universidad Nacional de Colombia, Bogotá, D.C; JARAMILLO URIBE, Jaime, El proceso de la educación del Virreinato a la época contemporánea (1980) Manual de historia de Colombia, , en Jaime Jaramillo Uribe (dir), Tomo III, Instituto colombiano de cultura, Bogotá; JARAMILLO URIBE, Jaime, LEMAITRE, Eduardo, (1986) Núñez y Caro 1886, , y otros, Banco de la República, Bogotá; JELLINEK, George, (1991) Reforma y mutación de la Constitución, , Centro de Estudios Constitucionales, Madrid; JIMENO, Myriam, (2008) Los límites de la libertad. Ideología política y violencia en los radicales colombianos, , Universidad Nacional de Colombia, Bogotá, D.C; LAGUNA RODRÍGUEZ, Nelson Enrique, Documentos plebeyos frente a las reformas liberales del siglo XIX (1848-1863) (2009) Vínculos, 6 (1), pp. 84-97. , https://doi.org/10.14483/2322939X.4145, n (fecha de consulta 3, ene., 2022); LAVERDE AMAYA, Isidoro, (1895) Bibliografía colombiana, , Medardo Rivas, Bogotá; LEÓN GÓMEZ, Adolfo, (1905) Secretos del Panóptico, , Imprenta de M. Rivas &amp; Ca, Bogotá; LEÓN GÓMEZ, Santiago, El constitucionalismo colombiano en el Siglo XX ¿Modelo de organización o elemento de dominación? (2013) Historia Constitucional, (14), pp. 467-488; LEÓN, Juan Félix de, Discurso ordenado por el artículo 246 del Reglamento. Sesión solemne del 15 de diciembre de 1869 (1870) Anales de la Universidad Nacional de los Estados Unidos de Colombia, 3 (13), pp. 70-85; LEÓN, Juan Félix de, Programa del curso segundo de la Escuela de Jurisprudencia en la Universidad Nacional (1871) Anales de la Universidad Nacional de los Estados Unidos de Colombia, 5 (28-29), pp. 152-163; LEÓN, Juan Félix de, (1877) Lecciones de Ciencia Constitucional dictadas en el curso oral de la materia, , en la Universidad Nacional de los Estados Unidos de Colombia, Imprenta de Medardo Rivas, Bogotá; MALAGÓN PINZÓN, Miguel, Florentino González, el constitucionalismo del siglo xix y la Procuraduría General de la Nación (2017) Rev. Derecho Público, (38). , https://derechopublico.uniandes.edu.co/index.php?option=com_content&amp;view=article&amp;id=602%3Aflorentino-gonzalez-el-constitucionalismodel-siglo-xix-y-la-procuraduria-general-de-la-nacion&amp;catid=46%3A38&amp;Itemid-=151&amp;lang=es, n disponible en (fecha de consulta 3, ene., 2022); MALAGÓN PINZÓN, Miguel, La regeneración, la Constitución de 1886 y el papel de la Iglesia Católica (2006) Civilizar, (11). , https://www.redalyc.org/articulo.oa?id=100220318001, n disponible en (fecha de consulta 3, ene., 2022); MALAGÓN PINZÓN, Miguel, (2019) Historia de la formación y la enseñanza de la ciencia administrativa y el derecho administrativo en Colombia (1826-1939), , Universidad de los Andes y Universidad del Rosario, Bogotá, D.C; MALANGÓN PINZÓN, Miguel, La acción pública de inconstitucionalidad en la Colombia del siglo XIX a través de una ley sobre el Colegio Mayor del Rosario (2007) Estudios Socio-Jurídicos, 9 (2), pp. 207-231; MALANGÓN PINZÓN, Miguel, La Suspensión Provisional en el Derecho Constitucional Colombiano (2011) AAVV, Instituciones Judiciales y Democracia. Reflexiones con ocasión del Bicentenario de la Independencia y del Centenario del Acto Legislativo 3 de 1910, pp. 369-383. , en Consejo de Estado, Bogotá, D.C; MANRIQUE ARANGO, Carlos Mario, HERNÁNDEZ FOX, Arlen, Leonor, (2018) La influencia de las ideas socialistas en la Revolución del medio siglo en Colombia (1849-1954), , y Uniagustiniana, Bogotá, D.C; MARQUARDT, Bernd, Estado y Constitución en la Colombia de la Regeneración del Partido Nacional 1886-1909 (2011) Ciencia Política, (11), pp. 56-81; MARTÍNEZGARNICA, Armando, IdeologíayrealidaddelaGuardiaColombiana, 1863-1885 (2012) Historia y Sociedad, (22), pp. 25-50; MARTÍNEZ MARTÍNEZ, Faustino, El regicidio en las Partidas (2017) Clio &amp; Crimen, (14), pp. 59-84; MAYORGA GARCÍA, Fernando, El Manual de lógica de un libre pensador: Francisco Eustaquio Álvarez (2007) Francisco Eustaquio Álvarez, Manual de Lógica, pp. 11-65. , en Universidad del Rosario, Bogotá, D.C; MEJÍA GUTIÉRREZ, Jaime, Las ideas, los valores y los conocimientos de las élites republicanas que construyeron la nación y fundaron la Universidad Libre y laica a comienzos del siglo XX en Colombia (2008) Praxis, (4), pp. 10-23; MEJÍA GUTIÉRREZ, Jaime, Los movimientos de proyectos educativos universitarios en un contexto histórico de la vida colombiana, en la construcción del Estado-Nación a finales del siglo XIX y comienzos del siglo XX (2008) Polémica, (9), pp. 134-155; MEJÍA GUTIÉRREZ, Jaime, (2017) La Universidad Republicada y Laica en Colombia 1886-1924, , Escuela Superior de Administración Pública, Bogotá, D.C; MEJÍA, Sergio, Sobre la idea de tiranicidio en los Derechos y deberes del hombre en sociedad, catecismo republicano de Juan José Nieto (Cartagena, 1834) (2011) Estudios Sociales, (38), pp. 176-178; MELGAREJO ACOSTA, María del Pilar, El pensar histórico como genealogía: acto interpretativo y construcción de subjetividad (2000) Fronteras de la Historia, 5, pp. 35-50; MENA, Luis Alfonso, Melo, José María, (2018) el Rebelde General de los Artesanos y otros Ensayos Históricos, , LitoMuñoz, Cali; MILLÁN, O., Enrique, (1892) El origen y la fuente del derecho. Tesis leída y sostenida ante el Consejo de Profesores Universidad Externado de Colombia, para optar al grado de doctor en Jurisprudencia, , Echeverría</t>
  </si>
  <si>
    <t>Arango-Lopera C.A.</t>
  </si>
  <si>
    <t>56653456700;</t>
  </si>
  <si>
    <t>Movements of the music philosophy: a reflection on the literature of the twenty-first century [DESPLAZAMIENTOS DE LA FILOSOFÍA DE LA MÚSICA: UNA REFLEXIÓN SOBRE LA LITERATURA DEL SIGLO XXIa]</t>
  </si>
  <si>
    <t>Perseitas</t>
  </si>
  <si>
    <t>10.21501/23461780.4010</t>
  </si>
  <si>
    <t>https://www.scopus.com/inward/record.uri?eid=2-s2.0-85139854683&amp;doi=10.21501%2f23461780.4010&amp;partnerID=40&amp;md5=22aba615f5e5048373eac0e6f54a98f9</t>
  </si>
  <si>
    <t>Facultad de Comunicación, Universidad de Medellín, Colombia</t>
  </si>
  <si>
    <t>Arango-Lopera, C.A., Facultad de Comunicación, Universidad de Medellín, Colombia</t>
  </si>
  <si>
    <t>At least until the 18th century, the task of thinking music was primarily the philosophy of music, a field that collects a tradition with centuries of secondlevel reflection on the musical. From there were prefigured ideas, values and categories that proved decisive for the advance, not only of the theoretical corpus (from which specialized fields such as musicology and musical esthetics derived), but of the musical art itself. However, since the mid-last century, new comprehensive frameworks have emerged, sprouted by the need to host other musical treasures that had been discarded in tradition, such as massive popular music. Thus, the entry into the present century leaves a lot of works that, from esthetics, anthropology and sociology, seek to understand other music and other phenomena that in the rational and formalistic traditions of the philosophy of music had not been addressed. We talk about moving around some old themes of music philosophy that are modulated in these areas. The text presents a reflection on the literature on these movements, in which 107 texts were considered, identified with the search criteria “philosophy music” and “music philosophy” in the EBSCO and JSTOR databases since 2000. The work aims to approach some of those ideas which, appearing in emerging fields, are, in any case, reflections on the condition of music, that is, philosophical reflections on music. © 2022 Universidad Catolica Luis Amigo. All rights reserved.</t>
  </si>
  <si>
    <t>Adorno, T., (1963) Mahler. Una fisiognómica musical, , Península; Adorno, T., Filosofía de la nueva música (2003), Obra completa 12. Akal; Adorno, T., (2009) Disonancias/Introducción a la sociología de la música, , Akal; Alonso-Bolaños, M., La etnomusicología aplicada: una historia crítica de los estudios de la música indígena de México (2008) Instituto Nacional de Antropología de México, 20, pp. 1-20. , http://lanic.utexas.edu/project/etext/llilas/vrp/mab.pdf; Alvarado, B., Opera del Cuerpo. Un campo de creación acontecido desde el caos (2017) Revista de Filosofía: Aurora, 29 (46), pp. 199-214. , https://doi.org/10.7213/1980-5934.29.046.DS11; Arango, C., McLuhan, Bauman y Mahler: el medio es el mensaje, en una botella (2020) Pensar la comunicación, VI, pp. 291-324. , en M. A. Álvarez Moreno &amp; C. A. Galvis Ortiz (Eds), Tomo –). Universidad de Medellín; Bannister, P., The offence of beauty in modern western art music [La ofensa de la belleza en la música culta occidental moderna (2013) Religions, 4 (4), pp. 687-700. , https://doi.org/10.3390/rel4040687; Bar-Elli, G., Wittgenstein on the experience of meaning and the meaning of music [Wittgenstein y la experiencia del significado y el significado en la música (2006) Philosophical Investigations, 29 (3), pp. 217-249. , https://doi.org/10.1111/j.1467-9205.2006.00291.x; Baricco, A., (1999) El alma de Hegel y las vacas de Wisconsin. Una reflexión sobre música culta y modernidad, , Siruela; Bauer, A., Philosophy recomposed: Stanley Cavell and the critique of new music (2010) Journal of Music Theory [Filosofía recompuesta: Stanley Cavell y la crítica a la nueva música], 54 (1), pp. 75-90. , https://doi.org/10.1215/00222909-2010-012; Bautista García, V. E., Un concepto revisado de música clásica (2013) Música Oral Del Sur: Revista Internacional, 1 (10), pp. 207-217. , https://dialnet.unirioja.es/servlet/articulo?codigo=5178729&amp;orden=0&amp;info=link; Beitia Bastida, M. Á., El lugar de la música en la filosofía del siglo XX (2017) Endoxa, Series Filosóficas, 39, pp. 305-325. , http://e-spacio.uned.es/fez/view/bibliuned:Endoxa-2017-39-5070; Beltrán Jaramillo, J. E., Barrera Galindo, H., (2014) Afrosound: cuando el chucu chucu se vistió de frac [Archivo de video], , https://www.youtube.com/watch?v=r1_RRyxjCGo&amp;ab_channel=porrosivo, Youtube; Berardi, F., (2017) Fenomenología del fin. Sensibilidad y mutación colectiva, , Caja Negra; Berendt, J., (1994) El jazz. De New Orleans al jazz rock, , Fondo de Cultura Económica; Bermúdez Rey, J. P., Interrupción de tendencias y criterio del gusto: La estética del criterio del gusto de David Hume y realización en la filosofía de la música de Leonard Meyer (2003) Universitas Philosophica, 20 (40–41), pp. 29-63. , https://revistas.javeriana.edu.co/index.php/vniphilosophica/article/view/11345; Black, P., On being and becoming a jazz musician: Perceptions of young scottish musicians [Sobre ser y convertirse en músico de jazz: Percepciones de músicos jóvenes escoceses (2017) London Review of Education, 15 (3), pp. 339-357. , https://doi.org/10.18546/LRE.15.3.02; Blanco Arboleda, D., (2018) La cumbia como matriz sonora de Latinoamérica: identidad y cultura continental, , Editorial Universidad de Antioquia; Blanning, T., (2011) El triunfo de la música: Los compositores, los intérpretes y el público desde 1700 hasta la actualidad, , Acantilado; Bonds, M. E., (2014) La música como pensamiento. El público y la música instrumental en la época de Beethoven, , Acantilado; Borio, G., The crisis of musical aesthetics in the 21st Century [La crisis de la estética musical en el Siglo XXI] (2009) Topoi, 28 (2), pp. 109-117. , https://doi.org/10.1007/s11245-009-9054-7; Bowie, A., Adorno, Heidegger and the meaning of music [Adorno, Heidegger y el significado de la música (1999) Thesis Eleven, 56 (1), pp. 1-23; https://doi.org/10.1177/0725513699056000002; Brown, L. B., Phonography, rock records, and the ontology of recorded music [Fonografía, grabaciones de rock, y la ontología de la música grabada (2000) The Journal of Aesthetics and Art Criticism, 58 (4), pp. 361-372. , https://doi.org/10.2307/432181; Cárdenas-Soler, R. N., Martínez-Chaparro, D., El paisaje sonoro, una aproximación desde la semiótica (2015) Revista Investigación, Desarrollo, Innovación, 5 (2), pp. 129-140. , https://revistas.uptc.edu.co/revistas/index.php/investigacion_duitama/article/view/3717; Cid Jurado, A. T., Los signos del merengue: un análisis semiótico (2006) Opción, 22 (50), pp. 101-127. , http://www.produccioncientificaluz.org/index.php/opcion/article/view/6380; Cobussen, M., (2017) Thresholds: Rethinking spirituality through music [Umbrales: Repensar la espiritualidad a través de la música], , https://doi.org/10.4324/9781315084770, Routledge; Comotti, G., (2017) La musica nella cultura greca e romana [La música en las culturas griega y romana], , EDT; Couselo, J. M., (1970) El tango en el cine mudo argentino, , https://www.todotango.com/historias/cronica/474/El-tango-en-elcine-mudo/, Buenos Aires Tango; Crary, J., (2008) Las técnicas del observador. Visión y modernidad en el siglo XIX, , Cendenac; Currie, A., Killin, A., Not music, but musics: A case for conceptual pluralism in aesthetics [No música, sino músicas: Un caso de pluralism conceptual en estética (2017) Estetika: The Central European Journal of Aesthetics, 54 (2), pp. 151-174. , http://dx.doi.org/10.33134/eeja.161; de Aguilera, M., Sedeño, A., Borges Rey, E., (2010) Hibridando el saber: investigar sobre comunicación y música, , Universidad de Málaga; Díaz Baeza, D., Factores de emisión y recepción en un videojuego musical (2010) Hibridando el saber. Investigar en comunicación y música, pp. 120-128. , en M. De Aguilera, A. Sedeño, &amp; E. Borges Rey (Eds), –). Universidad de Málaga; Distaso, L. V., On the common origin of music and philosophy: Plato, Nietzsche, and Benjamin [Sobre el origen común de la música y la filosofía: Platón, Nietzsche y Benjamin] (2009) Topoi, 28 (2), pp. 137-142. , https://doi.org/10.1007/s11245-009-9058-3; Doyle, P., (2005) Echoe &amp; Reverb. Fabricating Space in Popular Music Recording, 1900-1960 [Eco y reverb: fabricando espacio en la grabación musical, 1900-1960], , Wesleyan University Press; Fernández Porta, E., (2008) Homo sampler. Tiempo y consumo en la era after-pop, , Anagrama; Fernández-Cortés, J., Ludomusicología: normalizando el estudio de la música de los videojuegos (2020) Anuario Musical, (75), pp. 181-199. , https://doi.org/https://doi.org/10.3989/anuariomusical.2020.75.09; Fisher, M., (2018) Fantasmas de mi vida. Escritos sobre depresión, hauntología y futuros perdidos, , Caja Negra; Fubini, E., (1999) La estética desde la Antigüedad hasta el siglo XX, , Alianza; Fubini, E., (2004) El siglo XX: entre música y filosofía, 19. , Universitat de València; Gallope, M., Kane, B., Rings, S., Vladimir Jankélévitch’s Philosophy of Music (2012) Journal of the American Musicological Society K [Filosofía de la música de Vladimir Jankélévitch], 65 (1), pp. 215-256; García Peña, I., Cuatro sentidos de la música en la filosofía griega (2013) Azafea. Revista de Filosofía, 15, pp. 21-37. , https://revistas.usal.es/index.php/0213-3563/article/view/12250/12605; Gatón Lasheras, C., Música, poesía y política. Estudio de los patrones musicales a través del álbum “Dedicado a Antonio Machado, Poeta (2010) Hibridando el saber. Investigar en comunicación y música, pp. 82-89. , de Joan Manuel Serra en M. De Aguilera, A. Sedeño, &amp; E. Borges Rey (Eds), –). Universidad de Málaga; Gunkel, D., Rethinking the digital remix: Mash-ups and the metaphysics of sound recording [Repensar la mezcla digital: mash-ups y la metafísica de la grabación musical (2008) Popular Music and Society, 31 (4), pp. 489-510. , https://doi.org/10.1080/03007760802053211; Guter, E., The good, the bad, and the vacuous: Wittgenstein on modern and future musics [El bueno, el malo y el vacío: Wittgenstein sobre las músicas modernas y futuras (2015) Journal of Aesthetics and Art Criticism, 73 (4), pp. 425-439. , https://doi.org/10.1111/jaac.12205; Guzmán, G., Adorno y Mahler: finales y comienzos (2018) Arte e Investigación, (14), pp. 1-11. , https://doi.org/https://doi.org/10.24215/24691488e013; Hanslick, E., (2001) The Beautiful In Music: A Contribution to the Revisal of Musical Aesthetics [La belleza en la música: Una contribución a la revisión de la estética musical], , New Publisher; Harnoncourt, N., (2006) La música como discurso sonoro, , Acantilado; Hui, A. E., Instruments of music, instruments of science: Hermann von Helmholtz’s musical practices, his classicism, and his Beethoven Sonata [Instrumentos de música, instrumentos de ciencia: Prácticas musicales de Hermann von Helmholt, su clasicismo y su Beethoven Sonata] (2011) Annals of Science, 68 (2), pp. 149-177. , https://doi.org/10.1080/00033790.2010.519991; Jankélévitch, V., (2005) La música y lo inefable, , Alpha Decay; Jáuregui, J., (2007) El mariachi, símbolo nacional de México, , Taurus; Juzefovič, A., The flirt between the tango and the cinematography: Passion, crime and death [El coqueteo entre el tango y la cinematografía: Pasió, crimen y muerte (2019) Logos, (100), pp. 179-189. , https://doi.org/10.24101/logos.2019.62; Kane, B., Jazz, Mediation, Ontology (2018) Contemporary Music Review [Jazz, mediación, ontología: revisión a la música contemporánea], 37 (5–6), pp. 507-528. , https://doi.org/10.1080/07494467.2017.1402466; Kanellopoulos, P., Envisioning Autonomy through Improvising and Composing: Castoriadis visiting creative music education practice [Imaginando la autonomía a través de la improvisación y la composición: Castoriadis visitando la práctica de la educación musical creativa (2012) Educational Philosophy and Theory, 44 (2), pp. 151-182. , https://doi.org/10.1111/j.1469-5812.2010.00638.x; Kania, A., Making tracks: The ontology of rock music [Haciendo pistas: La ontología de la música rock] (2006) The Journal of Aesthetics and Art Criticism, 64 (4), pp. 401-414; Kim, J. H., Seifert, U., Interactivity of digital musical instruments: Implications of classifying musical instruments on basic music research [Interactividad de los instrumentos musicales digitales: implicaciones de clasificar instrumentos musicales en la investigación musical básica (2016) En Musical Instruments in the 21st Century: Identities, Configurations, Practices, pp. 79-94. , https://doi.org/10.1007/978-981-10-2951-6_7; Kleinman, K., Darwin and Spencer on the origin of music. Is music the food of love? [Darwin y Spencer sobre el origen de la música. ¿Es la música el alimento del amor] (2015) Progress in Brain Research, 217, pp. 3-15. , https://doi.org/10.1016/bs.pbr.2014.11.018; Kremendahl, L., Philosophy on the operatic stage: Enlightenment, materialism and atheism in Mozart’s Cosi fan tutte [Filosofía en el escenario operístico: Ilustración, materialismo y ateísmo en “La escuela de los amantes” de Mozart] (2010) Acta Mozartiana, 57 (1), pp. 16-42. , https://www.scopus.com/inward/record.uri?eid=2-s2.0-77955454920&amp;partnerID=40&amp;md5=e415cae8ba84e74a87faafea1acdb5c0; Leslie, D., Rantisi, N., Deskilling in cultural industries: Corporatization, standardization and the erosion of creativity at the Cirque du Soleil [Descualificación en las industrias culturales: Corporatización, estandarización y la erosion de la creatividad en el Circo del Sol] (2019) Geoforum, 99, pp. 257-266. , https://doi.org/10.1016/j.geoforum.2017.09.011; Levinson, J., Philosophy and music [Filosofía y música] (2009) Topoi, 28 (2), pp. 119-123. , https://doi.org/10.1007/s11245-009-9055-6; Levinson, J., The Oxford Handbook of Aesthetics [Manual de Estética de Oxford] (2009), https://doi.org/10.1093/oxfordhb/9780199279456.001.0001, The Oxford Handbook; Levinson, J., Musical Beauty [Belleza musical] (2012) Teorema, 31 (3), pp. 127-135. , https://www.jstor.org/stable/43046960; Lipovetsky, G., Serroy, J., (2009) La pantalla global. Cultura mediática en la era hipermoderna, , Anagrama; Luzio, H., The ontology of rock music: Recordings, performances and the synthetic view [Ontología de la música rock: grabaciones, interpretaciones y la vision sintética (2019) Filozofija i Drustvo, 30 (1), pp. 73-82. , https://doi.org/10.2298/FID1901073L; Lyon, E. L., Affection, attention, and the will: Medieval models of devout chant [Afecto, atención y voluntad: modelos medievales de canto devoto (2018) International Review of the Aesthetics and Sociology of Music, 49 (1), pp. 3-28. , https://www.scopus.com/inward/record.uri?eid=2-s2.085052071210&amp;partnerID=40&amp;md5=d32843ee52ff7b05e7d25ebe332b0b35; Marín, U., Categorías filosóficas generales aplicadas a los fenómenos estéticos. Estudio de caso en la música y los discursos sonoros (2014) Ciencia Ergo-Sum, Revista Científica Multidisciplinaria de Prospectiva, 21 (2), pp. 112-120. , https://cienciaergosum.uaemex.mx/article/view/7455; Martel, F., (2011) Cultura mainstream. Cómo nacen los fenómenos de masas, , Taurus; Martinelli, D., Music,IdentityandtheStrangeCaseofAuthenticity[Música,identidadyelextrañocasodelaautenticidad] (2008) LietuvosMuzikologija, 1 (9), pp. 122-130. , http://žurnalai.lmta.lt/wp-content/uploads/2008/Lietuvos_muzikologija_IX_Martinelli_122-130.pdf; Martínez, I. C., Epele, J., ¿Como se construye la experiencia intermodal del movimiento y la música en la danza? Relaciones decoherencia en la performance y en la recepción de frases de música y de movimiento (2012) Cuadernos de Música, Artes Visuales y Artes Escénicas, 7 (2), pp. 65-82. , https://revistas.javeriana.edu.co/index.php/cma/article/view/3916; Matherne, S., Kant’s expressive theory of music [La teoría expresiva de la música de Kant] (2014) Journal of Aesthetics and Art Criticism, 72 (2), pp. 129-145. , https://doi.org/10.1111/jaac.12076; Menin, D., Schiavio, A., Rethinking musical affordances [Repensar las prestaciones de la música] (2012) Avant, 3 (2), pp. 202-215. , http://avant.edu.pl/wp-content/uploads/DMAS-Rethinking-Musical-Affordances.pdf; Milutis, J., The biography of the sample: Notes on the hidden contexts of acousmatic art [Biografía del sample: Notas sobre el context oculto del arte acusmático (2008) Leonardo Music Journal, (18), pp. 71-75. , https://doi.org/10.1162/lmj.2008.18.71; Monedero Morales, C., del, R., Una propuesta para el análisis de los estereotipos femeninos en los videoclips de reggaeton: Caso práctico de los cuatro vídeos más vistos en 2018 en YouTube (2020) International Visual Culture Review, 7 (1), pp. 13-26. , http://dx.doi.org/10.37467/gka-revvisual.v7.2280; Mueller, C., Gothicism and English Goth Music: Notes on the Repertoire [Goticismo y la música gótica inglesa: Notas sobre el repertorio (2012) Gothic Studies, 14 (2), pp. 74-88. , https://doi.org/10.7227/gs.14.2.6; Negretto, E., Expectation and anticipation as key elements for the constitution of meaning in music [Expectativa y anticipación como elementos clave para la constitución del significado en la música (2012) Teorema: Revista Internacional de Filosofía, 31 (3), pp. 149-163. , https://www.jstor.org/stable/43046962; Neubauer, J., (2005) La emancipación de la música. El alejamiento de la mímesis en la estética del siglo XVIII, , La Balsa de la Medusa; Ochoa Escobar, J. S., (2018) Sonido sabanero y sonido paisa: la producción de música tropical en Medellín durante los años sesenta, , Editorial Pontificia Universidad Javeriana; Olteţeanu, I., Music, rhetoric, and representation [Música, retórica y representación (2009) Analysis and Metaphysics, pp. 160-164. , (08); Oyola Pérez, J. M., Borges, E., La explotación del éxito comercial a través del fenómeno de la versión en M (2010) Hibridando el saber. Investigar en comunicación y música, pp. 74-81. , De Aguilera, A. Sedeño, &amp; E. Borges Rey (Eds), –). Universidad de Málaga; Parker, R., As a stranger give it welcome’: Musical meanings in 1830s London [“As a stranger give it welcome”: Significados musicales en Londres de 1830 (2010) Representation in Western Music, pp. 33-46. , https://doi.org/10.1017/CBO9781139109413.004, en –); Parra-Valencia, J. D., (2017) Deconstruyendo el chucu-chucu. Auges, declives y resurrecciones de la música tropical colombiana, , ITM; Pedone, N., Musicologia e fenomenologia in F. Joseph Smith (1995) Axiomathes, 6 (2), pp. 211-226. , https://doi.org/10.1007/BF02284702; Pérez Custodio, D., Aproximación a la memética y sus posibles aplicaciones al estudio de la música en el contexto audiovisual (2010) Hibridando el saber. Investigar en comunicación y música, pp. 37-42. , El caso de Geddan en M. de Aguilera, A. Sedeño-Valdellós, &amp; E. Borges-Rey (Eds), –). Universidad de Málaga; Perman, T., The ethics of Ndau performance: Questioning ethnomusicology’s aesthetics [La ética en interpertación de los Ndau: Cuestionando la estética etnomusicológica (2011) Journal of Musicological Research, 30 (3), pp. 227-252. , https://doi.org/10.1080/01411896.2011.564056; Porta Navarro, A., (2007) Músicas públicas, escuchas privadas. Hacia una lectura de la música popular contemporánea, , Universidad Politécnica de Valencia; Radigales, J., Fraile-Prieto, T., La música en los estudios de Comunicación Audiovisual. Prospecciones y estado de la cuestión (2006) Trípodos, (19), pp. 99-112. , http://www.agifreu.com/docencia/lectures_complementaries/musica_com_audio.pdf; Ratliff, B., (2016) Every song ever. Twenty ways to listen in an age of musical plenty [Cada canción alguna vez. Veinte maneras de escuchar en una era de abundancia musical], , Penguin; Rincón, C., Memoria y nación: una introducción en C (2010) Entre el olvido y el recuerdo. Íconos, lugares de memoria y cánoes de la historia y la literatura en Colombia, pp. 10-64. , Rincón, S. de Moji-ca, &amp; L. Gómez (Eds), –). Editorial Pontificia Universidad Javeriana; Rivera-Rideau, P. R., (2015) Remixing Reggaetón: The cultural politics of race in Puerto Rico [Remezclando reggaetón: Políticas culturales de raza en Puerto Rico], , Duke University Press; Roncallo-Dow, S., Uribe-Jongbloed, E., La estética de los videoclips: propuesta metodológica para la caracterización de los productos audiovisuales musicales (2017) Cuadernos de Música, Artes Visuales y Artes Escénicas, 12 (1), pp. 79-109. , https://doi.org/https://doi.org/10.11144/Javeriana.mavae12-1.evpm; Roncallo-Dow, S., Uribe-Jongbloed, E., Goyeneche-Gómez, E., (2016) Volver a los clásicos: teorías de la comunicación y cultura pop, , Universidad de La Sabana; Ross, G., (2001) Popular music analysis, , https://prism.ucalgary.ca/handle/1880/40925, [Tesis de Maestría, University Of Caligary] [Análisis de la música popular]; Sanguinetti, G. C., Música y subjetividad. Hegel y las concepciones románticas de la música (2012) Anales del Seminario de Historia de la Filosofía, 29 (2), pp. 593-608. , https://www.redalyc.org/pdf/3611/361133104013.pdf; Schiavio, A., Constituting the Musical Object: A Neurophenomenologi-cal Perspective on Musical Research [Constituir el objeto musical: Una perspectiva neurofenomenológica de la investigación musical] (2012) Teorema, 31 (3), pp. 63-80. , https://www.jstor.org/stable/43046956; Scruton, R., Musical movement: A reply to Budd [Movimiento musical: Una Réplica a Budd] (2004) British Journal of Aesthetics, 44 (2), pp. 184-187. , https://doi.org/10.1093/bjaesthetics/44.2.184; Sedeño, A., Videoclip musical: desarrollo industrial y últimas tendencias internacionales (2006) Ciencias Sociales On-Line, 3 (1), pp. 47-57. , http://www.agifreu.com/docencia/lectures_obligatories/desarrollo_industrial.pdf; Sedeño, A., El videoclip como mercanarrativa (2007) Revista Sigma, 16, pp. 493-504. , https://doi.org/10.5944/signa.vol16.2007.6152; Sève, B., (2018) El instrumento musical, , Acantilado; Sevilla, M., Ochoa Escobar, J. S., Santamaría-Delgado, C., Cataño Arango, C. E., (2014) Travesías por la tierra del olvido: modernidad y colombianidad en la música de Carlos Vives y La Provincia, , Editorial Pontificia Universidad Javeriana; Smicek, N., (2014) Capitalismo de plataformas, , Caja Negra; Spener, D., An Internationalist Culture of the Singing Left in the Twentieth Century [Una cultura Internacionalista de la izquierda cantante en el siglo veinte (2016) We Shall Not Be Moved/No nos moverán, pp. 135-146. , http://www.jstor.com/stable/j.ctt1kft8ff.13, en –). Temple University Press; Stamatović, S., Why did Plato claim that philosophy was the greatest music? [Por qué Platón reclama que la filosofía es la música más maravillosa (2016) Filozofska Istrazivanja, 36 (2), pp. 203-219. , https://doi.org/10.21464/fi36202; Steinberg, J. R., Fairweather, A., (2012) Blues-Philosophy for Everyone: Thinking Deep About Feeling Low, , https://doi.org/10.1002/9781118153284, John Wiley &amp; Sons [Filosofía blues para todos: Pensar profundo sobre sentirse mal]; Steinberg, M., (2008) Escuchar a la razón: cultura, subjetividad y la música del siglo XIX, , Fondo de Cultura Económica; Szendy, P., Bishop, W., (2012) Hits: Philosophy in the jukebox [Éxitos: Filosofía en el tocadiscos], , Fordham University Press; Tarasti, E., Los signos en la historia de la música, historia de la semiótica musical (2008) Tópicos Del Seminario, (19), pp. 15-71. , https://www.topicosdelseminario.buap.mx/index.php/topsem/article/view/167; Thompson, D., (2018) Creadores de hits: la ciencia de la popularidad en la era de la distracción, , Océano; Valdivia Sevilla, F. A., La popularización de la guitarra en España durante el siglo XVII en M (2010) Hibridando el saber. Investigar en comunicación y música, pp. 65-73. , Aguilera, A. Sedeño, &amp; E. Borges Rey (Eds), –). Universidad de Málaga; Vallee, M., The media contingencies of generation mashup: A Žižekian critique (2013) Popular Music and Society, 36 (1), pp. 76-97. , https://doi.org/10.1080/03007766.2011.627729; Van Wymeersch, B., The Timaeus of plato and the philosophy of music in the middle ages [El Timeo de Platón y la filosofía de la música en la Edad Media] (2002) Etudes Classiques, 71 (1), pp. 71-89. , https://www.scopus.com/inward/record.uri?eid=2-s2.0-67649238241&amp;partnerID=40&amp;md5=e5d8376bfe4f8efdd23147efa5544d1c; Vannini, P., Waskul, D., Symbolic interaction as music: The esthetic constitution of meaning, self, and society [Interacción simbólica como música: La constitución estética del objeto, el sí mismo y la sociedad (2006) Symbolic Interaction, 29 (1), pp. 5-18. , https://doi.org/10.1525/si.2006.29.1.5; Verzosa, N., Intellectual contexts of “The absolute” in French Musical Aesthetics, ca. 1830-1900 [Contextos intelectuales de “Lo absoluto” en la Estética musical francesa, ca. 1830-1900] (2014) JournalofMusicology, 31 (4), pp. 471-502. , https://doi.org/10.1525/JM.2014.31.4.471; Viñuela, E., El espacio urbano en la música popular: de la apropiación discursiva a la mercantilización (2010) Trípodos, (26), pp. 15-28. , http://hdl.handle.net/10045/14980; Walser, R., (2003) Analyzing Popular Music [Analizar música popular] en Popular music analysis: ten apothegms and four instances, pp. 16-38. , Cambridge University Press; Willemse, H., In steadfast allegiance: Adam Small and the Cape Flats Players [En firme lealtad: Adam Small y los Cape Flats Payers (2017) TydskrifVir Geesteswetenskappe, 57 (4), pp. 879-896. , https://doi.org/10.17159/22247912/2017/v57n4a2; Wilson, S., After Beethoven, after Hegel: Legacies of selfhood in Schnittke’s String Quartet No. 4 [Después de Beethoven, después de Hegel: Legados del sí mismo en el Cuarteto de Cuerdas No. 4 de Schnittke] (2014) International Review of the Aesthetics and Sociology of Music, 45 (2), pp. 311-334. , https://www.jstor.org/stable/43198650; Young, J., Music and the representation of emotion [Música y la representación de la emoción] (2013) Frontiers of Philosophy in China, 8 (2), pp. 332-348. , https://doi.org/10.3868/s030-002-013-0026-1</t>
  </si>
  <si>
    <t>Arango-Lopera, C.A.; Facultad de Comunicación, Colombia; email: caarango@udemedellin.edu.co</t>
  </si>
  <si>
    <t>Universidad Catolica Luis Amigo</t>
  </si>
  <si>
    <t>2-s2.0-85139854683</t>
  </si>
  <si>
    <t>Andani F.J., Rubio L., Fernández H., Bernardo B., Rodrigo-Peñarrocha V.M., Reig J., Pérez J., Torres R.P., Valle L.</t>
  </si>
  <si>
    <t>57925995200;7007108063;55331990700;57202619731;6506059064;36483243000;57188693918;7203008580;7005550631;</t>
  </si>
  <si>
    <t>Empirical modeling of diffuse scattering at millimeter wave frequencies</t>
  </si>
  <si>
    <t>2022 IEEE International Symposium on Antennas and Propagation and USNC-URSI Radio Science Meeting, AP-S/URSI 2022 - Proceedings</t>
  </si>
  <si>
    <t>10.1109/AP-S/USNC-URSI47032.2022.9886987</t>
  </si>
  <si>
    <t>https://www.scopus.com/inward/record.uri?eid=2-s2.0-85139786150&amp;doi=10.1109%2fAP-S%2fUSNC-URSI47032.2022.9886987&amp;partnerID=40&amp;md5=80a371f22051bab4cb324574020a4589</t>
  </si>
  <si>
    <t>Universitat Politècnica de València, Antennas and Propagation Lab, ITEAM, Spain; Universidad Pedagógica y Tecnólogica de Colombia, Escuela de Ingeniería Electrónica, Sogamoso, 152211, Colombia; Universidad de Cantabria, Dpto. de Ingeniería de Comunicaciones, Santander, Spain</t>
  </si>
  <si>
    <t>Andani, F.J., Universitat Politècnica de València, Antennas and Propagation Lab, ITEAM, Spain; Rubio, L., Universitat Politècnica de València, Antennas and Propagation Lab, ITEAM, Spain; Fernández, H., Universidad Pedagógica y Tecnólogica de Colombia, Escuela de Ingeniería Electrónica, Sogamoso, 152211, Colombia; Bernardo, B., Universitat Politècnica de València, Antennas and Propagation Lab, ITEAM, Spain; Rodrigo-Peñarrocha, V.M., Universitat Politècnica de València, Antennas and Propagation Lab, ITEAM, Spain; Reig, J., Universitat Politècnica de València, Antennas and Propagation Lab, ITEAM, Spain; Pérez, J., Universidad de Cantabria, Dpto. de Ingeniería de Comunicaciones, Santander, Spain; Torres, R.P., Universidad de Cantabria, Dpto. de Ingeniería de Comunicaciones, Santander, Spain; Valle, L., Universidad de Cantabria, Dpto. de Ingeniería de Comunicaciones, Santander, Spain</t>
  </si>
  <si>
    <t>Propagation channel models based on ray-tracing techniques can estimate the specular multipath components (MPCs) reaching the receiver antenna, but have difficulties to estimate the diffuse components. In this work, an empirical model to include the diffuse scattering in ray-tracing channel models, or channel simulators, is presented. The diffuse scattering model has been developed from channel measurements at millimeter wave (mmWave) frequencies collected from 25 to 40 GHz in the frequency domain in an office environment. © 2022 IEEE.</t>
  </si>
  <si>
    <t>Frequency domain analysis; Millimeter waves; Receiving antennas; Channel modelling; Diffuse components; Diffuse scattering; Empirical model; Millimeter wave frequencies; Model-based OPC; Multipath components; Propagation channel modeling; Ray-tracing technique; Receiver antennas; Ray tracing</t>
  </si>
  <si>
    <t>PID2020-119173RB-C21, PID2020-119173RB-C22; Departamento Administrativo de Ciencia, Tecnología e Innovación (COLCIENCIAS)</t>
  </si>
  <si>
    <t>This work has been funded in part by the Spanish Min-isterio de Ciencia e Innovación under the projects PID2020-119173RB-C21 and PID2020-119173RB-C22, and by COL-CIENCIAS in Colombia.</t>
  </si>
  <si>
    <t>Salous, S., Millimeter-wave propagation: Characterization and modeling toward fifth-generation systems (2014) IEEE Antennas Propag. Mag., 58 (6), pp. 115-127. , Dec; Quintin, F., Oestges, C., Horlin, F., De Doncher, P., A polarized clustered channel model for indoor multiantena systems at 3. 6 GHz (2010) IEEE Trans. Veh. Technol., 59 (8), pp. 3685-3693. , Oct; Saito, K., Takada, J., Kim, M., Dense multipath component characteristics in 11-GHz-band indoor environment (2017) IEEE Trans. Antennas Propag., 65 (9), pp. 4780-4789. , Sep; Challita, F., Rodrigo-Peñarrocha, V.M., Rubio, L., Reig, J., Juan-Llácer, L., Pascual-García, J., Molina-García-Pardo, J.-M., Gaillot, D., On the contribution of dense multipath components in an intrawagon environment for 5g mmw massive MIMO channels (2019) IEEE Antennas and Wireless Propagation Letters, 18 (12), pp. 2483-2487. , December; Mota, S., García, O., Rocha, A., Peréz-Fontán, F., Estimation of the radio channel parameters using the sage algorithm (1999) IEEE J. Sel. Areas Commun., 17 (3), pp. 434-450. , Mar</t>
  </si>
  <si>
    <t>IEEE Antennas and Propagation Society;The Institute of Electrical and Electronics Engineers</t>
  </si>
  <si>
    <t>2022 IEEE International Symposium on Antennas and Propagation and USNC-URSI Radio Science Meeting, AP-S/URSI 2022</t>
  </si>
  <si>
    <t>10 July 2022 through 15 July 2022</t>
  </si>
  <si>
    <t>IEEE Int. Symp. Antennas Propag. USNC-URSI Radio Sci. Meet., AP-S/URSI - Proc.</t>
  </si>
  <si>
    <t>2-s2.0-85139786150</t>
  </si>
  <si>
    <t>Bulla-Castañeda D.M., Buitrago H.A.L., Lancheros-Buitrago D.J., Díaz-Anaya A.M., Garcia-Corredor D.J., Tobón-Torreglosa J.C., Ortega D.O., Pulido-Medellín M.O.</t>
  </si>
  <si>
    <t>57222960876;57804628000;57412001500;55928513700;56241393600;57280927300;57920492300;56241968800;</t>
  </si>
  <si>
    <t>Seroprevalence and risk factors associated with the presence of bovine leptospirosis in the municipality of Sotaquirá, Colombia</t>
  </si>
  <si>
    <t>Open Veterinary Journal</t>
  </si>
  <si>
    <t>https://www.scopus.com/inward/record.uri?eid=2-s2.0-85139468679&amp;doi=10.5455%2fOVJ.2022.v12.i5.11&amp;partnerID=40&amp;md5=4f55e0e534b20993b15e164001eb1c4e</t>
  </si>
  <si>
    <t>Grupo de Investigación en Medicina Veterinaria y Zootecnia – GIDIMEVETZ, Universidad Pedagógica y Tecnológica de Colombia, Tunja, Colombia; Empresa Colombiana de Productos Veterinarios – VECOL, Bogotá, Colombia; Corporación Colombiana de Investigación Agropecuaria-Agrosavia, Bogotá, Colombia</t>
  </si>
  <si>
    <t>Bulla-Castañeda, D.M., Grupo de Investigación en Medicina Veterinaria y Zootecnia – GIDIMEVETZ, Universidad Pedagógica y Tecnológica de Colombia, Tunja, Colombia; Buitrago, H.A.L., Grupo de Investigación en Medicina Veterinaria y Zootecnia – GIDIMEVETZ, Universidad Pedagógica y Tecnológica de Colombia, Tunja, Colombia; Lancheros-Buitrago, D.J., Grupo de Investigación en Medicina Veterinaria y Zootecnia – GIDIMEVETZ, Universidad Pedagógica y Tecnológica de Colombia, Tunja, Colombia; Díaz-Anaya, A.M., Grupo de Investigación en Medicina Veterinaria y Zootecnia – GIDIMEVETZ, Universidad Pedagógica y Tecnológica de Colombia, Tunja, Colombia; Garcia-Corredor, D.J., Grupo de Investigación en Medicina Veterinaria y Zootecnia – GIDIMEVETZ, Universidad Pedagógica y Tecnológica de Colombia, Tunja, Colombia; Tobón-Torreglosa, J.C., Empresa Colombiana de Productos Veterinarios – VECOL, Bogotá, Colombia; Ortega, D.O., Corporación Colombiana de Investigación Agropecuaria-Agrosavia, Bogotá, Colombia; Pulido-Medellín, M.O., Grupo de Investigación en Medicina Veterinaria y Zootecnia – GIDIMEVETZ, Universidad Pedagógica y Tecnológica de Colombia, Tunja, Colombia</t>
  </si>
  <si>
    <t>Background: Bovine leptospirosis is a zoonotic, infectious, and cosmopolitan disease of worldwide distribution, caused by the spirochete Leptospira spp., which has been diagnosed in humans; domestic mammals, such as dogs, sheep, goats, swine, horses and cattle; and wild animals. It is considered a significant cause of economic losses in livestock because it causes infertility, abortion and reduced milk production. Aim: To establish the prevalence and the main risk factors associated with Leptospira spp. in cattle in the municipality of Sotaquirá, Colombia. Methods: An observational, descriptive, cross-sectional study with simple random sampling was carried out. 1,000 cattle of Ayrshire, Holstein, Jersey, Normande, Zebu, and crossbreeds were sampled. Blood samples were taken by coccygeal venipuncture and processed by microscopic agglutination technique; animals were considered positive when titers were ≥1:100. The data obtained were processed with the statistical program EpiInfo®. Results: A general apparent prevalence (AP) of 16% (160/1,000) was established, where the crossbreeds (20.5% AP), the 2–4 years age group (17% AP), and the serovars Leptospira interrogans serogroup Pomona (5.1%) and L. interrogans serogroup Sjroe serovar Hardjo (3.4%) presented the highest seropositivity. The variables barnyard, artificial insemination, and use of certified semen were identified as protective factors against the disease, while diarrhea was considered a risk factor. Conclusion: The prevalence in this study is within the range of those reported at the national level; however, it is essential to establish plans to control and prevent the disease. © 2022, Faculty of Veterinary Medicine, University of Tripoli. All rights reserved.</t>
  </si>
  <si>
    <t>Alcaldía Municipal, S., (2019) Alcaldía Municipal de Sotaquirá en Boyacá, , http://www.sotaquira-boyaca.gov.co/tema/informacion-adicional, Available via (Accessed 02 December 2021); Ali, M.R.M., Sum, J.S., Baki, N.N.A., Choong, Y.S., Amdan, N.A.N., Amran, F., Lim, T.S., Development of monoclonal antibodies against recombinant LipL21 protein of pathogenic Leptospira through phage display technology (2021) Int. J. Biol. Macromol, 168, pp. 289-300; Álvarez, M.Á.L., Escatell, G.S., Arzate, J.J.M., Ibarra, J.M.O., Rivera, E.M.L., Anticuerpos contra Leptospira spp en caprinos lecheros en Guanajuato, México (2018) Rev. Investig. Vet. Perú, 29, pp. 611-618; Awosanya, E.J., Nguku, P., Oyemakinde, A., Omobowale, O., Factors associated with probable cluster of leptospirosis among kennel workers in Abuja, Nigeria (2013) Pan. Afr. Med. J, 16, pp. 144-149; Benavides-Romo, K.L.A., Marcillo-Arévalo, A.R., Seroprevalecia de Leptospira spp en hembras bovinos de fincas lecheras en el municipio de Pasto, Colombia (2016) REVIP, 4, pp. 27-32; Carreño, L.A., Salas, D., Beltrán, K.B., Prevalencia de leptospirosis en colombia: revisión sistemática de literatura (2017) Rev. Salud. Publica, 19, pp. 204-209; Carvalho, O.S., Gonzaga, L.N.R, Albuquerque, A.S., Bezerra, D.C., Chaves, N.P., Occurrence of Brucella abortus, Leptospira interrogans and bovine herpesvirus type 1 in buffalo (Bubalus bubalis) herd under extensive breeding system (2015) Afr. J. Microbiol. Res, 9, pp. 598-603; (2020), https://www.dane.gov.co/index.php/estadisticas-por-tema/cuentas-nacionales/cuentas-nacionales-anuales, Cuentas nacionales anuales, base 2015 [Base de datos]. Available via (Accessed 11 July 2022); da Silva Pinto, P., Libonati, H., Penna, B., Lilenbaum, W., A systematic review on the microscopic agglutination test seroepidemiology of bovine leptospirosis in Latin America (2016) Trop. Anim. Health. Prod, 48, pp. 239-248; Ellis, W.A., Animal leptospirosis (2015) Curr. Top. Microbiol. Immunol, 387, pp. 99-137; Fávero, J.F., de Araújo, H.L., Lilenbaum, W., Machado, G., Tonin, A.A., Baldissera, M.D., Stefani, L.M., Da Silva, A.S., Bovine leptospirosis: prevalence, associated risk factors for infection and their cause-effect relation (2017) Microb. Pathog, 107, pp. 149-154; (2018) Ganadería colombiana: hoja de ruta 2018–2022, , http://static.fedegan.org.co.s3.amazonaws.com/publicaciones/Hoja_de_ruta_Fedegan.pdf, Bogotá, Colombia: Federación Colombiana de Ganaderos (FEDEGAN). Available via (Accessed 11 July 2022); García, A.A., Torreglosa, J.T., Marín, D.D., Bernal, M.K.M., Filho, S.T.R., Pereira, W.L.A., Leptospirosis, bovine viral diarrhea and infectious bovine rhinotracheitis: prevalence in Colombian cattle and buffaloes (2021) Acta. Sci, 44, pp. 1-8; Givens, M.D., Review: risks of disease transmission through semen in cattle (2018) Animal, 12, pp. 165-171; Gilbert, R.O., Reproductive diseases (2018) Rebhun’s diseases of dairy cattle, pp. 466-507. , 3rd ed. Eds., Peek, S.F. and Divers, T.J. st.Louis, MO: ELSEVIER; Gómez Reynoso, M., (2005) Determinación de anticuerpos maternos transferidos a becerros nacidos de vacas vacunadas contra leptospirosis en un rancho de Atilaquia, , Hidalgo, Bachelor thesis, Universidad Nacional Autonoma de Mexico, Cautitlan, México; Grippi, F., Giudice, E., Di Pietro, S., Sciacca, C., Santangelo, F., Galluzzo, P., Barreca, S., Guercio, A., Leptospira interrogans serogroup sejroe serovar hardjo in aborting cows: two herd cases in Sicily (Italy) (2020) J. Vet. Res, 64, pp. 73-78; Higino, S.S.S., Santos, F.A., Costa, D.F., Santos, C.S.A.B., Silva, M.L.C.R., Alves, C.J., Azevedo, S.S., Flock-level risk factors associated with leptospirosis in dairy goats in a semiarid region of Northeastern Brazil (2013) Prev. Vet. Med, 109, pp. 158-161; Hurtado, C.B., Uribe, A.O., Tous, M.G., Seroepidemiología de la leptospirosis en bovinos con trastornos reproductivos en el municipio de Montería, Colombia (2013) Rev. Med. Vet, 1, p. 47; Khalili, M., Sakhaee, E., Afatoonian, M.R., Abdollahpour, G., Tabrizi, S.S., Damaneh, E.M., Hossini-nasab, S., Seroprevalence of bovine leptospiral antibodies by microscopic agglutination test in Southeast of Iran (2014) Asian. Pac. J. Trop. Biomed, 4, pp. 354-357; Levett, P.N., Systematics of leptospiraceae (2015) Curr. Top. Microbiol. Immunol, 387, pp. 11-20; Llanco, A.L., Suárez, A.F., Huanca, L.W., Rivera, G.H., Frecuencia y Riesgo de Infección de Leptospirosis Bovina en Dos Establos Lecheros de la Costa y Sierra Peruana (2017) Rev. Investig. Vet. Perú, 28, pp. 696-702; Loureiro, A.P., Pestana, C., Medeiros, M.A., Lilenbaum, W., High frequency of leptospiral vaginal carriers among slaughtered cows (2017) Anim. Reprod. Sci, 178, pp. 50-54; Loureiro, A.P., Lilenbaum, W., Genital bovine leptospirosis: a new look for an old disease (2020) Theriogenology, 141, pp. 41-47; Marianelli, C., Tarantino, M., Astarita, S., Martucciello, A., Capuano, F., Galiero, G., Molecular detection of Leptospira species in aborted fetuses of water buffalo (2007) Vet. Rec, 161, pp. 310-312; Martins, G., Lilenbaum, W., Control of bovine leptospirosis: aspects for consideration in a tropical environment (2017) Res. Vet. Sci, 112, pp. 156-160; Martins, G., Penna, B., Lilenbaum, W., Differences between seroreactivity to leptospirosis in dairy and beef cattle from the same herd in Rio de Janeiro, Brazil (2012) Trop. Anim. Health. Prod, 44, pp. 377-378; Menezes, A.T., de Contador, T.L., Rodrigues, R.V., Barcelos, F., Bonadia, G.O., Souza, M.I.L., Patelle, T.H.C., A Leptospirose e seus efeitos na reprodução (2006) Rev. Científ. Eletrôn. Med. Vet, 3, pp. 1-4; Moreno, F.G., Benavides, O.E., Guerrero, B., Cruz, C.A., Asociación entre Seropositividad al Virus de la Diarrea Viral Bovina, Leptospira interrogans y Neospora caninum, y la Ocurrencia de Abortos en Fincas de Pequeños Productores del Cordón Lechero de Boyacá, Colombia (2017) Rev. Investig. Vet. Perú, 28, pp. 1002-1009; Motta, G.J.L., Clavijo, H.J.A., Waltero, G.I., Abeledo, M.A., Prevalencia de anticuerpos a Brucella abortus, Leptospira sp. y Neospora caninum en hatos bovinos y bubalinos en el departamento de Caquetá, Colombia (2014) Rev. Salud. Anim, 36, pp. 80-89; Mughini-Gras, L., Bonfanti, L., Natale, A., Comin, A., Ferronato, A., La Greca, E., Patregnani, T., Marangon, S., Application of an integrated outbreak management plan for the control of leptospirosis in dairy cattle herds (2014) Epidemiol. Infect, 142, pp. 1172-1181; Mullan, S., Panwala, T.H., Polymerase chain reaction: an important tool for early diagnosis of leptospirosis cases (2016) J. Clin. Diagn. Res, 10, pp. DC08-DC11; Newcomer, B.W., Givens, D., Diagnosis and control of viral diseases of reproductive importance: infectious bovine rhinotracheitis and bovine viral diarrhea (2016) Vet. Clin. North. Am. Food. Anim. Pract, 32 (2), pp. 425-441; Chapeter 3.1.1.2 leptospirosis (2021) Terrestrial Manual OIE, pp. 1-13. , https://www.woah.org/fileadmin/Home/fr/Health_standards/tahm/3.01.12_LEPTO.pdf; de Oliveira, P.R.F., Soares, L.B.F., Borges, J.de.M., Barrosa, N.de.C., Langoni, H., Brandespim, D.F., Junior, J.W.P., Mota, R.A., Occurrence of serological reactions for serogroup Sejroe (CTG and Prajtino) in female buffalo in the state of Pernambuco, Brazil (2018) Braz. J. Microbiol, 49, pp. 795-800; Olmo, L., Reichel, M.P., Nampanya, S., Khounsy, S., Wahl, L.C., Clark, B.A., Thomson, P.C., Bush, R.D., Risk factors for neospora caninum, bovine viral diarrhoea virus, and Leptospira interrogans serovar hardjo infection in smallholder cattle and buffalo in Lao PDR (2019) PLoS One, 14, pp. 1-25; Ospina-Pinto, M.C., Hernández Rodríguez, P., Utilidad de las herramientas moleculares para la identificación de Leptospira spp. en muestras humanas, animales y ambientales (2015) Rev. Cubana. Med. Trop, 67 (3). , ISSN 0375–0760; Pulido-Medellín, M., Díaz-Anaya, A., Giraldo-Forero, J., Determinación de Leptospira spp. en humanos y bovinos pertenecientes al municipio de Toca, Boyacá (2017) Vet. Zoo, 11, pp. 55-66; Rebhum, W., (1999) Enfermedades del ganado vacuno lechero, , 1st ed. Zaragoza, Spain: Acribia; Ruano, M.P., Macías, D.I.B., Goicochea, C.A.B., Aguayo, M.D.Z., Valencia, H.P.S., Flores, M.A.F., Loor, L.A.V., Fonseca-Rodríguez, O., Seroprevalence and risk factors of bovine leptospirosis in the province of Manabí, Ecuador (2020) Comp. Immunol. Microbiol. Infect. Dis, 72, p. 101527; Szwako, A., Acuña, L., Rolón, C., Glatzle, F., Lemkemeyer, C., Unger, N., Wiebe, J., Seroprevalencia De Leptospirosis Bovina En El Chaco Central, Departamento De Boqueron, Paraguay (2015) Compend. Cienc. Vet, 5, pp. 26-30; Torres-Castro, M., Hernández-Betancourt, S., Agudelo-Flórez, P., Arroyave-Sierra, E., Zavala-Sierra, J., Puerto, F.I., Leptospirosis: enfermedad zoonótica endémica en América (2018) Salud (i) Ciencia, 22, pp. 778-780; Vincent, A.T., Schiettekatte, O., Goarant, C., Neela, V.K., Bernet, E., Thibeaux, R., Ismail, N., Picardeau, M., Revisiting the taxonomy and evolution of pathogenicity of the genus Leptospira through the prism of genomics (2019) PLOS. Negl. Trop. Dis, 13, pp. 1-25; Washburn, K.E., Management of pathogens in cattle (2020) Animal agriculture: sustainability, challenges and innovations, pp. 493-499. , Eds., Bazer, F.W., GuoYao, W. and Lamb, G.C. Amsterdam, Netherlands: Elsevier Inc</t>
  </si>
  <si>
    <t>Pulido-Medellín, M.O.; Grupo de Investigación en Medicina Veterinaria y Zootecnia – GIDIMEVETZ, Colombia; email: martin.pulido@uptc.edu.co</t>
  </si>
  <si>
    <t>Faculty of Veterinary Medicine, University of Tripoli</t>
  </si>
  <si>
    <t>2-s2.0-85139468679</t>
  </si>
  <si>
    <t>Rey-Anacona C.A., Acosta N.S.H., Méndez J.H.M., Pacheco J.R., Cortés L.M.H.</t>
  </si>
  <si>
    <t>33568324200;57916261800;57211269335;57222399622;57916831100;</t>
  </si>
  <si>
    <t>Prevalence of Dating Violence in Adolescents of Five Colombian Cities</t>
  </si>
  <si>
    <t>Revista Colombiana de Psicologia</t>
  </si>
  <si>
    <t>https://www.scopus.com/inward/record.uri?eid=2-s2.0-85139292730&amp;doi=10.15446%2frcp.v31n1.86780&amp;partnerID=40&amp;md5=3be684e28458ca004d16d85b166ed0a2</t>
  </si>
  <si>
    <t>Universidad Pedagógica y Tecnológica de Colombia, Tunja, Colombia; Universidad Católica de Colombia, Bogotá, Colombia; Universidad Pontificia Bolivariana, Bucaramanga, Colombia; Universidad de Ibagué, Ibagué, Colombia</t>
  </si>
  <si>
    <t>Rey-Anacona, C.A., Universidad Pedagógica y Tecnológica de Colombia, Tunja, Colombia; Acosta, N.S.H., Universidad Pedagógica y Tecnológica de Colombia, Tunja, Colombia; Méndez, J.H.M., Universidad Católica de Colombia, Bogotá, Colombia; Pacheco, J.R., Universidad Pontificia Bolivariana, Bucaramanga, Colombia; Cortés, L.M.H., Universidad de Ibagué, Ibagué, Colombia</t>
  </si>
  <si>
    <t>The aim of this study was to examine the prevalence and frequency of perpetration and victimization of different types of dating violence (dv), among adolescents from 13 to 19 years old in five capital cities of Colombia (Bogotá, Bucaramanga, Ibagué, Tunja, and Yopal), making comparisons by sex. The Spanish version of the Conflict in Adolescent Dating Relationships Inventory was used and various statistical analyses, including the one-way manova, were performed. The results show a high prevalence of dv, particularly verbal/emotional and bi-directional (almost 90 % of the participants), pointing out that sex could have a statistically significant effect on the prevalence of the different types of dv, being higher the proportion of men who perpetrated sexual violence and higher the proportion of women who perpetrated verbal/emotional and physical violence. These results indicate the need to continue investigating the phenomenon in Colombia, to carry out different prevention campaigns that are sensitive to differences by sex in prevalence. © 2022 Universidad Nacional de Colombia. All rights reserved.</t>
  </si>
  <si>
    <t>adolescence; dating violence; perpetration; prevalence; victimization</t>
  </si>
  <si>
    <t>Arbach, C., Nguyen-Vo, T., Bobbio, A., Violencia física en el noviazgo: análisis de los tipos diádicos en población argentina [Physical violence in courtship: analysis of dyadic types in the Argentine population (2015) Revista Argentina de Ciencia del Comportamiento, 7 (2), pp. 38-46. , https://doi.org; Cohen, J., (1988) Statistical power analysis for the behavioral sciences (2a Ed.), , Hillsdale: Lawrence Erlbaum; Cortés-Ayala, L., Flores, M., Bringas, C., Rodríguez-Franco, L., López-Cepero, J., Rodríguez-Díaz, F. J., Relación de maltrato en el noviazgo de jóvenes mexicanos. Análisis diferencial por sexo y nivel de estudios [Abuse relationship in the courtship of young Mexicans. Differential analysis by sex and educational level] (2015) Terapia Psicologica, 33 (1), pp. 5-12. , https://doi.org/10.4067/S0718-48082015000100001; Fernández-Fuertes, A. A., Fuertes, A., Pulido, R. F., Evaluación de la violencia en las relaciones de pareja de los adolescentes. Validación del Conflict in Adolescent Dating Relationships Inventory (cadri)-versión española [Assessment of violence in adolescent relationships. Validation of the Conflict in Adolescent Dating Relationships Inventory (cadri)-Spanish version] (2006) International Journal of Clinical and Health Psychology, 6 (2), pp. 339-358. , https://www.redalyc.org/articulo.oa?id=33760208; Follingstad, D. R., Bradley, R. G., Laughlin, J. E., Burke, L., Risk factors and correlates of dating violence: the relevance of examining frequency and severity levels in a college sample (1999) Violence and Victims, 14 (4), pp. 365-380. , https://doi.org/10.1891/0886-6708.14.4.365; Gracia-Leiva, M., Puente-Martínez, A., Ubillos-Landa, S., Páez-Rovira, D., Dating violence (dv): a syste matic meta-analysis review (2019) Annals of Psychology, 35 (2), pp. 300-313. , https://doi.org/10.6018/analesps.35.2.333101; Karsberg, S., Bramsen, R. H., Lasgaard, M., Elklit, A., Prevalence and characteristics of three subtypes of dating violence among Danish seventh-grade students (2018) Scandinavian Journal of Child and Adolescent Psychiatry and Psychology, 6 (1), pp. 16-27. , https://doi.org/10.21307/sjcapp-2018-004; Ludin, S., Bottiani, J. H., Debnam, K., Solis, M. G. O., Bradshaw, C. P., A cross-national comparison of risk factors for teen dating violence in Mexico and the United States (2018) Journal of Youth &amp; Adolescence, 47 (3), pp. 547-559. , https://doi.org/10.1007/s10964-017-0701-9; Martínez, J. A., Vargas, R., Novoa, M., Relación entre la violencia en el noviazgo y observación de modelos parentales de maltrato [Relationship between dating violence and observation of parental models of abuse] (2016) Psychologia: Avances de la Disciplina, 10 (1), pp. 101-112. , http://www.scielo.org.co/pdf/psych/v10n1/v10n1a10.pdf; Mercy, J. A., Tharp, A. T., Adolescent dating violence in context (2015) American Journal of Preventive Medicine, 49 (3), pp. 441-444. , https://doi.org/10.1016/j.amepre.2015.02.028; Niolon, P. H., Vivolo-Kantor, A., Latzman, N. E., Valle, L. A., Burton, T., Kuoh, H., Taylor, B., Tharp, A. T., Prevalence of teen dating violence and co-occurring risk factors among middle school youth in high-risk urban communities (2015) Journal of Adolescent Health, 56, pp. S5-S13. , https://doi.org/10.1016/j.jadohealth.2014.07.019; Olsen, E. O., Vivolo-Kantor, A., Kann, L., Physical and sexual teen dating violence victimization and sexual identity among U.S. High School Students, 2015 (2020) Journal of Interpersonal Violence, 35 (17-18), pp. 3581-3600. , https://doi.org/10.1177/0886260517708757; Peterson, K., Sharps, P., Banyard, V., Powers, R. A., Kaukinen, C., Gross, D., Decker, M. R., Campbell, J., An evaluation of two dating violence prevention programs on a college campus (2018) Journal of Interpersonal Violence, 33 (23), pp. 3630-3655. , https://doi.org/10.1177/0886260516636069; Reed, L. A., Tolman, R. M., Ward, L. M., Gender matters: experiences and consequences of digital dating abuse victimization in adolescent dating relationships (2017) Journal of Adolescence, 59, pp. 79-89. , https://doi.org/10.1016/j.adolescence.2017.05.015; Redondo, J., Luzardo, M., García, K. L., Inglés, C. J., Malos tratos durante el noviazgo en jóvenes universitarios: diferencias de sexo [Maltreatment during dating in young university students: sex differences (2017) I+ D Revista de Investigaciones, 9 (1), pp. 59-69. , https://www.udi.edu.co/revistainvestigaciones/index.php/ID/article/view/115/126; Redondo-Pacheco, J., Rey-Anacona, C. A., Moreno-Méndez, J. H., Luzardo, M., Validación colombiana del Conflict in Adolescent Dating Relationships Inventory (cadri) [Colombian validation of the Conflict in Adolescent Dating Relationships Inventory (cadri)] (2021) Revista Iberoamericana de Evaluacion y Diagnostico Psicologico, 1 (58), pp. 141-152. , https://doi.org/10.21865/RIDEP58.1.12; Rey, C. A., Prevalencia, factores de riesgo y problemáticas asociadas con la violencia en el noviazgo: una revisión de la literatura [Prevalence, risk factors, and issues associated with dating violence: a review of the literature] (2008) Avances en Psicologia Latinoamericana, 26 (2), pp. 227-241. , https://revistas.urosario.edu.co/index.php/apl/article/viewFile/64/56; Rey, C. A., Maltrato en el noviazgo de tipo físico, psicológico, emocional, sexual y económico: un estudio exploratorio [Physical, psychological, emotional, sexual and economic maltreatment in courtship: an exploratory study] (2009) Acta Colombiana de Psicologia, 12 (2), pp. 27-36. , http://www.scielo.org.co/pdf/acp/v12n2/v12n2a03.pdf; Rey, C. A., (2012) Estudio descriptivo comparativo de adolescentes varones y adolescentes mujeres que presentan trastorno disocial de inicio infantil y trastorno disocial de inicio adolescente [Comparative descriptive study of male adolescents and female adolescents with childhood-onset conduct disorder and adolescent-onset conduct disorder], , Research report, Universidad Pedagógica y Tecnológica de Colombia, Tunja; Rey, C. A., Prevalencia y tipos de maltrato en el noviazgo en adolescentes y adultos jóvenes [Prevalence and types of mistreatment in dating in adolescents and young adults] (2013) Terapia Psicologica, 31 (2), pp. 143-154. , https://doi.org/10.4067/S0718-48082013000200001; Rubio-Garay, F., López-González, M. A., Carrasco, M. A., Amor, P. J., Prevalencia de la violencia en el noviazgo: una revisión sistemática [Prevalence of dating violence: a systematic review] (2017) Papeles del Psicologo, 38 (2), pp. 135-147. , https://doi.org/10.23923/pap.psicol2017.2831; Sánchez-Jiménez, V., Muñoz-Fernández, N., Ortega-Rivera, J., Efficacy evaluation of "Dat-e Adolescence": a dating violence prevention program in Spain (2018) PLoS ONE, 13 (10), p. e0205802. , https://doi.org/10.1371/journal.pone.0205802; Taylor, S., Xia, Y., Dating violence among rural adolescents: perpetration and victimization by gender (2020) Journal of Interpersonal Violence, , https://doi.org/10.1177/0886260520971613; Temple, J. R., Le, V. D., Muir, A., Goforth, L., McElhany, A. L., The need for school-based teen dating violence prevention (2013) Journal of Applied Research on Children, 4 (1). , http://digitalcommons.library.tmc.edu/childrenatrisk/vol4/iss1/4; Vivanco, R., Espinoza, S., Romo, C., Véliz, A., Vargas, A., Perpetración y victimización de la violencia en relaciones de parejas en jóvenes que cursan educación superior en la ciudad de Osorno, Chile [Perpetration and victimization of violence in relationships of youth couples pursuing higher education in the city of Osorno, Chile] (2015) POLIS, Revista Latinoamericana, 14 (40), pp. 1-15. , https://doi.org/10.4067/S0718-65682015000100023; (2017) Desarrollo en la adolescencia [Development in adolescence], , http://www.who.int/maternal_child_adolescent/topics/adolescence/dev/es/; Wilson, K. L., Szucs, L. E., Shipley, M., Fehr, S. K., McNeill, E. B., Wiley, D. C., Identifying the inclusion of National Sexuality Education Standards utilizing a systematic analysis of teen dating violence prevention curriculum (2019) Journal of School Health, 89 (2), pp. 106-114. , https://doi.org/10.1111/josh.12718; Wincentak, K., Connolly, J., Card, N., Teen dating violence: a meta-analytic review of prevalence rates (2017) Psychology of Violence, 7 (2), pp. 224-241. , https://doi.org/10.1037/a0040194; Wolfe, D. A., Scott, K., Reitzel-Jaffe, D., Wekerle, C., Grasley, C., Pittman, A. L., Development and validation of the conflict in adolescent dating relationships inventory (2001) Psychological Assessment, 13, pp. 277-293. , https://doi.org/10.1037//1040-3590.13.2.277; Ybarra, M. L., Espelage, D. L., Langhinrichsen-Rohling, J., Korchmaros, J. D., Boyd, D., Lifetime prevalence rates and overlap of physical, psychological, and sexual dating abuse perpetration and victimization in a national sample of youth (2016) Archives of Sexual Behavior, 45 (5), pp. 1083-1099. , https://doi.org/10.1007/s10508-016-0748-9; Zamora-Damián, G., Alvídrez, S., Aizpitarte, A., Rojas-Solís, J. L., Prevalencia de violencia en el noviazgo en una muestra de varones adolescentes mexicanos [Prevalence of dating violence in a sample of Mexican adolescent males] (2018) Revista de Psicologia y Ciencias del Comportamiento, 9 (1), pp. 30-53. , http://www.revistapcc.uat.edu.mx/index.php/RPC/article/view/204/253</t>
  </si>
  <si>
    <t>Rey-Anacona, C.A.; Universidad Pedagógica y Tecnológica de Colombia, Calle 24 No. 5-63, Colombia; email: cesar.rey@uptc.edu.co</t>
  </si>
  <si>
    <t>Rev. Colomb. Psicol.</t>
  </si>
  <si>
    <t>2-s2.0-85139292730</t>
  </si>
  <si>
    <t>Kostenko Y.V.</t>
  </si>
  <si>
    <t>57189094850;</t>
  </si>
  <si>
    <t>CIVIL WAR MEMORY POLICY IN THE DOCUMENTS OF CONTEMPORARY SPANISH PARTIES (2007-2021) [ПОЛИТИКА ПАМЯТИ О ГРАЖДАНСКОЙ ВОЙНЕ В ДОКУМЕНТАХ СОВРЕМЕННЫХ ИСПАНСКИХ ПАРТИЙ (2007-2021)]</t>
  </si>
  <si>
    <t>Vestnik Volgogradskogo Gosudarstvennogo Universiteta, Seriia 4: Istoriia, Regionovedenie, Mezhdunarodnye Otnosheniia</t>
  </si>
  <si>
    <t>10.15688/jvolsu4.2022.4.21</t>
  </si>
  <si>
    <t>https://www.scopus.com/inward/record.uri?eid=2-s2.0-85139031274&amp;doi=10.15688%2fjvolsu4.2022.4.21&amp;partnerID=40&amp;md5=4a391cce925e81cbf9f8a1d9d9db7562</t>
  </si>
  <si>
    <t>Kuban State University, Krasnodar, Russian Federation</t>
  </si>
  <si>
    <t>Kostenko, Y.V., Kuban State University, Krasnodar, Russian Federation</t>
  </si>
  <si>
    <t>Introduction. The topic of the article is relevant, since the memory of the Civil War of 1936-1939 is an important factor of political processes in modern Spain, including the positioning and discourse of political parties. Methods and materials. The purpose of the article is to determine the semantic dominants of the construction of the memory policy by the political parties of Spain in 2007-2021. The research is carried out on the basis of social constructivism, the concepts of historical memory of P. Nora and A. Assman, and discourse analysis. A secondary analysis of the results of sociological surveys was conducted. Analysis and results. The article reveals the political orientation of the “Act on Historical Memory” of 2007 and the proposals of political parties on its reform. It is proved that the ruling Spanish Socialist Workers' Party is interested in reviewing the policy of memory, deepening its anti-Francoist content. The left-wing parties - “Unidas Podemos” and “Mas Pais”, as well as the Catalan parties, most radically advocate the adoption of a new law on historical memory, honoring the victims of the war. The center-right forces-the People's Party and “Ciudadanos” (“Citizens”) to limit the effect of the 2007 Act, portraying the parties to the conflict - Republicans and nationalists - as equally responsible for the violence. The right-wing radical party “Vox” openly considers itself the successor of Francoism and its unitarian program, placing all the blame on the Republicans. The activity of parties of Catalonia and the Basque Country in the field of constructing historical memory is evaluated, the trends of contrasting the memory of the Civil War in public opinion throughout Spain, as well as Catalonia and the Basque Country are shown. Conclusion. In general, the policy of remembering the Civil War for 2018-2021 has become much more important for public opinion, which is explained by the current political competition. © 2022 Volgograd State University. All rights reserved.</t>
  </si>
  <si>
    <t>contemporary political parties; memory policy; Spain in 2007-2021; the Civil War of 1936-1939</t>
  </si>
  <si>
    <t>Grantseva, E.O., Vozmozhno li soglasie?: Istoricheskaya pamyat' o sobytiyakh XX v. v povsednevnoj zhizni i zakonodatel'stve sovremennoj Ispanii [Is Consent Possible? The Historical Memory of the Events of the Twentieth century in everyday life andin Lawof ContemporarySpain (2018) Latinoamerikanskij istoricheskij al'manakh [Latin American Historical Almanach], (19), pp. 316-336; Danilov, S.Yu., (2004) Grazhdanskaya voina i obshchenatsional'noe primirenie: SShA, Rossiya, Ispaniya [Civil War and National Reconciliation: The USA, Russia, Spain], p. 152. , Moscow, Izdat. dom GU-VSHE; Ignatovich, E.A., Istoricheskaya politika kak politika pamyati i problemy identichnosti v sovremennoj Ispanii [Historical Politics as a Policy of Memory and Identity Problems in Contemporary Spain (2019) Rossijskij zhurnal issledovanij natsionalizma [Russian Journal of Nationalism Studies], (12), pp. 123-129; Orril'o, L., Pigaryova, T., Ispantsy nedavno osoznali, chto bolee 30 000 zhertv Grazhdanskoj voiny lezhit do sikh por v rasstrel'nykh yamakh” [“The Spaniards Recently Realized that More than 30,000 Victims of the Civil War are Still Lying in Firing Pits, , https://www.colta.ru/articles/mosty/21786-ispantsy-nedavno-osoznali-chto-bolee-30-000-zhertvgrazhdanskoy-voyny-lezhat-do-sih-por-v-rasstrelnyhyamah, (accessed 28 August 2021); Khenkin, S.M., Ispaniya: polemika vokrug istoricheskoj pamyati [Spain: Polemics Around Historical Memory (2019) Kontury global'nykh transformatsij: politika, ekonomika, pravo [Contours of Global Transformations: Politics, Economics, Law], 12 (4), pp. 72-87; Khenkin, S.M., Sovremennaya Ispaniya: nekotorye problemy otnosheniya k Grazhdanskoj voine i frankistskoj diktature [Contemporary Spain: Some Problems of Attitude to the Civil War and the Francoist Dictatorship (2019) Elektronnyj nauchnoobrazovatel'nyj zhurnal “Istoriya” [Electronic scientific and educational magazine “History”], 10 (2). , https://history.jes.su/s207987840002533-5-1/, iss. (76). (accessed 28 August 2021); A la Mesa del Congreso de los Diputados El Grupo parlamentario de Esquerra Republicana, , https://www.esquerra.cat/arxius/docs/plmemoriahistorica_180718.pdf, (accessed 28 August 2021); Aguilar Fernández, P., (1995) La Memoria histîrica de la Guerra Civil Espanola, 1936-1939: un proceso de aprendizaje politico, IX, p. 616. , Thesis (doctoral). Madrid, Instituto Juan March de Estudios e Investigaciones; Albin, D., Franco no dio un golpe de estado”: la fundaciуn ligada a Vox difunde textos que exaltan la dictadura, , https://www.publico.es/politica/ultraderecha-franco-no-dio-golpe-fundacion-ligadavox-difunde-textos-exaltan-dictadura.html, (accessed 28 August 2021); Antuсano, E., Memoria de la guerra civil espaсola: en torno al trasfondo y derivas de la “Ley de la memoria histуrica de 2007 (2010) Foro Internacional, L (1), pp. 63-87. , de; Calvo anuncia que “en pocos días” el Gobierno llevará al trámite parlamentario la ley de Memoria Democrática, , https://www.psoe.es/actualidad/noticias-actualidad/calvo-anuncia-que-enpocos-dias-el-gobierno-llevara-al-tramiteparlamentaria-la-ley-de-memoria-democratica, (accessed 28 August 2021); Calvo, F., El Gobierno concede casi 900.000 euros para la memoria democrática de las víctimas de la Guerra Civil y la dictadura, , https://www.europapress.es/nacional/noticia-gobiernoconcede-casi-900000-euros-memoria-democraticavictimas-guerra-civil-dictadura-20210830125349.html, (accessed 28 August 2021); Caparrós, A., Un candidatode Podemos, sobre las monjas asesinadas en la República: “Qué pena, deberían haber sido muchas más, , https://www.abc.es/espana/comunidad-valenciana/abcicandidato-podemos-sobre-monjas-asesinadarepublica-deberian-haber-sido-muchas-mas-201910301804_noticia.html?ref=https%3A%2F%2Fwww.google.ru%2F, (accessed 28 August 2021); Carballar, O., La nueva ley de memoria llega en pleno revisionismo histórico, , https://www.lamarea.com/2021/07/20/la-nueva-ley-dememoria-llega-en-pleno-revisionismo-historico/, (accessed 28 August 2021); De Lugan, R.M., La guerra civil, la memoria social y la nación: algunas consideraciones teóricas y éticas (2019) Realidad. Revista de Ciencias Sociales y Humanidades, (153), pp. 9-22; Domínguez Prats, P., Viejas y nuevas memorias de la guerra civil (2014) Studia historica. Historia contemporanea, 32, pp. 285-298; Eiroa San Francisco, M., Memoria e historia en redes sociales: nuevos soportes de resistencia al olvido de la Guerra Civil espaсola y el Franquismo (2020) Historia y memoria, (21), pp. 71-108; Eiroa, М., ,AmarillaF.,CilleroM.,DomínguezJ.I. La Guerra Civil Española en la Actualidad Cibermediática (2014) Studia historica. Historia contemporanea, 32, pp. 357-369; El PP carga contra Sánchez con motivo de la exhumación de Franco, , https://www.elplural.com/politica/el-pp-carga-contra-sanchez-con-motivode-la-exhumacion-de-franco_217839102, (accessed 28 August 2021); Del Campo, S., Tezanos, J.F., (2010) Espaсa. Una sociedad en cambio, p. 470. , eds. Madrid, Fundacion Caja Madrid, Editorial Biblioteca Nueva; González Vázquez, D., La patrimonialización de la memoria histórica: entre el deber social y la estrategia turística. Apuntes sobre el caso catalán (2016) Revista de Turismo y Patrimonio Cultural, 14 (5), pp. 1267-1280; Kamen, H., (2008) Imagining Spain: Historical Myth and national identity, p. 240. , New Haven, London, Yale University Press; Ley 46/1977, de 15 de octubre, de Amnistía Boletin Oficial del Estado № 248, de 17/10/1977, , https://www.boe.es/eli/es/l/1977/10/15/46/con, (accessed 28 August 2021); Ley 52/2007, de 26 de diciembre, por la que se reconocen y amplían derechos y se establecen medidas en favor de quienes padecieron persecución o violencia durante la guerra civil y la dictadura (2007), https://www.boe.es/buscar/pdf/2007/BOE-A-200722296-consolidado.pdf, Boletin Oficial del Estado 310, de 27 de diciembre de (accessed 28 August 2021); Manifiesto del PSOE. 90 aniversario de la SegundaRepúblicaEspañola, , https://www.psoe.es/media-content/2021/04/ManifiestoRepublica_21-delPSOE.pdf, (accessed28August2021); Funcions. Normativa. Composició. Composed, , https://web.gencat.cat/ca/adreces-i-telefons/index.html?codInf=13794#Funcions, Memorial Democràtic. (accessed 28 August 2021); (2008) Memorias de la guerra civil y el franquismo (Cataluña), , http://www.cis.es/cis/export/sites/default/-Archivos/Marginales/2760_2779/2760/ES2760Cat.pdf, Estudio nº2.760. Abril (accessed 28 August 2021); Memories of the civil war and the Franco regime (Basque Country), , http://www.cis.es/cis/export/sites/default/Archivos/Marginales/2760_2779/2760/Es2760PV.pdf, Stud 2,760. April2008. (accessed 28 August 2021); (2008) Memorias de la Guerra civil y el franquismo, , http://www.cis.es/cis/export/sites/default/-Archivos/Marginales/2760_2779/2760/Es2760.pdf, Estudio nº2.760. Abril (accessed 28 August 2021); Assmann, A., Conrad, S., (2010) Memory in a Global Age: Discourses, Practices and Trajectories, p. 267. , eds. N.Y., Palgrave Macmillan; Wodak, R., Meyer, M., (2011) Methods in Critical Discourse Analysis, p. 200. , eds. London, Sage Publications; Monforte Jaen, M., Casado promete derogar la ley de Memoria Histórica si llega al Gobierno, , https://www.publico.es/politica/pp-casadopromete-derogar-ley-memoria-historica-llegagobierno.html, (accessed 28 August 2021); Nora, P., General Introduction: Between Memory and History (1996) Realms of Memory. Rethinking the French Past, 1, pp. 1-23. , Nora P., dir. Conflicts and Divisions. N.Y., Columbia University Press; Ortiz Heras, M., Memoria Social de la Guerra Civil: La Memoria de los Vencidos, La Memoria de la Frustración (2006) Historia Actual Online, (10), pp. 179-198; Pere Soler, P., La memoria histórica de la Guerra Civil, la dictadura franquista, y la Transición, en España. Síntesis histórica e iniciativas legislativas recientes (2019) Cahiers de civilization espagnole contemporaine - Essays of Spanish contemporary civilization, (23). , https://journals.openedition.org/ccec/8857#text, (accessed 28 August 2021); Preston, P., Spain feelsFranco's legacy ofhim 40 years after his death of him, , https://www.bbc.com/news/world-europe-34844939, (accessed 28 August 2021); Las razones siguen intactas, , https://podemos.info/materia/memoriademocratica/, Programa de PODEMOS. (accessed 28 August 2021); https://www.lasexta.com/noticias/nacional/eleccionesgenerales/programa-electoral-mas-pais-clavesproyecto-errejon_201911065dc2f7d00cf2767d148cc054.html, Programa. Elecciones generales 10N Reducido. Desbloquear. Avanzar. Más País. (accessed 28 August 2021); (2021) Eleccions al Parlament de Catalunya 2021, p. 187. , Barcelona, Esquerra Republicana; Eleccions al Parlament de Catalunya 2021, , https://junts.cat/wpcontent/uploads/2021/02/PROGRAMA-ELECTORALJUNTS.pdf, Programa electoral. Junts. (accessed 28 August 2021); Euskadi Zutik. ¡Saldremos!, , https://www.eaj-pnv.eus/es/adjuntos-documentos/19724/pdf/programa-electoralelecciones-al-pardamientos-vasco-, Programa 2020-2024. (accessed 28August 2021); (2020) Nuestro compromiso: construir el país que mereces, , https://www.20minutos.es/uploads/files/2020/06/25/Programa%20Bildu.pdf, Programa electoral Araba, Bizkaia y Gipuzkoa. (accessed 28 August 2021); Puigdemont, C., (2018) La crisi catalana: Una oportunitat per a Europa. Conversant amb Olivier Mouton, p. 238. , Barcelona, La Campana Llibres; Rodrigo, J., La guerra civil: “memoria”, “olvido”, “recuperación” e instrumentación. Hispania nova (2006) Revista de Historia Contemporánea, (6), pp. 385-411; Tolosa L., Tolosa L., Pablo Casado: “La Guerra Civil fue un enfrentamiento entre quienes querían la democracia sin ley y quienes querían la ley sin democracia, , https://elpais.com/espana/202106-30/pablo-casado-la-guerra-civil-fue-unenfrentamiento-entre-quienes-querian-la-democraciasin-ley-y-who-wanted-the-law-without-democracy.html, (accessed 28 August 2021); Unidas Podemos exige a Sánchez medidas contra los “actos franquistas” que “ampara” el GobiernodeAyuso, , https://www.europapress.es/nacional/noticia-unidas-podemos-exige-sanchezmedidas-contra-actos-franquistas-ampara-gobiernoayuso-20210508111833.html, (accessed 28 August 2021); Varela, F., Casado acerca el PPal negacionismo sobre la Guerra Civil en el que ya milita Vox, , https://www.infolibre.es/noticias/politica/2021/07/21/casado_acerca_negacionismo_sobre_guerra_civil_que_milita_vox_122933_1012.html, (accessed 28 August 2021); Viñas, А., Sobre mitos y falacias de la Guerra Civil que aún persisten (2016) Bulletin hispanique, (118-1), pp. 49-64; Vox dice que Lorca hoy les votaría y Podemos responde: “Lo matasteis vosotros, , https://cadenaser.com/ser/2021/08/25/politica/1629905592_689212.html, (accessed 28 August 2021); Vox se niega a condenar el franquismo: “Somos herederos y la historia es la que es, , https://www.elplural.com/politica/espana/voxfranquismo-condena-memoria-historica-guerra-civilespinosa-monteros_224017102, (accessed 28 August 2021)</t>
  </si>
  <si>
    <t>Kostenko, Y.V.; Kuban State UniversityRussian Federation; email: jkostenko@yandex.ru</t>
  </si>
  <si>
    <t>Volgograd State University</t>
  </si>
  <si>
    <t>Russian</t>
  </si>
  <si>
    <t>Vestn. Volgogr. Gos. Univ., Ser. 4, Istor. Regionoved. Mezdunar. Otnos</t>
  </si>
  <si>
    <t>2-s2.0-85139031274</t>
  </si>
  <si>
    <t>Mosquera-Pérez J.E.</t>
  </si>
  <si>
    <t>57817156300;</t>
  </si>
  <si>
    <t>Scholars Raising their Voices Up: Discourses of Hegemony and Resistance in elt in Colombia [Les intellectuels haussent la voix: des discours d’hégémonie et résistance dans l’enseignement de l’anglais en Colombie] [Os acadêmicos levantam suas vozes: discursos de hegemonia e resistência no ensino de inglês na Colômbia] [Los académicos alzan la voz: discursos de hegemonía y resistencia en la enseñanza del inglés en Colombia]</t>
  </si>
  <si>
    <t>Ikala</t>
  </si>
  <si>
    <t>10.17533/udea.ikala.v27n3a08</t>
  </si>
  <si>
    <t>https://www.scopus.com/inward/record.uri?eid=2-s2.0-85138593031&amp;doi=10.17533%2fudea.ikala.v27n3a08&amp;partnerID=40&amp;md5=d2d985325adc9bec8a54c43e8042bb5f</t>
  </si>
  <si>
    <t>Universidad Pedagógica y Tecnológica de Colombia (uptc), Tunja, Colombia</t>
  </si>
  <si>
    <t>Mosquera-Pérez, J.E., Universidad Pedagógica y Tecnológica de Colombia (uptc), Tunja, Colombia</t>
  </si>
  <si>
    <t>In the last few years, Colombian elt scholars have become aware of the importance of discourse for the dissemination of ideologies and agendas. As a result, the number of studies on this area has shown an unprecedented growth. Nevertheless, few investigations have explored and analyzed both sides simultaneously so as to display not only the types of hegemonic discourses that have permeated the field but also those which have recently emerged in response to such a situation. Considering these elements, this paper reports on a qualitative case study carried out with the purpose of analyzing the latest types of hegemonic discourses and discourses of resistance that have taken place in elt in Colombia. After analyzing the data gathered, which consisted of empirical and conceptual articles, as well as linguistic policies emitted by the Colombian Ministry of Education (men), the results showed that discourses revolving around bilingualism (understood as the English-Spanish relationship), identity, and native speakerism have been a recurrent aspect in the Colombian elt field. Yet, findings also suggest that, especially in the last decade, elt scholars have been resisting these discourses by promoting alternative ones that acknowledge initiatives in different areas of knowledge. In light of these aspects, it is recommended to keep resisting and promoting an agenda of decolonization so that alternative discourses, as is the case of those that acknowledge the incorporation of epistemologies that have been historically overlooked, continue gaining traction within the field © Universidad de Antioquia, 2022. This is an open access article, distributed under the Creative Commons license by-nc-sa 4.0 International</t>
  </si>
  <si>
    <t>Colombia; Elt; Hegemonic discourses; Resistance discourses</t>
  </si>
  <si>
    <t>Arias-Cepeda, C., Exploring the grounds for the study of the identity of indigenous English language teachers in Colombia (2020) GIST – Education and Learning Research Journal, (20), pp. 189-214. , https://doi.org/10.26817/16925777.713; Akena, F. A., Critical analysis of the production of western knowledge and its implications for Indigenous knowledge and decolonization (2012) Journal of Black Studies, 43 (6), pp. 599-619. , https://doi.org/10.1177/0021934712440448; Amoussou, F., Allagbe, A. A., Principles, theories and approaches to critical discourse analysis (2018) International Journal on Studies in English Language and Literature, 6 (1). , https://doi.org/10.20431/2347-3134.0601002; Benavides-Jiménez, F., Mora-Acosta, Y. L., Beliefs of two culturally diverse groups of teachers about intercultural bilingual education (2019) Profile: Issues in Teachers’ Professional Development, 21 (2), pp. 63-77. , https://doi.org/10.15446/profile.v21n2.72879; Bishop, E., Critical literacy: Bringing theory to praxis (2014) Journal of Curriculum Theorizing, 30 (1). , https://jour-nal.jctonline.org/index.php/jct/article/view/457; Bonilla Carvajal, C. A., Tejada-Sánchez, I., Unanswered questions in Colombia’s foreign language education policy (2016) Profile: Issues in Teachers’ Professional Development, 18 (1), pp. 185-201. , https://doi.org/10.15446/profile.v18n1.51996; Bonilla-Medina, S. X., Varela, K. V., García, K., Configuration of racial identities of learners of English (2021) Profile: Issues in Teachers’ Professional Development, 23 (2), pp. 137-150. , https://doi.org/10.15446/profile.v23n2.90374; Bonilla-Mora, M. I., López-Urbina, J. P., Local epistemological perceptions that underlie efl literature and teaching practices in Colombia (2021) how-Journal, 28 (2), pp. 11-31. , https://doi.org/10.19183/how.28.2.598; Cameron, E., de Leeuw, S., Desbiens, C., Indigeneity and ontology (2014) Cultural Geographies, 21 (1), pp. 19-26. , https://doi.org/10.1177/1474474013500229; Canagarajah, A. S., (1999) Resisting linguistic imperialism in English teaching, , Oxford University Press; Carreño Bolivar, L. L., Promoting meaningful encounters as a way to enhance intercultural competences (2018) Colombian Applied Linguistics Journal, 20 (1), pp. 120-135. , https://doi.org/10.14483/22487085.11987; Carroll, W. K., Hegemony, counter-hegemony, antihegemony (2006) Socialist Studies/Études Socialistes, 2 (2). , https://doi.org/10.18740/S44G7K; Castañeda-Londoño, A., Moving from what do English teachers know? to how do English teachers experience knowledge? A decolonial perspective in the study of English teachers’ knowledge (2021) GIST – Education and Learning Research Journal, (22), pp. 75-101. , https://doi.org/10.26817/16925777.1002; Castañeda-Londoño, A., Revisiting the issue of knowledge in English language teaching, a revision of literature (2019) GIST – Education and Learning Research Journal, (18), pp. 220-245. , https://doi.org/10.26817/16925777.452; Castañeda-Londoño, A., Exploring English teachers’ perceptions about peer-coaching as a professional development activity of knowledge construction (2017) how Journal, 24 (2), pp. 80-101. , https://doi.org/10.19183/how.24.2.345; Castañeda-Peña, H., Local identity studies of gender diversity and sexual orientation in elt (2021) how, 28 (3), pp. 154-172. , https://doi.org/10.19183/how.28.3.683; Castañeda-Trujillo, J. E., Reconstructing a personal story about being a teacher educator and a researcher (2021) how Journal, 28 (3), pp. 173-185. , https://doi.org/10.19183/how.28.3.678; Castro-Gárces, A. Y., Knowledge-Base in elt education: A narrative-driven discussion (2022) how Journal, 29 (1), pp. 194-211. , https://doi.org/10.19183/how.29.1.608; Castro-Gómez, S., Grosfoguel, R., (2007) El giro decolonial: Reflexiones para una diversidad epistémica más allá del capitalismo global, , Siglo del Hombre; Ceyhan-Bingöl, Z., Özkan, Y., efl instructors’ perceptions and practices on English as a lingua franca (elf) (2019) The Reading Matrix, 19 (2), pp. 86-102. , http://www.readingmatrix.com/files/21-585k6669.pdf; Chapetón Castro, C. M., Fostering resiliency through literacy practices with adults in situations of displacement (2005) Íkala, Revista de Lenguaje y Cultura, 10 (1), pp. 281-311. , https://revistas.udea.edu.co/in-dex.php/ikala/article/view/3137; (2004) Colombian National Bilingualism Plan: 2004-2019, , https://www.mineducacion.gov.co/1621/articles-132560_recurso_pdf_programa_nacional_bilinguismo.pdf; (2006) Basic standards of competence in foreign languages: English, , https://eco.colombiaaprende.edu.co/wp-content/uploads/2021/08/Estandares-Basicos_V2021-1.pdf; (2015) National English Plan 2015-2025: Colombia Very Well, , https://www.mineducacion.gov.co/1759/ar-ticles-343837_Programa_Nacional_Ingles.pdf; Comber, B., Critical Literacy and Social Justice (2014) Journal of Adolescent &amp; Adult Literacy, 58 (5), pp. 362-367. , https://doi.org/10.1002/jaal.370; Comber, B., Critical theory and literacy (2012) The encyclopedia of applied linguistics, pp. 1-10. , https://doi.org/10.1002/9781405198431.wbeal0287, C. A. Chapelle, (Ed), –). John Wiley &amp; Sons, Ltd; Correa, D., Usma, J., From a bureaucratic to a critical-sociocultural model of policymaking in Colombia (2013) how Journal, 20 (1), pp. 226-242. , https://howjournalcolombia.org/index.php/how/article/view/32; Cuasilpud Canchala, R. E., Indigenous students’ attitudes towards learning English through a virtual program: A study in a Colombian public university (2010) Profile: Issues in Teachers’ Professional Development, 12 (2), pp. 133-152; Cukier, W., Ngwenyama, O., Bauer, R., Middleton, C., A critical analysis of media discourse on information technology: Preliminary results of a proposed method for critical discourse analysis (2009) Information Systems Journal, 19 (2), pp. 175-196. , https://doi.org/10.1111/j.1365-2575.2008.00296.x; Davis, H., (2004) Understanding Stuart Hall, , https://doi.org/10.4135/9781446216217, Sage Publications; Davis, J. S., Five secondary teachers: Creating and presenting a teaching persona (2011) Current Issues in Education, 14 (1), pp. 1-27; Dervin, F., (2016) Interculturality in education: A theoretical and methodological toolbox, , Springer; Dharamshi, P., “Seeing the everyday through new lenses”: Pedagogies and practices of literacy teacher educators with a critical stance (2018) Teacher Education Quarterly, 45 (1), pp. 7-29. , https://www.jstor.org/stable/90018181; Escobar-Alméciga, W. Y., Gómez Lobatón, J. C., Silenced fighters: Identity, language and thought of the Nasa people in bilingual contexts of Colombia (2010) Profile: Issues in Teachers’ Professional Development, 12 (1), pp. 125-140; Escobar, W. Y., Identity-forming discourses: A critical discourse analysis on policy making processes concerning English language teaching in Colombia (2013) Profile: Issues in Teachers’ Profess, 15 (1), pp. 45-60. , https://revistas.unal.edu.co/index.php/profile/article/view/37861; Estacio, A. M., Camargo Cely, J. P., efl teachers’ professional development: Towards a counterpart of the English language supremacy (2018) GIST – Education and Learning Research Journal, (17), pp. 215-229. , https://doi.org/10.26817/16925777.408; Fairclough, N., (2001) Language and power, , Pearson Education; Fairclough, N., (2013) Critical discourse analysis: The critical study of language, , https://doi.org/10.4324/9781315834368, Routledge; Fandiño-Parra, Y. J., Decolonizing English language teaching in Colombia: Epistemological perspectives and discursive alternatives (2021) Colombian Applied Linguistics Journal, 23 (2), pp. 166-181. , https://doi.org/10.14483/22487085.17087; Ferber, A. L., Kimmel, M., Reading right: The Western tradition in white supremacist discourse (2000) Sociological Focus, 33 (2), pp. 193-213. , https://doi.org/10.1080/00380237.2000.10571165; Finfgeld-Connett, D., Generalizability and transferability of meta-synthesis research findings (2010) Journal of Advanced Nursing, 66 (2), pp. 246-254. , https://doi.org/10.1111/j.1365-2648.2009.05250.x; Flick, U., (2009) An introduction to qualitative research, , Sage; Foucault, M., (1979) The history of sexuality, , Allen Lane; Freire, P., (1994) Pedagogy of hope, , Continuum; Galloway, N., Rose, H., Incorporating global Englishes into the elt classroom (2018) elt Journal, 72 (1), pp. 3-14. , https://doi.org/10.1093/elt/ccx010; Gee, J. P., Discourse, small D, big D (2015) The international encyclopedia of language and social interaction, pp. 1-5. , https://doi.org/10.1002/9781118611463.wbielsi016, K. Tracy, C. Ilie, &amp; T. Sandel, –). John Wiley &amp; Sons, Inc; Gómez-Rodríguez, L. F., The cultural content in efl textbooks and what teachers need to do about it (2015) Profile: Issues in Teachers’ Professional Development, 17 (2), pp. 167-187. , https://doi.org/10.15446/profile.v17n2.44272; González-Moncada, A., On the professional development of English teachers in Colombia and the historical interplay with language education policies (2021) how Journal, 28 (3), pp. 134-153. , https://doi.org/10.19183/how.28.3.679; Granados-Beltrán, C., Critical interculturality. A path for pre-service elt teachers (2016) Íkala, Revista de Lenguaje y Cultura, 21 (2), pp. 171-187. , https://doi.org/10.17533/udea.ikala.v21n02a04; Granados-Beltrán, C., Revisiting the need for critical research in undergraduate Colombian English language teaching (2018) how Journal, 25 (1), pp. 174-193. , https://doi.org/10.19183/how.25.1.355; Guerrero, C. H., Bilingual Colombia: What does it mean to be bilingual within the framework of the National Plan of Bilingualism? (2008) Profile: Issues in Teacher's Professional Development, 10 (1), pp. 27-46. , https://revistas.unal.edu.co/index.php/profile/article/view/10563; Guerrero, C, English as a neutral language in the Colombian national standards: A constituent of dominance in English language education (2009) Profile: Issues in Teacher's Professional Development, 11 (2), pp. 135-150. , H. (a); Guerrero, C. H., Language policies in Colombia: The inherited disdain for our native languages (2009) how Journal, 16 (1), pp. 11-24; Guerrero, C. H., Elite vs. folk bilingualism: The mismatch between theories and educational and social conditions (2010) how Journal, 17 (1), pp. 165-179; Guerrero, C. H., The portrayal of efl teachers in official discourse: The perpetuation of disdain (2010) Profile: Issues in Teachers’ Professional Development, 12 (2), pp. 33-49; Guerrero-Nieto, C. H., Quintero-Polo, Á. H., Emergence and development of a research area in language education policies: Our contribution to setting the grounds for a local perspective on policymaking (2021) how, 28 (3), pp. 119-133. , https://doi.org/10.19183/how.28.3.677; Hall, B. L., Tandon, R., Decolonization of knowledge, epistemicide, participatory research and higher education (2017) Research for All, 1 (1), pp. 6-19. , https://doi.org/10.18546/rfa.01.1.02; Jenkins, J., (2015) Global Englishes, , Routledge; Kachru, B. B., (1992) The other tongue: English across cultures, , University of Illinois Press; Kress, G., Critical discourse analysis (1990) Annual Review of Applied Linguistics, (11), pp. 84-99. , https://doi.org/10.1017/S0267190500001975; Kumaravadivelu, B., Beyond methods: Macrostrategies for language teaching (2003) The SAGE encyclopedia of social science research methods, , https://doi.org/10.4135/9781412950589, Yale Universit Lewis-Beck, M., Bryman, E. P., Bryman, A. E., Liao, T. F., &amp; Liao, T. F. (Eds) (2004). Sage; Lucero, E., Castañeda-Londoño, A., Colombian elt community and scholarship: Current pathways and potency (2021) how Journal, 28 (3), pp. 5-17. , https://doi.org/10.19183/how.28.3.681; Lull, J., (1995) Media, communication, culture: A global approach, , Columbia University Press; Macías, D. F., Considering new perspectives in elt in Colombia: From efl to elf (2010) how Journal, 17 (1), pp. 181-194. , https://howjournalcolombia.org/index.php/how/article/view/72; Mahboob, A., English: The industry (2011) Journal of Postcolonial Cultures and Societies, 2 (4), pp. 46-61; Maldonado, N., Aimé Césaire y la crisis del hombre europeo (2006) Discurso sobre el colo-niamismo, pp. 173-196. , A. Césaire (Ed), –). Ediciones Akal; Matsuda, A., Principles and practices of teaching English as an international language (2012) Multilingual Matters, , https://doi.org/10.21832/9781847697042, (Ed); Mejía, A., Bilingual education in Colombia: towards a recognition of languages, cultures and identities (2006) Colombian Applied Linguistics Journal, (8), pp. 152-168. , https://doi.org/10.14483/22487085.176; Mesa-Villa, C. P., Gómez-Giraldo, J. S., Arango Montes, R., Becoming language teacher-researchers in a research seedbed (2020) Profile: Issues in Teachers’ Professional Development, 22 (1), pp. 159-173. , https://doi.org/10.15446/profile.v22n1.78806; Mignolo, W., (2007) La idea de América Latina. La herida colonial y la opción decolonial, , Gedisa; Mignolo, W., Delinking: The rhetoric of modernity, the logic of coloniality and the grammar of de-coloniality (2010) Globalization and the decolonial option, pp. 303-368. , W. Mignolo &amp; A. Escobar (Eds)). Routledge; Mignolo, W. D., Escobar, A., (2013) Globalization and the decolonial option, , Routledge; Miranda-Montenegro, I. R., Insights on bilingualism and bilingual education: A sociolinguistic perspective (2012) Íkala, Revista de Lenguaje y Cultura, 17 (3), pp. 263-272. , https://revistas.udea.edu.co/in-dex.php/ikala/article/view/10527; Moje, E. B., Critical issues: Circles of kinship, friendship, position, and power: examining the community in community-based literacy research (2000) Journal of Literacy Research, 32 (1), pp. 77-112. , https://doi.org/10.1080/10862960009548065; Moncada-Linares, S., Othering: Towards a critical cultural awareness in the language classroom (2016) how Journal, 23 (1), pp. 129-146. , https://doi.org/10.19183/how.23.1.157; Mora, R. A., Critical literacy as policy and advocacy: Lessons from Colombia (2014) Journal of Adolescent &amp; Adult Literacy, 58 (1), pp. 16-18. , https://doi.org/10.1002/jaal.329; Mora, R. A., Criticality and English language education: An autoethnographic journey (2021) how-Journal, 28 (3), pp. 62-77. , https://doi.org/10.19183/how.28.3.682; Mosquera, Óscar A., Cárdenas, M. L., Nieto, M. C., Pedagogical and research approaches in inclusive education in elt in Colombia: Perspectives from some Profile journal authors (2018) Profile: Issues in Teachers’ Professional Development, 20 (2), pp. 231-246. , https://doi.org/10.15446/profile.v20n2.72992; Nunan, D., English as a global language (2001) te-sol Quarterly, 35 (4), pp. 605-606. , https://doi.org/10.2307/3588436; Nuñez-Pardo, A., The English textbook. Tensions from an intercultural perspective (2018) gist – Education and Learning Research Journal, (17), pp. 230-259. , https://doi.org/10.26817/16925777.402; Núñez-Pardo, A., Inquiring into the coloniality of knowledge, power, and being in efl textbooks (2020) how Journal, 27 (2), pp. 113-133. , https://doi.org/10.19183/how.27.566; Núñez-Pardo, A., Téllez, M., elt materials: The key to fostering effective teaching and learning settings (2009) Profile: Issues in Teachers’ Professional Development, 11 (2), pp. 171-186. , https://revistas.unal.edu.co/index.php/profile/article/view/11449/12100; Ortega, Y., Teacher, ¿puedo hablar en español?” A reflection on plurilingualism and translanguaging practices in efl (2019) Profile: Issues in Teachers’ Professional Development, 21 (2), pp. 155-170. , https://doi.org/10.15446/profile.v21n2.74091; Phillipson, R., (1992) Linguistic imperialism, , Oxford University Press; Phillipson, R., Skutnabb-Kangas, T., Englishiza-tion as one dimension of globalization (2002) The English language and power, pp. 149-168. , G.Mazzaferro (Ed), –). Edizioni dell’Orso; Posada Ortiz, J. Z., Castañeda Peña, H., Commodity, immunity, and struggle: (Re)visiting senses of community in elt (2021) Colombian Applied Linguistics Journal, 23 (2), pp. 182-195. , https://doi.org/10.14483/22487085.16707; Posada-Ortiz, J., English language preservice teachers’ identity construction within academic and other communities (2022) Profile: Issues in Teachers’ Professional Development, 24 (1), pp. 247-260. , https://doi.org/10.15446/profile.v24n1.93110; Posada-Ortiz, J. Z., Castañeda Peña, H., Commodity, immunity, and struggle: (Re)visiting senses of community in elt (2021) Colombian Applied Linguistics Journal, 23 (2), pp. 182-195. , https://doi.org/10.14483/22487085.16707; Ramos-Holguín, B., Comprehending intercultur-ality and its future directions in English language teaching and teacher education in the Colombian context (2021) how Journal, 28 (3), pp. 93-104. , https://doi.org/10.19183/how.28.3.674; Reagan, T., Objectification, positivism and language studies: A reconsideration (2004) Critical Inquiry in Language Studies, 1 (1), pp. 41-60. , https://doi.org/10.1207/s15427595cils0101_3; Ritzer, G., (2008) The McDonaldization of society 5, , Pine Forge Press; Rogers, R., (2011) An introduction to critical discourse analysis in education, , https://doi.org/10.4324/9780203836149, (2nd ed). Routledge; Saldaña, J., (2011) Fundamentals of qualitative research, , Oxford University Press; Sawyer, R. D., Norris, J., (2013) Duoethnography: Understanding qualitative research, , Oxford University Press; Seidlhofer, B., Common ground and different realities: world Englishes and English as a lingua franca (2009) World Englishes, 28 (2), pp. 236-245. , https://doi.org/10.1111/j.1467-971X.2009.01592.x; Soto-Molina, J. E., Méndez, P., Linguistic colonialism in the English language textbooks of multinational publishing houses (2020) how Journal, 27 (1), pp. 11-28. , https://doi.org/10.19183/how.27.1.521; Stake, R. E., (2010) Qualitative research: Studying how things work, , Guilford Press; Tajeddin, Z., (2021) Toward critical applied pragmatics: Moving from postcolonial hegemony to decolonial; pragmatics pedagogy Teaching English as a Second Language Electronic Journal (tesl-ej), 25 (1). , https://tesl-ej.org/pdf/ej97/a13.pdf; Takayama, K., Imagining sociology of education otherwise (2017) The Journal of Educational Sociology, 100, pp. 93-100. , https://doi.org/10.11151/eds.100.93; Ubaque-Casallas, D. F., Language pedagogy and identity. Learning from teachers’ narratives in the Colombian elt (2021) how Journal, 28 (2), pp. 33-52. , https://doi.org/10.19183/how.28.2.604; Ubaque-Casallas, D., Language pedagogy and teacher identity: A decolonial lens to English language teaching from a teacher educator’s experience (2021) Profile: Issues in Teachers’ Professional Development, 23 (2), pp. 199-214. , https://doi.org/10.15446/profile.v23n2.90754; Ubaque-Casallas, D. F., Aguirre-Garzón, E., ReSignifying teacher epistemologies through lesson planning: A study on language student teachers (2020) Profile: Issues in Teachers’ Professional Development, 22 (2), pp. 131-144. , https://doi.org/10.15446/profile.v22n2.80687; Ubaque-Casallas, D., Castañeda-Peña, H., Non-Normative corporalities and transgender identity in English as a Foreign Language student teachers (2020) how Journal, 27 (2), pp. 13-30. , https://doi.org/10.19183/how.27.2.548; Usma-Wilches, J. A., Ortiz-Medina, J. M., Gutiérrez, C., Indigenous students learning English in higher education: What are the challenges ? (2018) Íkala, Revista de Lenguaje y Cultura, 23 (2), pp. 229-254. , https://doi.org/10.17533/udea.ikala.v23n02a03; Usma-Wilches, J. A., Education and language policy in Colombia: Exploring processes of inclusion, exclusion, and stratification in times of global reform (2009) Profile: Issues in Teachers’ Professional Development, 11 (1), pp. 123-141. , https://revistas.unal.edu.co/index.php/profile/article/view/10551/11014; Valencia, M., Language policy and the manufacturing of consent for foreign intervention in Colombia (2013) Profile: Issues in Teachers’ Professional Development, 15 (1), pp. 27-43. , https://revistas.unal.edu.co/index.php/profile/article/view/37859/40574; Velandia-Moncada, D. A., Tutorial plan to support the English-speaking skill of an Inga student of an initial teacher education program (2007) Profile: Issues in Teachers’ Professional Development, 8 (1), pp. 121-130. , https://revistas.unal.edu.co/index.php/profile/article/view/10993; Viáfara, J. J., Self-perceived non-nativeness in prospective English teachers self-images (2016) Revista Brasileira De Linguística Aplicada, 16 (3), pp. 461-491. , https://doi.org/10.1590/1984-639820169760; Walsh, C., Lo pedagógico y lo decolonial. Entretejiendo caminos (2013) Pedagogías decoloniales. Práctica insurgentes de resistir, (re)existir y (re)vivir Tomo i, pp. 23-68. , C. Walsh (Ed), –). Ediciones Abya-Yala; Walsh, D., Downe, S., Meta-synthesis method for qualitative research: A literature review (2005) Journal of Advanced Nursing, 50 (2), pp. 204-211. , https://doi.org/10.1111/j.1365-2648.2005.03380.x; Wang, G., (2010) De-westernizing communication research: Altering questions and changing frameworks, , Routledge; Weaver, S., Mora, R. A., Morgan, K., Gender and humour: Examining discourses of hegemony and resistance (2016) Social Semiotics, 26 (3), pp. 227-233. , https://doi.org/10.1080/10350330.2015.1134820; Zembylas, M., Revisiting the Gramscian legacy on counter-hegemony, the subaltern and affectivity: Toward an emotional pedagogy of activism in higher education (2013) Critical Studies in Teach and Learning, 1 (1), pp. 1-21</t>
  </si>
  <si>
    <t>Mosquera-Pérez, J.E.; Universidad Pedagógica y Tecnológica de Colombia (uptc)Colombia; email: jhon58745@hotmail.com</t>
  </si>
  <si>
    <t>English; French; Portuguese; Spanish</t>
  </si>
  <si>
    <t>2-s2.0-85138593031</t>
  </si>
  <si>
    <t>Medina N.E.C., Torres F.Á.H., Páez M.Y.L.</t>
  </si>
  <si>
    <t>57209416752;57901613000;57901818700;</t>
  </si>
  <si>
    <t>Entretejidxs: Decolonial Threads to the Self, the Communities, and efl Teacher Education Programs in Colombia [Entrecroisés: des fils décoloniaux vers soi-même, les communautés et les programmes de formation des enseignants d’anglais langue étrangère en Colombie] [Entretecidxs: fios decoloniais para o ser, as comunidades e os programas de formação de professores de inglês como língua estrangeira na Colômbia] [Entretejidxs: hilos decoloniales hacia el ser, las comunidades y los programas de formación de docentes de inglés como lengua extranjera en Colombia]</t>
  </si>
  <si>
    <t>10.17533/udea.ikala.v27n3a02</t>
  </si>
  <si>
    <t>https://www.scopus.com/inward/record.uri?eid=2-s2.0-85138587302&amp;doi=10.17533%2fudea.ikala.v27n3a02&amp;partnerID=40&amp;md5=f66aa0d9d4179858070cc082347fcd72</t>
  </si>
  <si>
    <t>Universidad Pedagógica y Tecnológica de Colombia, Tunja, Colombia; Instituto de Lenguas Fray Bernardo de Lugo, Universidad Santo Tomás, Tunja, Colombia; Institución Educativa José María Silva Salazar, Buenavista, Colombia</t>
  </si>
  <si>
    <t>Medina, N.E.C., Universidad Pedagógica y Tecnológica de Colombia, Tunja, Colombia; Torres, F.Á.H., Instituto de Lenguas Fray Bernardo de Lugo, Universidad Santo Tomás, Tunja, Colombia; Páez, M.Y.L., Institución Educativa José María Silva Salazar, Buenavista, Colombia</t>
  </si>
  <si>
    <t>In addressing the 21st century neocolonial research condition, in this article the authors firstly discuss how academia in general, and elt in particular, may configure as oppressive colonizing sites. Secondly, they introduce their own experience as pre-service and in-service educators who took part in pedagogy of possibilities (pop) at a university in Tunja, Colombia. Indigenous principles like interconnectedness and relationality and Chicanx/Latinx concepts, such as bodymindspirit, path of conocimiento, and spiritual activism were foundational to these educators’ pop. To them, pedagogy was a political act to resist the disembodied/disengaged/dispassionate nature of teaching/researching/being in academia and beyond. This four-year critical-community autoethnography, uses testimonies, journals, and artistic creations as knowledge-gathering methods to analyze how decolonizing teaching-research practices informed the re-signification of these educators’ personal and professional identities. Theoretical coding revealed that pop permitted participants to engage in decolonial practices of self-recognition, re-construction, empowerment, growth, and healing. The analysis also revealed that decolonizing the self leads to the adoption of a positionality where values such as care and respect for one’s self and communities are paramount to move forward social-justice-critical-decolonial agendas. The results suggest the need to re-signify elt pedagogical and educational practices beyond neoliberal agendas which propose rankings, individualism, and competition © Universidad de Antioquia, 2022. This is an open access article, distributed in compliance with the terms of the Creative Commons license by-nc-sa 4.0 International</t>
  </si>
  <si>
    <t>Critical community autoethnography; Decoloniality; English language teaching; Lived experiences; Pedagogy of possibilities; Teacher education</t>
  </si>
  <si>
    <t>This article pays homage to Colombian social leaders and activists, the Indigenous Inquiries Circle, Chicanx/Latinx feminists, Knowledge in Action—kia— family and those who have embraced us and traced decolonial paths for us to build upon</t>
  </si>
  <si>
    <t>Anzaldúa, G., Now let us shift… the path of conocimiento… inner work, public acts (2002) This bridge we call home: Radical visions for transformation, pp. 540-578. , G. Anzaldúa &amp; A. Keating (Eds), –). Routledge; Anzaldúa, G., Keating, A. L., (2009) The Gloria Anzaldúa reader (Latin America otherwise), , Duke University Press; Anzaldúa, A., (2015) Light in the dark/Luz en lo oscuro: Rewriting identity, spirituality, reality, , Duke Press; Ayala, J., Herrera, P., Jiménez, L., Lara, I., Fiera, guambra, y karichina! Transgressing the borders of community and academy (2006) Chicana/Latina education in everyday life. Feminista perspectives on pedagogy and epistemology, , http://doi.org/10.1080/15348430902750791, D. Delgado Bernal, C. A. Elenes &amp; S. Villenas (Eds), suny; Bernal, D. D., Elenes, C. A., Godinez, F. E., (2006) Chicana/Latina education in everyday life: Feminista perspectives on pedagogy and epistemology, , (Eds). Suny Press; Bonilla, S., Cruz-Arcila, F., Critical socio-cultural elements of the intercultural endeavor of English teaching in Colombian rural areas (2014) Profile: Issues in Teachers Professional Development, 16 (2), pp. 117-133. , https://doi.org/10.15446/profile.v16n2.40423; Boyd, A. S., (2017) Social justice literacies in the English classroom: Teaching practice in action, , Teachers College Press; Buendía-Arias, X. P., André-Arenas, A., Rosado-Men-dihueta, N. D. R., Factors shaping efl preservice teachers’ identity configuration (2020) Íkala, Revista de Lenguaje y Cultura, 25 (3), pp. 583-603. , https://doi.org/10.17533/udea.ikala.v25n03a02; Carvajal Medina, N. E., (2017) Testimonios of the us rural” homeless”: A critical and decolonizing-decolonized ethnography, , Washington State University; Carvajal Medina, N. E., efl pre-service &amp; in-service teachers as agents of change: Enhancing social justice practices in a Colombian public university (2020) Journal of Higher Education Theory &amp; Practice, 20 (11), pp. 137-149. , https://doi.org/10.33423/jhetp.v20i11.3770; Castañeda-Peña, H., Structuralist, poststructuralist and decolonial identity research in English language teaching and learning: A reflection problematizing the field (2018) elt local Research Agendas, pp. 17-34. , Universidad Distrital Francisco José de Caldas; Collective PaZalo Joven-Generación V+ uptc, , https://www.uptc.edu.co/sitio/portal/sitios/universidad/vic_aca/vic_acad/asu_est/pazjov.html; Darder, A., The making of a postcolonial dissident scholar (2011) Speech presented at the American Educational Research Association Annual Meeting, , (April). New Orleans; Delgado Bernal, D., Burciaga, R., Introduction: Chicana/Latina testimonios: Mapping the methodological, pedagogical, and political (2012) Equity and Excellence in Education, 45 (3), pp. 363-372. , https://doi.org/10.1080/10665684.2012.698149, Flores, Carmona, J. (Eds); De Sousa Santos, B., Epistemologías del sur (2011) Utopía y Praxis Latinoamericana, 16 (54), pp. 17-39; Dillard, C. B., Neal, A., I am because we are:(Re) membering Ubuntu in the pedagogy of Black women teachers from Africa to America and back again (2020) Theory into Practice, 59 (4), pp. 370-378. , https://doi.org/10.1080/00405841.2020.1773183; Facio, E., Lara, I., (2014) Fleshing the spirit: Spirituality and activism in Chicana, Latina, and Indigenous women’s lives, , (Eds). University of Arizona Press; Fandiño-Parra, Y. J., Decolonizing English language teaching in Colombia: Epistemological perspectives and discursive alternatives (2021) Colombian Applied Linguistics Journal, 23 (2), pp. 166-181. , https://doi.org/10.14483/22487085.17087; Flores Carmona, J., Cutting out their tongues: Mujeres’ testimonios and the Malintzin researcher (2014) Journal of Latino/ Latin American Studies (jol-las), 6 (2), pp. 113-124. , https://doi.org/10.18085/llas.6.2.gr44n072hhh72584; Freire, P., (1996) The pedagogy of the oppressed, , Penguin Books; Granados-Beltrán, C., Critical interculturality. A path for pre-service elt teachers (2016) Íkala, Revista de Lenguaje y Cultura, 21 (2), pp. 171-187. , https://doi.org/10.17533/udea.ikala.v21n02a04; Grant, D. M., Writing” Wakan”: The Lakota pipe as rhetorical object (2017) College Composition and Communication, 69 (1), pp. 61-86. , https://www.jstor.org/stable/44784331; Henao Mejía, E. A., (2020) Decolonizar las políticas lingüísticas colombianas: comunicarnos y educarnos en interculturalidad. iii Congreso Internacional de Interculturalidad para Afirmar lo que Somos, , http://doi.org/10.18566/2711-452X619, [Conference], Universidad Pontificia Bolivariana, Medellín, Colombia; Holliday, A., (2005) The struggle to teach English as an international language, , Oxford University Press; Hooks, B., (2014) Teaching to transgress, , https://doi.org/10.4324/9780203700280, Routledge; Kovach, M., (2009) Indigenous methodologies: Characteristics, conversations and contexts, , University of Toronto Press; (2001) Telling to live: Latina feminist testimonios, , Duke University Press; Leavy, P., (2009) Method meets art: Arts-based research practice, , Guilford Press; Mignolo, W., (2005) La idea de América Latina: la herida colonial y la opción decolonial, , Gedisa; Moncayo, V. M., Fals Borda: hombre hicotea y sentipensante (2009) Orlando Fals Borda. Una sociología sentipensante para América Latina, pp. 9-19. , http://biblioteca.clacso.edu.ar/clacso/se/20160304050141/01pres.pdf; Moya, P. M., Learning from experience: Minority identities (2002) Multicultural struggles, , uc Press; Ortega, Y., Rebeldes en acción”: A case study in English teaching in a marginalized Colombian high school (2020) Social justice and international education: Research, practice, and perspectives, pp. 111-134. , L. M. Berger (Ed), –). nafsa: Association of International Educators; Pensoneau-Conway, S. L., Bolen, D. M., Toyosaki, S., Ru-dick, C. K., Bolen, E. K., Self, relationship, positionality, and politics: A community autoethnographic inquiry into collaborative writing (2014) Cultural Studies/Critical Methodologies, 14 (4), pp. 312-323. , https://doi.org/10.1177/1532708614530302; Pérez, E., (1999) The decolonial imaginary: Writing Chicanas into history, , Indiana University Press; Phillipson, R., elt: the native speaker’s burden? (1992) elt Journal, 46 (1), pp. 12-18; Ramírez Sánchez, M., (2019) Social justice and racial discrimination understandings in the efl classroom through the implementation of a project-based didactic unit, , https://repositorio.uptc.edu.co/handle/001/102/browse?type=subject&amp;order=ASC&amp;rpp=20&amp;value=Social+justice+standards, (Trabajo de grado, Licenciatura en Idiomas Modernos Español–Inglés); Rendón, L. I., Academics of the heart: Maintaining body, and spirit soul (2000) Microcosms of diversity: Succeeding as a faculty member of color, , M. García (Ed), Greenwood Press; Rendon, L. I., Cultivating una persona educada: A sentipensante (sensing/thinking) vision of education (2011) Journal of College and Character, 12 (2). , https://doi.org/10.2202/1940-1639.1788; Rinehart, R. E., Earl, K., Auto-, duo and collaborative-ethnographies: “Caring” in an audit culture climate (2016) Qualitative Research Journal, 16 (3), pp. 210-224. , https://doi.org/10.1108/QRJ-04-2016-0024; Romero Walker, A., Using critical media literacy to create a decolonial, anti-racist teaching philosophy (2021) Journal of Media Literacy Education, 13 (2), pp. 86-93. , https://doi.org/10.23860/JMLE-2021-13-2-7; Saldaña, J., (2016) The coding manual for qualitative researchers [El manual de codificación para los investigadores cualitativos], , Sage Publications; Salinas, D., efl teacher identity: Impact of macro and micro contextual factors in education reform frame in Chile (2017) World Journal of Education, 7 (6), pp. 1-11. , https://doi.org/10.5430/wje.v7n6p1; Shapiro, R., Watson, M., Critical language inquiry: Toward antiracist and decolonial pedagogies (2020) Bilingual Basics (A newsletter of the tesol International Association), , http://newsmanager.commpartners.com/tesolbeis/issues/2020-11-25/2.html; Serrano, J. A. R., elt and citizenship: Basic principles to raise social awareness through language teaching (2008) how, 15 (1), pp. 63-82; Shiva, V., Ecological reflections on the Coronavirus (2020) Medium, , https://medium.com/post-growth-institute/ecological-reflections-on-thecoronavirus-93d50bbfe9db, (Erişim Tarihi: 25.04. 2020); Smith, L. T., (2012) Decolonizing methodologies: Research and indigenous peoples, , (2nd Ed). Zed Books (Distributed in the usa exclusively by Palgrave Macmillan; Sulamoyo, D., ‘I am because we are’: Ubuntu as a cultural strategy for od and change in Sub-Saharan Africa (2010) Organization Development Journal, 28 (4), p. 41; Svalastog, A. L., Wilson, S., Hansen, K. L., Knowledge versus education in the margins: An indigenous and feminist critique of education (2021) Education Sciences, 11 (10), p. 627. , https://doi.org/10.3390/educsci11100627; Tilley-Lubbs, G. A., Critical autoethnography and the vulnerable self as researcher (2016) Re-telling our stories, pp. 1-15. , https://doi.org/10.1007/978-94-6300-567-8_1, Brill Sense; Torres-Rocha, J. C., efl teacher professionalism and identity: Between local/global elt tensions (2019) how, 26 (1), pp. 153-176. , https://doi.org/10.19183/how.26.1.501; Tutu, D., (2003) Speech: No future without forgiveness, , https://digitalcommons.unf.edu/cgi/viewcontent.cgi?article=1014&amp;context=archbishoptutupapers, Reproduced by the University of North Florida; Trujillo, C., Living chicana theory (1998) Third Woman Theory; Ubaque-Casallas, D., Language pedagogy and teacher identity: A decolonial lens to English language teaching from a teacher educator’s experience (2021) Profile: Issues in Teachers’ Professional Development, 23 (2), pp. 199-214. , https://doi.org/10.15446/profile.v23n2; Usma, J., Pelaez, O., Teacher autonomy: From the conventional promotion of independent learning to the critical appropriation of language policies (2017) Innovations and challenges in applied linguistics and learner autonomy, , C. Nicolaides &amp; W. Magno (Eds), Pontes Editores; Valdéz, L., Works, V. E., (1990) Actos, Bernabé and Pensamiento Serpentino; Wilson, S., (2008) Research is ceremony. Indigenous research methods, , Fernwood; Zilonka, R., Cai, S., Carvajal Medina, N. E., Chung, G. Y., Where are We from?”: A Critical Community Autoethnography of Place, Space, and Belonging by Ph. D. International Female Student-Scholar-Activists in the us (2019) The International Journal of Critical Pedagogy, 10 (1)</t>
  </si>
  <si>
    <t>Medina, N.E.C.; Universidad Pedagógica y Tecnológica de ColombiaColombia; email: nancy.carvajal@uptc.edu.co</t>
  </si>
  <si>
    <t>2-s2.0-85138587302</t>
  </si>
  <si>
    <t>Arévalo Lizarazo G.A., Zambrano Vargas S.M., Vázquez García A.W.</t>
  </si>
  <si>
    <t>57900452800;57194705231;57209718079;</t>
  </si>
  <si>
    <t>Pecking Order Theory for capital structure analysis: Application in three sectors of the Colombian economy [Teoría del Pecking Order para el análisis de la estructura de capital: Aplicación en tres sectores de la economía colombiana]</t>
  </si>
  <si>
    <t>Revista Finanzas y Politica Economica</t>
  </si>
  <si>
    <t>https://www.scopus.com/inward/record.uri?eid=2-s2.0-85138527698&amp;doi=10.14718%2frevfinanzpolitecon.v14.n1.2022.5&amp;partnerID=40&amp;md5=f43029d4bc43c61983dd8d499f4cc3e5</t>
  </si>
  <si>
    <t>Universidad Pedagógica y Tecnológica de Colombia, Tunja, Colombia; Universidad Autónoma Metropolitana, Ciudad de México, Mexico</t>
  </si>
  <si>
    <t>Arévalo Lizarazo, G.A., Universidad Pedagógica y Tecnológica de Colombia, Tunja, Colombia; Zambrano Vargas, S.M., Universidad Pedagógica y Tecnológica de Colombia, Tunja, Colombia; Vázquez García, A.W., Universidad Autónoma Metropolitana, Ciudad de México, Mexico</t>
  </si>
  <si>
    <t>This study aims to verify whether managers in the agricultural, transport and storage, and tourism and food sectors of Colombia follow a hierarchy of preferences or Pecking Order when defining the capital structure of their companies. Based on Bloomberg and EMIS, the financial statements of 1,548 firms from 2017 to 2020 were used to build three panel data analysis models with fixed effects, one per sector. The findings show a negative relationship between profitability and retained earnings with level of indebtedness in the agricultural and tourism and food sectors. They also indicate that the level of indebtedness of the tourism and food sector increased with the economic crisis generated by COVID-19, while it decreased in the agricultural sector. The conclusions suggest that in these two sectors there is a hierarchy of preferences, but not so in the transport and storage sector, where only a negative relationship with profitability is observed. © 2022 Catholic University of Colombia. All rights reserved.</t>
  </si>
  <si>
    <t>agricultural economics; capital structure; debt level; gross domestic product; Pecking Order Theory; tourism; transport</t>
  </si>
  <si>
    <t>(2021) Informe de política monetaria, , https://repositorio.banrep.gov.co/bitstream/handle/20.500.12134/10051/informe-politica-monetaria-julio-2021.pdf; Berk, J., DeMarzo, P., (2016) Corporate Finance, , (3.a ed). Pearson; Céspedes, J., González, M., Molina, C. A., Ownership and capital structure in Latin America (2010) Journal of Business Research, 63 (3), pp. 248-254. , https://doi.org/10.1016/j.jbusres.2009.03.010; (2020) Informe Especial COVID-19 n.o 4. Las empresas frente a la COVID-19: emergencia y reactivación, , https://repositorio.cepal.org/bitstream/handle/11362/45734/4/S2000438_es.pdf; Correa, C., Cruz, L., Nakamura, W., A estrutura de capital das maiores empresas brasileiras: análise empírica das teorías de Pecking order e Trade-Off, usando panel data (2013) Revista de Administração Mackenzie, 14 (4), pp. 106-133. , https://www.redalyc.org/articulo.oa?id=195428131005; (2021) Colombia Tourism y Leisure Sector 2021/2022, , EMIS; (2021) Latin America Agriculture Sector 2021/2022, , EMIS; (2021) Latin America Transportation Sector 2021/2025, , EMIS; Ferri, M., Jones, W., Determinants of Financial Structure: A New Methodological Approach (1979) The Journal of Finance, 34 (3), pp. 631-644. , https://doi.org/10.1111/j.1540-6261.1979.tb02130.x; Fiirst, C., Chaves Cunha, L., da Silva, T., Estrutura de capital na perspectiva da teoria Pecking Order e Assimetria da Informação nas empresas brasileiras, chilenas e mexicanas no período de 1999 a 2013 (2018) Cuadernos de Contabilidad, 18 (46). , https://doi.org/10.11144/javeriana.cc18-46.ecpt; Frank, M., Goyal, V., Trade-Off and Pecking Order Theories of Debt (2008) En Handbook of Empirical Corporate Finance, pp. 135-202. , https://doi.org/10.1016/B978-0-444-53265-7.50004-4; Frank, M., Goyal, V., Capital structure decisions: Which factors are reliably important? (2009) Financial Management, 38 (1), pp. 1-37. , https://doi.org/10.1111/j.1755-053X.2009.01026.x; Gil, J., Rosso, J., Ocampo, J., Nivel de apalancamiento y estabilidad financiera empresarial: el caso de firmas de Colombia y Argentina (2018) Revista Finanzas y Política Económica, 10 (2), pp. 309-325. , https://doi.org/10.14718/revfinanzpolitecon.2018.10.2.4revfinanzpolitecon.2018.10.2.4; Harris, M., Raviv, A., The Theory of Capital Structure (1991) The Journal of Finance, 46 (1), pp. 297-355. , https://doi.org/10.1111/j.1540-6261.1991.tb03753.x; He, W., Hu, M., Mi, L., Yu, J., How stable are corporate capital structures? International evidence (2021) Journal of Banking and Finance, 126, p. 106103. , https://doi.org/10.1016/j.jbankfin.2021.106103; Kieschnick, R., Moussawi, R., Firm age, corporate governance, and capital structure choices (2018) Journal of Corporate Finance, 48, pp. 597-614. , https://doi.org/10.1016/j.jcorpfin.2017.12.011; Kwak, G., Financing Decision of High-tech SMEs in Korea: A Revisitation to Pecking Order Theory (2020) Applied Economics Letters, 28 (16), pp. 1400-1406. , https://doi.org/10.1080/13504851.2020.1820437; Leland, H., Toft, K. B., Optimal capital structure, endogenous bankruptcy, and the term structure of credit spreads (1996) The Journal of Finance, 51 (3), pp. 987-1019. , https://doi.org/10.1111/j.1540-6261.1996.tb02714.x; MacKie-Mason, J., Do Taxes Affect Corporate Financing Decisions? (1990) The Journal of Finance, 45 (5), pp. 1471-1493. , https://doi.org/10.1111/j.1540-6261.1990.tb03724.x; Mejía, A., La estructura de capital en la empresa: su estudio contemporáneo (2013) Revista Finanzas y Política Económica, 5 (2), pp. 141-160. , https://doi.org/10.14718/revfinanzpolitecon.v5.n2.2013.446; Miller, M., Debt and taxes (1977) The Journal of Finance, 32 (2), pp. 261-275. , https://doi.org/10.1111/j.1540-6261.1977.tb03267.x; Modigliani, F., Miller, M., The Cost of Capital, Corporation Finance and the Theory of Investment (1958) The American Economic Review, 48 (3), pp. 261-297. , http://www.jstor.org/stable/1809766; Modigliani, F., Miller, M., Income Taxes and the Cost of Capital (1963) The American Economic Review, 53 (3), pp. 433-443. , https://www.jstor.org/stable/1809167; Mongrut, S., Fuenzalida, D., Pezo, G., Zdenko, T., Explorando teorías de estructura de capital en Latinoamérica (2010) Cuadernos de Administración, 23 (41), pp. 163-184. , http://www.scielo.org.co/pdf/cadm/v23n41/v23n41a08.pdf; Myers, S., Capital Structure (2001) Journal of Economic Perspectives, 15 (2), pp. 81-102. , https://doi.org/10.1257/jep.15.2.81; Myers, S., Majluf, N., Corporate financing and investment decisions when firms have information that investors do not have (1984) Journal of Financial Economics, 13 (2), pp. 187-221. , https://doi.org/10.1016/0304-405x(84)90023-0; Pesaran, H., (2015) Time series and panel data econometrics, , (1.a ed). Oxford University Press; Rajan, R., Zingales, L., What Do We Know about Capital Structure? Some Evidence from International Data (1995) The Journal of Finance, 50 (5), pp. 1421-1460. , https://doi.org/10.1111/j.1540-6261.1995.tb05184.x; Sarmiento, R., Salazar, M., La estructura de financiamiento de las empresas- una evidencia teórica y econométrica para Colombia 1997-2004 (2004) Documentos de Economía, 1, pp. 1-153. , https://www.banrep.gov.co/sites/default/files/eventos/archivos/sarmientoysalazar2005_1.pdf; Tan, K., Zhou, Q., Pan, Z., Faff, R., Business shocks and corporate leverage (2021) Journal of Banking and Finance, 131, p. 106208. , https://doi.org/10.1016/j.jbankfin.2021.106208; Tenjo, F., López, E., Zamudio, N., Determinantes de la estructura de capital de las empresas en América Latina (2006) Coyuntura Económica, 1, pp. 115-145; Torres, O., Panel Data Analysis Fixed and Random Effects using Stata (2007) Panel Data Analysis, , https://www.princeton.edu/~otorres/Panel101.pdf, Recuperado de; Wadnipar, S., Cruz, J., Determinación de la estructura de capital de las empresas colombianas (2008) Revista Soluciones de Postgrado EIA, pp. 23-44. , https://revistas.eia.edu.co/index.php/SDP/article/view/2; Zambrano, S., Acuña, G., Estructura De Capital. Evolución Teórica (2011) Criterio Libre, 9 (15), pp. 81-102. , http://search.proquest.com/docview/1010350445?accountid=17214; Zambrano, S., Acuña, G., Teoría del Pecking Order versus teoría del Trade off para la empresa Coservicios S.A. E.S.P (2013) Apuntes del Cenes, 32 (56), pp. 205-236. , https://revistas.uptc.edu.co/index.php/cenes/article/view/2448/2327</t>
  </si>
  <si>
    <t>Arévalo Lizarazo, G.A.; Universidad Pedagógica y Tecnológica de ColombiaColombia; email: guillermo.arevalo01@uptc.edu.co</t>
  </si>
  <si>
    <t>Universidad Catolica de Colombia</t>
  </si>
  <si>
    <t>Rev. Finanzas Politica Economica</t>
  </si>
  <si>
    <t>2-s2.0-85138527698</t>
  </si>
  <si>
    <t>Vargas Rodríguez L.J., Espitia Lozano N., de la Peña Triana H.M., Vargas Vargas J.L., Mogollón Botía D.M., Pobre Vinasco Á.M., Tristancho Rincón M.A., Acosta Pérez C.A., Sarria Carreño M.C., Contento Suescun G.</t>
  </si>
  <si>
    <t>57197830878;57893221800;57893949700;57893221900;57892978100;57893222000;57894187400;57878626700;57893222100;57892492200;</t>
  </si>
  <si>
    <t>Computer visual syndrome in university students in times of pandemic [Síndrome visual informático en universitarios en tiempos de pandemia]</t>
  </si>
  <si>
    <t>10.1016/j.oftal.2022.08.006</t>
  </si>
  <si>
    <t>https://www.scopus.com/inward/record.uri?eid=2-s2.0-85138135944&amp;doi=10.1016%2fj.oftal.2022.08.006&amp;partnerID=40&amp;md5=f2c6e24bd75e4f2b7ce626b63e4cd6c1</t>
  </si>
  <si>
    <t>Oficina de Investigación, Hospital Regional de la Orinoquía, Yopal, Colombia; Programa de Medicina, Universidad de Boyacá, Tunja, Colombia; Oficina de Investigación, Hospital Universitario San Rafael, Tunja, Colombia; Programa de Medicina Familiar y Comunitaria, Universidad Pedagógica y Tecnológica de Colombia (UPTC), Tunja, Colombia</t>
  </si>
  <si>
    <t>Vargas Rodríguez, L.J., Oficina de Investigación, Hospital Regional de la Orinoquía, Yopal, Colombia, Programa de Medicina, Universidad de Boyacá, Tunja, Colombia, Oficina de Investigación, Hospital Universitario San Rafael, Tunja, Colombia; Espitia Lozano, N., Programa de Medicina Familiar y Comunitaria, Universidad Pedagógica y Tecnológica de Colombia (UPTC), Tunja, Colombia; de la Peña Triana, H.M., Programa de Medicina Familiar y Comunitaria, Universidad Pedagógica y Tecnológica de Colombia (UPTC), Tunja, Colombia; Vargas Vargas, J.L., Programa de Medicina Familiar y Comunitaria, Universidad Pedagógica y Tecnológica de Colombia (UPTC), Tunja, Colombia; Mogollón Botía, D.M., Programa de Medicina, Universidad de Boyacá, Tunja, Colombia; Pobre Vinasco, Á.M., Programa de Medicina, Universidad de Boyacá, Tunja, Colombia; Tristancho Rincón, M.A., Programa de Medicina, Universidad de Boyacá, Tunja, Colombia; Acosta Pérez, C.A., Oficina de Investigación, Hospital Universitario San Rafael, Tunja, Colombia; Sarria Carreño, M.C., Programa de Medicina, Universidad de Boyacá, Tunja, Colombia; Contento Suescun, G., Programa de Medicina, Universidad de Boyacá, Tunja, Colombia</t>
  </si>
  <si>
    <t>Introduction: One of the consequences of prolonged use of bright screens such as those of the computer or cell phone is the computer visual syndrome (CVS), where characteristic symptoms are presented that normally disappear after a couple of hours when you stop using electronic devices. The prevalence is high due to multiple risk factors. Objective: To determine the prevalence of CVS in medical students at the University of Boyacá in times of pandemic. Methodology: Descriptive and cross-sectional observational study. The study population were medical students, the data were collected in September and October of the year 2021, and an electronic survey was carried out for data collection. Results: A total of 300 participants were invited to participate in the study. A percentage of 78 (234) of participating students suffer from CVS. A percentage of 67.09 (157) of the participants who reported suffering from CVS were female and 32.91% (77) were male. Conclusions: CVS is very common among medical students at the University of Boyacá. This study has shown that the presence of CVS has been significantly associated with exposure factors that were triggered during the pandemic period, where frequent virtual classes and long hours led to high exposure to screens. In addition, in the era of virtuality, communication through social networks increased the use of cell phones, which increases the possibility of the appearance of this syndrome. © 2022 Sociedad Española de Oftalmología</t>
  </si>
  <si>
    <t>Dry eye syndrome; Headache; Pandemic; Prevalence; Vision syndrome</t>
  </si>
  <si>
    <t>Shuman-Betancourt, I., Pérez-Mola, K., La COVID-19 y sus consecuencias en el sistema ocular (2020) Rev Inf Cient., 99, pp. 284-292. , http://scielo.sld.cu/scielo.php?script=sci_arttext&amp;pid=S1028-99332020000300284&amp;lng=es; Blehm, C., Vishnu, S., Khattak, A., Mitra, S., Yee, R.W., Computer visión syndrome: A review (2005) Surv Ophthalmol., 50, pp. 253-262; Li, J.P.O., Lam, D.S.C., Chen, Y., Ting, D.S.W., Novel Coronavirus disease 2019 (COVID-19): The importance of recognising possible early ocular manifestation and using protective eyewear (2020) Br J Ophthalmol., 104, pp. 297-298. , https://doi.org/10.1136/bjophthalmol-2020-315994; Erdinest, N., Berkow, D., Computer vision syndrome (2021) Harefuah., 160, pp. 386-392. , https://pubmed.ncbi.nlm.nih.gov/34160157/.2021; Sheppard, A.L., Wolffsohn, J.S., Digital eye strain: Prevalence, measurement and amelioration (2018) BMJ Open Ophthalmol., 3, p. e000146. , https://pubmed.ncbi.nlm.nih.gov/29963645, /; Ranasinghe, P., Wathurapatha, W.S., Perera, Y.S., Lamabadusuriya, D.A., Kulatunga, S., Jayawardana, N., Computer vision syndrome among computer office workers in a developing country: An evaluation of prevalence and risk factors (2016) BMC Res Notes., 9, p. 150; Arbulú-Paredes, M., Chirinos-Saldaña, P., Efecto de una emulsión lubricante en la sintomatología, daño a la superficie ocular e inestabilidad de la película lagrimal de pacientes con ojo seco asociado al síndrome visual informático (2019) Acta Med Peru., 36, pp. 202-208. , http://www.scielo.org.pe/pdf/amp/v36n3/a04v36n3.pdf; Dostálová, N., Vrubel, M., Kachlík, P., Computer vision syndrome - Symptoms and prevention (2021) Cas Lek Cesk., 160, pp. 88-92. , https://pubmed.ncbi.nlm.nih.gov/34134500, /; Zapata-Lamana, R., Ibarra-Mora, J., Henriquez-Beltrán, M., Sepúlveda-Martin, S., Martínez-González, L., Cigarroa, I., Aumento de horas de pantalla se asocia con un bajo rendimiento escolar (2021) Andes Pediatr., 92, pp. 565-575. , http://www.scielo.cl/scielo.php?script=sci_arttext&amp;pid=S2452-60532021000400565&amp;lng=es; Jaiswal, S., Asper, L., Long, J., Lee, A., Harrison, K., Golebiowski, B., Ocular and visual discomfort associated with smartphones, tablets and computers: What we do and do not know (2019) Clin Exp Optom., 102, pp. 463-477. , https://pubmed.ncbi.nlm.nih.gov/30663136, /; Seguí, M.M., Cabrero-García, J., Crespo, A., Verdú, J., Ronda, E., A reliable and valid questionnaire was developed to measure computer vision syndrome at the workplace (2015) J Clin Epidemiol., 68, pp. 662-673. , https://pubmed.ncbi.nlm.nih.gov/25744132, /; Huapaya, Y., https://repositorio.upch.edu.pe/bitstream/handle/20.500.12866/8531/Validacion_HuapayaCana_Yessenia.pdf?sequence=1&amp;isAllowed=y, Validación del instrumento «Computer Vision Syndrome Questionnaire (CVS-Q)» en el personal administrativo en Lima 2019 [tesis para optar al grado de maestro]. Lima: Universidad Peruana Cayetano Heredia, Escuela de Posgrado; 2020 [consultado 3 Mar 2022]. Disponible en:; Hassan, A., Kashif, M., Masud, Z., Raza, M.A., Prevalence of computer vision syndrome (CVS) amongst the students of Khyber Medical University, Peshawar (2017) Ophthalmol Update., 15, pp. 59-64. , https://www.researchgate.net/profile/Shua-Azam-2/publication/316668419_Association_of_ABO_blood_group_with_glaucoma/links/590b1fd4a6fdcc49617a7bc4/Association-of-ABO-blood-group-with-glaucoma.pdf#page=21; Reddy, S.C., Low, C.K., Lim, Y.P., Low, L.L., Mardina, F., Nursaleha, M.P., Computer vision syndrome: A study of knowledge and practices in university students (2013) Nepal J Ophthalmol., 5, pp. 161-168. , https://www.nepjol.info/index.php/NEPJOPH/article/view/8707; Fernandez-Villacorta, D., Soriano-Moreno, A.N., Galvez-Olortegui, T., Agui-Santivañez, N., Soriano-Moreno, D.R., Benites-Zapata, V.A., Computer visual syndrome in graduate students of a private university in Lima, Perú (2021) Arch Soc Esp Oftalmol (Engl Ed)., 96, pp. 515-520. , https://pubmed.ncbi.nlm.nih.gov/34620481, /; Guillon, M., Maïssa, C., Tear film evaporation–Effect of age and gender (2010) Cont Lens Anterior Eye., 33, pp. 171-175. , https://www.sciencedirect.com/science/article/pii/S1367048410000329; Sánchez-Brau, M., Domenech-Amigot, B., Brocal-Fernández, F., Quesada-Rico, J.A., Seguí-Crespo, M., Prevalence of computer vision syndrome and its relationship with ergonomic and individual factors in presbyopic VDT workers using progressive addition lenses (2020) Int J Environ Res Public Health., 17, p. 1003. , https://pubmed.ncbi.nlm.nih.gov/32033372, /; Perin, A.N., Bonamigo, D.F., Ribeiro, M.Q., Stock, R.A., Remor, A.P., de Carvalho, D., Ergophthalmology in accounting offices: The computer vision syndrome (CVS) (2017) Rev Bras Oftalmol., 76, pp. 144-149; Assefa, N.L., Weldemichael, D.Z., Alemu, H.W., Anbesse, D.H., Prevalence and associated factors of computer vision syndrome among bank workers in Gondar City, northwest Ethiopia, 2015 (2017) Clin Optom (Auckl)., 9, pp. 67-76; Logaraj, M., Madhupriya, V., Hegde, S.K., Computer vision syndrome and associated factors among medical and engineering students in Chennai (2014) Ann Med Health Sci Res., 4, pp. 179-185. , https://www.ajol.info/index.php/amhsr/article/view/112152; Noreen, K., Batool, Z., Fatima, T., Zamir, T., Prevalence of computer vision syndrome and its associated risk factors among under graduate medical students of urban Karachi (2016) Pak J Ophthalmol., 32, pp. 140-146. , https://www.pjo.org.pk/index.php/pjo/article/view/106; Lin, C.W., Yeh, F.M., Wu, B.W., Yang, C.H., The effects of reflected glare and visual field lighting on computer vision syndrome (2019) Clin Exp Optom., 102, pp. 513-520. , https://pubmed.ncbi.nlm.nih.gov/30805993, /; Bhargava, R., Kumar, P., Phogat, H., Kaur, A., Kumar, M., Oral omega-3 fatty acids treatment in computer vision syndrome related dry eye (2015) Cont Lens Anterior Eye., 38, pp. 206-210; Garrigue, J.S., Amrane, M., Faure, M.O., Holopainen, J.M., Tong, L., Relevance of lipid-based products in the management of dry eye disease (2017) J Ocul Pharmacol Ther., 33, pp. 647-661; Shantakumari, N., Eldeeb, R., Sreedharan, J., Gopal, K., Computer use and vision-related problems among university students in Ajman, United Arab Emirate (2014) Ann Med Health Sci Res., 4, pp. 258-263. , https://www.ajol.info/index.php/amhsr/article/view/112242; Wimalasundera, S., Computer vision syndrome (2009) Galle Med J., 11, p. 25. , https://doi.org/10.4038/gmj.v11i1.1115; Nichols, J.J., Ziegler, C., Mitchell, G.L., Nichols, K.K., Self-reported dry eye disease across refractive modalities (2005) Invest Opthalmol Vis Sci., 46, pp. 1911-1914. , https://pubmed.ncbi.nlm.nih.gov/15914603, /; Subratty, A.H., Korumtollee, F., Occupational overuse syndrome among keyboard users in Mauritius (2005) Indian J Occup Environ Med., 9, pp. 71-75. , https://www.ijoem.com/article.asp?issn=0019-5278;year=2005;volume=9;issue=2;spage=71;epage=75;aulast=Subratty; Fernández González, M.E., García Alcolea, E.E., Martín Torres, N., Síndrome de visión de la computadora en estudiantes preuniversitarios (2010) Rev Cubana Oftalmol., 23, pp. 749-757. , http://scielo.sld.cu/scielo.php?script=sci_arttext&amp;pid=S0864-21762010000400008&amp;lng=es; Iqbal, M., Said, O., Ibrahim, O., Soliman, A., Visual sequelae of computer vision syndrome: A cross-sectional case-control study (2021) J Ophthalmol., 2021, p. 6630286. , https://pubmed.ncbi.nlm.nih.gov/33868724, /; Gerena Pallares, L.C., Vargas Rodríguez, L.J., Niño Avendaño, C.A., Uyaban, G.C., Ballesteros Virgen, Y., Prevalencia del síndrome visual por computadora en los estudiantes de medicina de la ciudad de Tunja durante la pandemia (2022) Rev Colomb Salud Ocup., 12, p. e-7916. , https://doi.org/10.18041/2322-634x/rcso.1.2022.7916</t>
  </si>
  <si>
    <t>Vargas Rodríguez, L.J.; Oficina de Investigación, Colombia; email: ledvargas@uniboyaca.edu.co</t>
  </si>
  <si>
    <t>2-s2.0-85138135944</t>
  </si>
  <si>
    <t>Rincon-Fuentes L., Moreno-Bastidas L., Medina-Vargas O.</t>
  </si>
  <si>
    <t>57890131200;57891247700;57891700900;</t>
  </si>
  <si>
    <t>Selective extraction and modification of cellulose from sugar cane bagasse (Saccharum officinarum) [Extração seletiva e modificação de celulose do bagaço de cana de açúcar (Saccharum officinarum)] [Extracción selectiva y modificación de la celulosa del bagazo de caña de azúcar (Saccharum officinarum)]</t>
  </si>
  <si>
    <t>Universitas Scientiarum</t>
  </si>
  <si>
    <t>10.11144/Javeriana.SC273.seam</t>
  </si>
  <si>
    <t>https://www.scopus.com/inward/record.uri?eid=2-s2.0-85138105993&amp;doi=10.11144%2fJaveriana.SC273.seam&amp;partnerID=40&amp;md5=839bc62791483cbdefecc886d57950ec</t>
  </si>
  <si>
    <t>Universidad Pedagógica y Tecnológica de Colombia, Avenida Central Norte, Tunja,Boyacá, 39-155, Colombia</t>
  </si>
  <si>
    <t>Rincon-Fuentes, L., Universidad Pedagógica y Tecnológica de Colombia, Avenida Central Norte, Tunja,Boyacá, 39-155, Colombia; Moreno-Bastidas, L., Universidad Pedagógica y Tecnológica de Colombia, Avenida Central Norte, Tunja,Boyacá, 39-155, Colombia; Medina-Vargas, O., Universidad Pedagógica y Tecnológica de Colombia, Avenida Central Norte, Tunja,Boyacá, 39-155, Colombia</t>
  </si>
  <si>
    <t>This paper’s aim was the synthesis of a flocculant useful in the production of panela as an alternative to replace polyacrylamide and improve food safety in Boyacá, a Colombian district. The cellulose was extracted by using a treatment with potassium hydroxide and followed by acid hydrolysis. From the extracted cellulose, cationic dialdehyde cellulose (CDAC) was synthesized and both cellulose and CDAC were characterized using infrared spectroscopy, FTIR, thermogravimetric analysis (TGA), differential thermal analysis (DSC) Scanning Electron Microscopy (SEM) and RAMAN. The cellulose extracted by hydrolysis from sugarcane bagasse with bleaching, gave yield of 50 % and crystallinity index of 77 %. Its modification to aldehyde is 95 % reliable at a temperature of 65 ıC and 2 h; with higher temperature and time the performance is affected. The dialdehyde process allows a modification to be carried out and to be more easily attacked at carbons 2 and 3, leaving cationized cellulose for later use as a flocculant in the panela production process as a traditional solution of flocculants and polyacrylamide. Extraction, modification, and tests for the clarification of the panela juice were carried out in triplicate. © 2022, Universitas Scientiarum. All Rights Reserved.</t>
  </si>
  <si>
    <t>Cellulose; Flocculant; Polyacrylamide; Sugarcane</t>
  </si>
  <si>
    <t>Cadavid, GO., (2007) Buenas prácticas agrícolas -BPA-y buenas prácticas de manufactura -BPMen la producción de caña y panela, , [1]; Fao, L., Mejorando la producción de panela en Colombia (2017) Revista de Agroecología, 1, pp. 1-6. , [2]; García, EY, Salgado, GS, Bolio, LG, Córdova, SS, Lagunes, LC, Falcon, CR, Veleva, L., Métodos para extraer celulosa de la paja de caña de azúcar (Saccharum spp.) (2017) Agro productividad, 10 (11), pp. 54-59. , [3]; López-Martínez, A, Obtención de celulosa a partir de bagazo de caña de azúcar (Saccharum Officinarum L.): Aislamiento y caracterización (2016) Agro productividad, 9 (7), pp. 1-12. , [4]; Zumalacárregui, Potencialidades del bagazo para la obtención de etanol frente a la generación de electricidad (2015) Revista ingeniería investigaciontecnologia, 16 (3), pp. 407-418. , [5]; Kaushal, I, Saharan, P, Kumar, V, Sharma, A, Umar, A., Superb sono-adsorption and energy storage potential of multifunctional Ag-Biochar composite (2019) Journal of Alloys and Compounds, 785, pp. 240-249. , [6]; Wang, S, Lu, A, Zhang, L., Recent advances in regenerated cellulose materials (2016) Progress in Polymer Science, 53, pp. 169-206. , [7]; Poletto, M, Pistor, V, Zattera, AJ., Structural Characteristics and Thermal Properties of Native Cellulose (2013) Cellulose - Fundamental Aspects, , [8]; Khatri, Z, Mayakrishnan, G, Hirata, Y, Wei, K, Kim, I, Cationic-cellulose nanofibers: Preparation and dyeability with anionic reactive dyes for apparel application (2013) Carbohydrate Polymers, 91 (1), pp. 434-443. , [9]; Sirvió, J, Hyvakko, U, Liimatainen, H, Niinimaki, J, Hormi, O., Periodate oxidation of cellulose at elevated temperatures using metal salts as cellulose activators (2011) Carbohydrate Polymers, 83 (3), pp. 1293-1297. , [10]; Tejado, A, Alam, MN, Antal, M, Yang, H, van de Ven, TGM., Energy requirements for the disintegration of cellulose fibers into cellulose nano fibers (2012) Cellulose, 19 (3), pp. 831-842. , [11]; Sirvió, J, Honka, A, Liimatainen, H, Niinimaki, J, Hormi, O., Synthesis of highly cationic water-soluble cellulose derivative and its potential as novel biopolymeric flocculation agent (2011) Elsevier, 86, pp. 266-270. , [12]; Lengowski, EC, Ines, G, de Muniz, B., Avaliagao de métodos de obtencao de celulose com diferentes graus de cristalinida de Cellulose acquirement evaluation methods with different degrees of crystallinity (2013) Scientia Forestalis, pp. 185-194. , [13]; Tibolla, H, Pelissari, FM, Menegalli, FC., Cellulose nanofibers produced from banana peel by chemical and enzymatic treatment (2014) LWT - Food Science and Technology, 59 (2), pp. 1311-1318. , [14]; Matsuzawa, Y, Ayabe, M, Nishino, J, Kubota, N, Motegi, M., Evaluation of char fuel ratio in municipal pyrolysis waste (2004) Fuel, 83 (11-12), pp. 1675-1687. , [15]; Ciolacu, D, Ciolacu, F, Popa, VI., Amorphous cellulose - structure and characterization (2011) Cellulose chemistry and technology, 45, pp. 13-21. , [16]; Morán, VP, Vazquez, J., Extracción de celulosa y obtención de nano celulosa a partir de fibra sisal - caracterización (2008) SAM asociación Argentina de materiales, 1, pp. 16-17. , [17]; Matsuzawa, Y, Ayabe, M, Nishino, J, Kubota, N, Motegi, M., Evaluation of char fuel ratio in municipal pyrolysis waste (2004) Fuel, 83 (11-12), pp. 1675-1687. , [18]; Moreno, L, Medina, O, Rojas, AL., Mucilage and cellulosic derivatives as clarifiers for the improvement of the non-centrifugal sugar production process Food Chemistry, 367, p. 2021. , [19]; Prieto, F, Jiménez, E, Acevedo, OA, Rodríguez, R, Canales, R A, Prieto, J., Obtaining and Optimization of Cellulose Pulp from Leaves of Agave tequilana Weber Var. Blue. Preparation of Hand made Craft Paper (2018) Waste and Biomass Valorization, pp. 1-17. , [20] 0; Du, L, Wang, J, Zhang, Y, Qi, C, Wolcott, MP, Yu, Z., A co-production of sugars, ligno sulfonates, cellulose, and cellulose nanocrystals from ball-milled woods (2017) Bioresource Technology, 238, pp. 254-262. , [21] doi; Sirvió, J, Honka, A, Liimatainen, H, Niinimaki, J, Hormi, O., Synthesis of highly cationic water-soluble cellulose derivative and its potential as novel biopolymeric flocculation agent (2011) Elsevier, 86, pp. 266-270. , [22]; Nechyporchuk, O, Belgacem, MN, Bras, J., Production of cellulose nanofibrils: A review of recent advances (2016) Elsevier, 93, pp. 2-25. , [23]; Kono, H., Cationic flocculants derived from native cellulose: Preparation, biodegradability, and removal of dyes in aqueous solution (2017) Resource Technology, 3 (1), pp. 55-63. , [24]; Zhang, Y, Jiao, J, Ren, Y, Wu, X, Zhang, Y., Determination of acrylamide in infant cereal-based foods by isotope dilution liquid chromatography coupled with electrospray ionization tandem mass spectrometry (2005) Analytica Chimica Acta, 551 (1), pp. 150-158. , [25]</t>
  </si>
  <si>
    <t>Rincon-Fuentes, L.; Universidad Pedagógica y Tecnológica de Colombia, Avenida Central Norte, Colombia; email: lilianamarcela.rincon@uptc.edu.co</t>
  </si>
  <si>
    <t>Pontificia Universidad Javeriana</t>
  </si>
  <si>
    <t>English; Portuguese; Spanish</t>
  </si>
  <si>
    <t>Univ. Sci.</t>
  </si>
  <si>
    <t>2-s2.0-85138105993</t>
  </si>
  <si>
    <t>Balaguera-López H.E., Fischer G., Herrera-Arévalo A.</t>
  </si>
  <si>
    <t>57208339001;55752189400;55258778300;</t>
  </si>
  <si>
    <t>Postharvest physicochemical aspects of Campomanesia lineatifolia R. &amp; P. fruit, a Myrtaceae with commercial potential [Aspectos fisicoquímicos poscosecha del fruto de Campomanesia lineatifolia R. &amp; P., una Myrtacea con potencial comercial]</t>
  </si>
  <si>
    <t>e14185</t>
  </si>
  <si>
    <t>10.17584/rcch.2022v16i2.14185</t>
  </si>
  <si>
    <t>https://www.scopus.com/inward/record.uri?eid=2-s2.0-85137938169&amp;doi=10.17584%2frcch.2022v16i2.14185&amp;partnerID=40&amp;md5=8767d6d4f652d0e1bd7d1fb3df54ab1b</t>
  </si>
  <si>
    <t>Universidad Nacional de Colombia, Facultad de Ciencias Agrarias, Departamento de Agronomía, Bogota, Colombia</t>
  </si>
  <si>
    <t>Balaguera-López, H.E., Universidad Nacional de Colombia, Facultad de Ciencias Agrarias, Departamento de Agronomía, Bogota, Colombia; Fischer, G., Universidad Nacional de Colombia, Facultad de Ciencias Agrarias, Departamento de Agronomía, Bogota, Colombia; Herrera-Arévalo, A., Universidad Nacional de Colombia, Facultad de Ciencias Agrarias, Departamento de Agronomía, Bogota, Colombia</t>
  </si>
  <si>
    <t>Champa (Campomanesia lineatifolia R. &amp;amp; P) is a fruit with an exquisite taste and pleasant aroma, with high commercial potential because its flavor and nutritional composition, but it is highly perishable, and various aspects of its physiology are still unknown. The objective was to study the behavior of champa fruit during postharvest. Fruit were collected directly from trees when they were 100% yellow; then, they were stored at 22°C and 80% relative humidity. The variables were measured over four days. The fruit presented a cli-macteric behavior with a drastic increase in respiration on the second day after harvest, accompanied by an increase in ethylene production. Firmness decreased continuously and reached values of 1.5±0.14 N at the end. Weight loss increased and was 7.88±0.45% on day 4. Soluble solids increased until climacteric and then decreased. The pH decreased, and the total acidity increased. The color index increased and reached a value of 2.12±0.80. The polygalacturonase activity increased until the third day and subsequently decreased. The activity of this enzyme was related to the loss of firmness. Citric acid was the predominant acid and increased continuously postharvest. In the end, malic and oxalic acid decreased, and succinic had a slight in-crease. The predominant sugar was sucrose, followed by fructose and glucose. Sucrose presented a high value (61.42±11.6 mg g-1 of fresh weight) on day 1 after harvest; this value decreased on the second day, remained stable on day 3, and then increased for day 4. Glucose and fructose had the lowest values on the first day, which increased in a representative way on day 2, stabilized on day 3, and again increased until day 4. At this point, they had the highest concentration with 24.75±0.71 mg g-1 for glucose and 42.22±0.96 mg g-1 for fructose. These results contribute to the understanding of the postharvest behavior of this species. © 2022, Universidad Pedagogica y Tecnologica de Colombia. All rights reserved.</t>
  </si>
  <si>
    <t>climateric fruit; ethylene; ripening; softening</t>
  </si>
  <si>
    <t>To the Universidad Nacional de Colombia, for financial support.</t>
  </si>
  <si>
    <t>Abreu, L.A.F., Paiva, R., Mosqueira, J.G.A, Reis, M.V., Araújo, A.B.S., Vilas Boas, E.V.B, Antioxidant activity and physico-chemical analysis of Campomanesia rufa (O. Berg) Nied. fruits (2020) Ciênc. Agrotec, 44, p. e016720. , https://doi.org/10.1590/1413-7054202044016720; Abu-Goukh, A.-B.A., Bashir, H.A., Changes in pec-tic enzymes and cellulose activity during guava fruit ripening (2003) Food Chem, 83, pp. 213-218. , https://doi.org/10.1016/S0308-8146(03)00067-0; Alós, E., Rodrigo, M.J., Zacarias, L., Ripening and senescence (2019) Postharvest physiology and biochemistry of fruit and vegetables, pp. 131-155. , https://doi.org/10.1016/B978-0-12-813278-4.00007-5, Yahia, E.M. and A. Carrillo-López (eds). Else-vier, Kidlington, UK; Álvarez-Herrera, J.G., Balaguera-López, H.E., Cár-denas, J.F., Caracterización fisiológica del fruto de champa (Campomanesia lineatifolia Ruiz. &amp; Pavón), durante la poscosecha (2009) Rev. UDCA Act. Div. Cient, 12 (2), pp. 125-134. , https://doi.org; Álvarez-Herrera, J.G., Galvis, J.A., Balague-ra-López, H.E., Determinación de cambios físicos y químicos durante la maduración de frutos de champa (Campomanesia lineatifolia R. &amp; P.) (2009) Agron. Colomb, 27 (2), pp. 253-259; Ávila, H., Cuspoca, J., Fischer, G., Ligarreto, G., Quicazán, M., Caracterización fisicoquímica y orga-noléptica del fruto de agraz (Vaccinium meridionale Sw) almacenado a 2 ºC (2007) Rev. Fac. Nal. Agr. Medellín, 60 (2), pp. 4179-4193; Balaguera-López, H.E., Herrera, A., Estudio de algunos cambios bioquímicos durante el crecimiento y hasta la cosecha del fruto de champa (Campomane-sia lineatifolia R. &amp; P. Familia Myrtaceae) (2012) Rev. Bras. Frutic, 34 (2), pp. 460-468. , https://doi.org/10.1590/S0100-29452012000200019; Balaguera-López, H.E., Herrera, A., Determining optimal harvest point for champa (Campomanesia li-neatifolia R. &amp; P.) fruit based on skin color (2012) Ing. Inves-tig, 32 (1), pp. 88-93; Balaguera-López, H.E., Álvarez-Herrera, J.G., Boni-lla, D.C., Crecimiento y desarrollo del fruto de cham-pa (Campomanesia lineatifolia Ruiz &amp; Pavón) (2009) Rev. UDCA Act. Div. Cient, 12 (2), pp. 113-123. , https://doi.org/10.31910/rudca.v12.n2.2009.697; Botton, A., Tonutti, P., Ruperti, B., Biology and biochemistry of ethylene (2019) Postharvest physiology and biochemistry of fruit and vegetables, pp. 93-112. , https://doi.org/10.1016/B978-0-12-813278-4.00005-1, Yahia, E.M. (ed). Elsevier, Kidlington, UK; Buitrago, S., Leandro, M., Fischer, G., Symp-toms and growth components of feijoa (Acca se-llowiana [O. Berg] Burret) plants in response to the missing elements N, P, and K (2021) Rev. Colomb. Cienc. Hortic, 15 (3), p. e13159. , https://doi.org/10.17584/rcch.2021v15i3.13159; Carrillo, M.P., Hernández, M.S., Barrera, J., Martínez, O., Fernández-Trujillo, J.P., 1-Methylcyclopropene delays arazá ripening and improves postharvest fruit quality (2011) LWT Food Sci. Technol, 44 (1), pp. 250-255. , https://doi.org; Castellanos, D.A., Herrera, D.R., Herrera, A.O., Modelling water vapour transport, transpiration and weight loss in a perforated modified atmosphere packaging for feijoa fruits (2016) Biosyst. Eng, 151, pp. 218-230. , https://doi.org/10.1016/j.biosystemseng.2016.08.015; Castellanos, D.A., Polanía, W., Herrera, A.O., Development of an equilibrium modified atmosphere packaging (EMAP) for feijoa fruit and mode-ling firmness and color evolution (2016) Postharvest Biol. Technol, 120, pp. 193-203. , https://doi.org; Chen, F.X., Liu, X.-H., Chen, L.-S., Developmen-tal changes in pulp organic acid concentration and activities of acid-metabolising enzymes during the fruit development of two loquat (Eriobotrya japo-nica Lindl.) cultivars differing in fruit acidity (2009) Food Chem, 114 (2), pp. 657-664. , https://doi.org/10.1016/j.foodchem.2008.10.003; Díaz-Pérez, J.C., Transpiration (2019) Postharvest physiology and biochemistry of fruit and vegetables, pp. 157-174. , https://doi.org/10.1016/B978-0-12-813278-4.00008-7, Yahia, E.M. and A. Carrillo-López (eds). El-sevier, Kidlington, UK; Do Santos, M.A., Costa, A.C., Megguer, C.A., Lima, J.S., Carvalho, Y.G.S., Rezende-Silva, S.L., Batista, P.F., Post-harvest quality of Campomanesia adaman-tium (Cambess.) O. Berg. in function of storage tempe-rature (2021) Acta Scient. Technol, 43, p. e48979. , https://doi.org/10.4025/actascitechnol.v43i1.48979; Dubois, M., Van den Broeck, L., Inzé, D., The pi-votal role of ethylene in plant growth (2018) Trends Plant Sci, 23 (4), pp. 311-323. , https://doi.org/10.1016/j.tplants.2018.01.003; Espinal, M., (2010) Capacidad antioxidante y ablandamiento de la guayaba palmira ICA I (Psidium guajava), , MSc thesis. Universidad Nacional de Colombia, Bogota; Etienne, A., Génard, M., Lobit, P., Mbeguié-A-Mbéguié, D., Bugaud, C., What controls fleshy fruit aci-dity? A review of malate and citrate accumulation in fruit cells (2013) J. Exp. Bot, 64 (6), pp. 1451-1469. , https://doi.org/10.1093/jxb/ert035; Fischer, G., Parra-Coronado, A., Influence of some environmental factors on the feijoa (Acca sellowiana [Berg] Burret) crop. A review (2020) Agron. Colomb, 38 (3), pp. 388-397. , https://doi.org; Fischer, G., Melgarejo, L.M., Ecophysiological aspects of guava (Psidium guajava L.). A review (2021) Rev. Co-lomb. Cienc. Hortic, 15 (2), p. e12355. , https://doi.org/10.17584/rcch.2021v15i2.12355; Fischer, G., Parra-Coronado, A., Balaguera-López, H.E., Aspectos del cultivo y de la fisiología de feijoa (Acca sellowiana [Berg] Burret) (2020) Una revisión. Cien. Agri, 17 (3), pp. 11-24. , https://doi.org; Fischer, G., Ulrichs, C., Ebert, G., Contents of non-structural carbohydrates in the fruiting cape gooseberry (Physalis peruviana L.) plant (2015) Agron. Colomb, 33 (2), pp. 155-163. , https://doi.org; González, A.K., González-Martínez, L.F., Córdoba, L.D., Rincón, A., Balaguera-López, H.E., Regulating the postharvest life of Campomanesia lineatifolia R. &amp; P. fruit through the interaction of ethylene, 1-me-thylcyclopropene and low temperatures (2021) Rev. Co-lomb. Cienc. Hortic, 15 (2), p. e12499. , https://doi.org/10.17584/rcch.2021v15i2.12499; Hernández, M.S., (2001) Conservación del fruto de arazá (Eugenia stipitata Mc Vaugh) durante la poscosecha mediante la aplicación de diferentes técnicas, , PhD the-sis. Universidad Nacional de Colombia, Bogota; Hernández, M.S., Martínez, O., Fernández-Trujillo, J.P., Behavior of arazá (Eugenia stipitata Mc Vaugh) fruit quality traits during growth, development and ripening (2007) Sci. Hortic, 111 (3), pp. 220-227. , https://doi.org/10.1016/j.scienta.2006.10.029; (2006) Manual de procedimientos-frutas, , ICTA, Instituto Colombiano de Ciencia y Tecnología de Alimentos. Universidad Nacional de Colombia, Bogota; Kader, A.A., (2002) Postharvest technology of horti-cultural crops, , (ed). 3rd ed. University of California (Sys-tem)-Division of Agriculture and Natural Resources, Davis, CA; Kumari, P., Mankar, A., Karuna, K., Homa, F., Meiramku-lova, K., Siddiqui, M.W., Mineral composition, pigments, and postharvest quality of guava culti-vars commercially grown in India (2020) J. Agric. Food Res, 2, p. 100061. , https://doi.org; Lufu, R., Ambaw, A., Opara, U.L., The contribu-tion of transpiration and respiration processes in the mass loss of pomegranate fruit (cv. Wonderful) (2019) Postharvest Biol. Technol, 157, p. 110982. , https://doi. org; Márquez, C.J., Otero, C.M., Cortés, M., Cambios fisiológicos, texturales, fisicoquímicos y microestruc-turales del tomate de árbol (Cyphomandra betacea S.) en poscosecha (2007) Vitae, 14 (2), pp. 9-16; Menéndez, O., Lozano, S.E., Arenas, M., Bermúdez, K., Martínez, A., Jiménez, A., Cambios en la acti-vidad de α-amilasa, pectinmetilesterasa y poligalactu-ronasa durante la maduración del maracuyá amarillo (Passiflora edulis var. Flavicarpa Degener) (2006) Interciencia, 31 (10), pp. 728-733; Mercado-Silva, E., Benito-Bautista, P., Garcia--Velasco, M.A., Fruit development, harvest index and ripening changes of guavas produced in central Mé-xico (1998) Postharvest Biol. Technol, 13 (2), pp. 143-150. , https://doi.org/10.1016/S0925-5214(98)00003-9; Mondal, K., Singh, A.P., Saxena, N., Malhotra, S.P., Dhawan, K., Singh, R., Possible interactions of polyami-nes and ethylene during ripening of guava (Psidium guajava L.) fruit (2008) J. Food Biochem, 32 (1), pp. 46-59. , https://doi.org; Novoa, R.H., Bojacá, M., Galvis, J.A., Fischer, G., La madurez del fruto y el secado del cáliz influyen en el comportamiento poscosecha de la uchuva, almace-nada a 12°C (Physalis peruviana L.) (2006) Agron. Colomb, 24 (1), pp. 77-86; Pan, T., Ali, M.M., Gong, J., She, W., Pan, D., Guo, Z., Yu, Y., Chen, F., Fruit physiology and sugar-acid profile of 24 pomelo (Citrus grandis (L.) Osbeck) cultivars grown in subtropical region of China (2021) Agronomy, 11 (12), p. 2393. , https://doi.org/10.3390/agronomy11122393; Pareek, S., Ripening physiology: An overview (2016) Postharvest ripening physiology of crops, pp. 1-48. , https://doi.org/10.1201/b19043, Pareek, S. (ed). 2016. CRC Press, Boca Raton, FL; Parra-Coronado, A., Fischer, G., Camacho-Tamayo, J.H., Development and quality of pineapple guava fruit in two locations with different altitudes in Cun-dinamarca, Colombia (2015) Bragantia, 74 (3), pp. 359-366. , https://doi.org/10.1590/1678-4499.0459; Parra-Coronado, A., Fischer, G., Camacho-Tamayo, J.H., Post-harvest quality of pineapple guava [Acca sellowiana (O. Berg) Burret] fruits produced in two locations of Cundinamarca, Colombia, at different alti-tudes (2018) Agron. Colomb, 36 (1), pp. 68-78. , https://doi. org; Parra-Coronado, A., Fischer, G., Balaguera-López, H.E., Melgarejo, L.M., Sugar and organic acids content in feijoa (Acca sellowiana) fruits, grown at two altitu-des (2022) Rev. Cienc. Agric, 39 (1), pp. 55-69. , https://doi.org/10.22267/rcia.223901.173; Porras, Y.C., Pedreros, M.C., Reyes, W.L., Balague-ra-Lopez, H.E., Efecto de la luz sobre la germinación de semillas de champa (Campomanesia lineatifolia R. &amp; P.) (2020) Cien. Agri, 17 (2), pp. 23-31. , https://doi. org; Reyes, A.I., Núñez, H.G., Hernández, G., Alpuche, A.G., Garcidueñas, C., Morales, J.F., ADNc relaciona-dos con la maduración del fruto de guayaba (Psidium guajava L.). Caracterización y análisis de expresión (2013) Rev. Fitotec. Mex, 36 (2), pp. 117-125. , https://doi.org/10.35196/rfm.2013.2.117; Rizzon, L.A., Sganzerla, V.M.A., Ácidos tartári-co e málico no mosto de uva em Bento Gonçalves--RS (2007) Ciênc. Rural, 37 (3), pp. 911-914. , https://doi.org/10.1590/S0103-84782007000300053; Rodríguez, M., Arjona, H.E., Galvis, J.A., Madu-ración del fruto de feijoa (Acca sellowiana Berg) en los clones 41 (Quimba) y 8-4 a temperatura ambiente en condiciones de Bogotá (2006) Agron. Colomb, 24 (1), pp. 68-76; Saltveit, M.E., Respiratory metabolism (2019) Posthar-vest physiology and biochemistry of fruit and vege-tables, pp. 73-91. , https://doi.org/10.1016/B978-0-12-813278-4.00004-X, Yahia, E.M. and A. Carrillo-López (eds). Elsevier, Kidlington, UK; Sañudo-Barajas, J.A., Lipan, L., Cano-Lamadrid, M., Vélez de la Rocha, R., Noguera-Artiaga, L., Sán-chez-Rodríguez, L., Hernández, F., Texture (2019) Postharvest physiology and biochemistry of fruit and vegetables, pp. 293-314. , https://doi.org/10.1016/B978-0-12-813278-4.00014-2, Á.A. Carbonell-Barrachina, and Yahia, E.M. and A. Carrillo-López (eds). El-sevier, Kidlington, UK; Silva, E.P., Cardoso, A.F.L., Fante, C., Rosell, C.M., Boas, E. V.B.V., Effect of postharvest temperature on the shelf life of gabiroba fruit (Campomanesia pu-bescens) (2013) Food Sci. Technol, 33 (4), pp. 632-637. , ht-tps://doi.org/10.1590/S0101-20612013000400006; Silva, E.P., Boas, E.V., Rodrigues, L.J., Siqueira, H.H., Caracterização física, química e fisiológica de gabiroba (Campomanesia pubescens) durante o desenvolvimen-to (2009) Food Sci. Technol, 29 (4), pp. 803-809. , https://doi.org/10.1590/S0101-20612009000400016; Tang, M., Bie, Z.-I., Wu, M.-Z., Yi, H.-P., Feng, J.-X., Changes in organic acids and acid metabolism enzymes in melon fruit during development (2010) Sci. Hor-tic, 123 (3), pp. 360-365. , https://doi.org; Vallarino, J.G., Osorio, S., Organic acids (2019) Postharvest physiology and biochemistry of fruit and vegetables, pp. 207-224. , https://doi.org/10.1016/B978-0-12-813278-4.00010-5, Yahia, E.M. and A. Carrillo-López (eds). Elsevier, Kidlington, UK; Villachica, H., (1996) Frutales y hortalizas promisorios del Amazonas: tratado de cooperación amazónica, pp. 181-185. , Secre-taría Pro Tempore; FAO; PNUD, Lima; Villamizar, F., Ramírez, A., Menes, M., Estudio de la caracterización física, morfológica y fisiológica pos-cosecha de la uchuva (Physalis peruviana L.) (1993) Agro-De-sarrollo, 4 (1-2), pp. 305-320; Wills, R.B.H., Golding, J.B., (2016) Postharvest. An intro-duction to the physiology and handling of fruit and vegetables, , https://doi.org/10.1079/9781786391483.0000, 6th ed. Centre for Agriculture and Bioscien-ce International, Wallingford, UK</t>
  </si>
  <si>
    <t>Balaguera-López, H.E.; Universidad Nacional de Colombia, Colombia; email: hebalagueral@unal.edu.co</t>
  </si>
  <si>
    <t>2-s2.0-85137938169</t>
  </si>
  <si>
    <t>Fischer G., Cleves-Leguizamo J.A., Balaguera-López H.E.</t>
  </si>
  <si>
    <t>55752189400;56167717700;57208339001;</t>
  </si>
  <si>
    <t>Impact of soil temperature on fruit species within climate change scenarios [Impacto de la temperatura del suelo sobre los frutales en escenarios de cambio climático]</t>
  </si>
  <si>
    <t>e12769</t>
  </si>
  <si>
    <t>10.17584/rcch.2022v16i1.12769</t>
  </si>
  <si>
    <t>https://www.scopus.com/inward/record.uri?eid=2-s2.0-85137841035&amp;doi=10.17584%2frcch.2022v16i1.12769&amp;partnerID=40&amp;md5=3ba82873712874df14d5288a4be0baec</t>
  </si>
  <si>
    <t>Universidad Nacional de Colombia, Facultad de Ciencias Agrarias, Departamento de Agronomía, Bogota, Colombia; Universidad Pedagógica y Tecnológica de Colombia (UPTC), Facultad Seccional Duitama, Escuela de Administración de Empresas Agropecuarias, Duitama, Colombia</t>
  </si>
  <si>
    <t>Fischer, G., Universidad Nacional de Colombia, Facultad de Ciencias Agrarias, Departamento de Agronomía, Bogota, Colombia; Cleves-Leguizamo, J.A., Universidad Pedagógica y Tecnológica de Colombia (UPTC), Facultad Seccional Duitama, Escuela de Administración de Empresas Agropecuarias, Duitama, Colombia; Balaguera-López, H.E., Universidad Nacional de Colombia, Facultad de Ciencias Agrarias, Departamento de Agronomía, Bogota, Colombia</t>
  </si>
  <si>
    <t>Climate change, with its consequent increase in temperatures and precipitation, has significant impacts on soil surface horizons, affecting the establishment, development, and production of crops and food security and safety. Solar radiation influences the thermals of Earth’s surface. Apart from radiation, the effects of soil temperature (STe) are specific to fruit species and are mainly modified by humidity, soil cover and air temperature. Increasing the STe within an optimal range promotes the growth of roots and plants and increases the absorption of water and nutrients, photosynthesis, transpiration, efficient use of water and microbial processes. These effects have been demonstrated in several studies on fruit trees and on grape vines, citrus, cape gooseberries, Annonaceae, avocados, olives and prickly pears. However, apart from these positive results, an increased STe as the result of global warming can generate water stress and in turn affect the yield and quality of fruit trees. In terms of effects from cultural practices, mulching with black or blue plastic can increase the soil temperature, and white or silver plastic decreases it. When compared to air temperature, increases in STe in the plants physiology and climate impact studies have been little studied. Therefore, this review aimed to make significant contributions to facilitate decision-making with the goal of reducing the effects of global warming, especially on fruit trees. © 2022, Universidad Pedagogica y Tecnologica de Colombia. All rights reserved.</t>
  </si>
  <si>
    <t>mulching; photosynthesis; roots; solar radiation; water absorption; water use efficiency</t>
  </si>
  <si>
    <t>Agustí, M., (2003) Citricultura, , Ed. Mundi-Prensa, Madrid; Agustí, M., (2010) Fruticultura, , 2nd ed. Ed. Mundi-Prensa, Madrid; Ahmad. P, Prasad, M.N.V., (2012) Environmental adaptations and stress tolerance of plants in the era of climate change, , (eds). Springer, New York, NY; Amare, G., Desta, B., Coloured plastic mulches: impact on soil properties and crop productivity (2021) Chem. Biol. Technol. Agric, 8 (4); Andrade-Hoyos, P., Molina Gayosso, E., De León, C., Espíndola Barquera, M.C., Alvarado Rosales, D., López Jiménez, A., Mecanismos de defensa en portainjertos de aguacate ante Phytophthora cinnamomi Rands (2015) Rev. Mex. Cienc. Agríc, 6 (2), pp. 347-360; Bakshi, P., Bhat, D.J., Wali, V.K., Sharma, A., Iqbal, M., Growth, yield and quality of strawberry (Fragaria x ananassa Duch.) cv. Chandler as influenced by various mulching materials (2014) Afr. J. Agric. Res, 9 (7), pp. 701-706; Bhatt, R., Kaur, R., Ghosh, A., Strategies to practice climate-smart agriculture to improve the livelihoods under the rice-wheat cropping system in South Asia (2019) Sustainable management of soil and environment, pp. 32-71. , Meena, R.S., S. Kumar, J.S. Bohra, and M.L. Jat (eds). Springer Nature, Singapore; Bonadeo, E., Moreno, I., Bongiovanni, M., Marzari, R., Ganum Gorriz, M.J., (2017) El sistema suelo-planta. Principios generales, , Editora UniRío, Universidad Nacional de Río Cuarto, Rio Cuarto, Argentina; Bradford, J.B., Schlaepfer, D.R., Lauenroth, W.K., Palmquist, K.A., Chambers, J.C., Maestas, J.D., Campbell, S.B., Climate-driven shifts in soil temperature and moisture regimes suggest opportunities to enhance assessments of dryland resilience and resistance (2019) Front. Ecol. Evol, 7, p. 358; Callejas, R., Canales, P., García de Cortázar, V., Relationship between root growth of ‘Thompson seedless’ grapevines and soil temperature (2009) Chil. J. Agric. Res, 69 (4), pp. 496-502; Callejas, H., Castellanos, J., Regímenes de temperatura del suelo (actuales y propuestos) (1991) Suelos Ecuatoriales, 2 (1), pp. 39-50; Castro, E., Agualimpia, Y., Sánchez, F., Modelo climático de los páramos de la cordillera Oriental colombiana aplicado a regímenes de temperatura del suelo (2016) Perspectiva Geográfica, 21 (1), pp. 33-62; Centeno, A., Memmi, H., Moreno, M.M., Moreno, C., Pérez-López, D., Water relations in olive trees under cold conditions (2018) Sci. Hortic, 235, pp. 1-8; Ceulemans, R., Janssens, I.A., Jach, M.E., Effects of CO2 enrichment on trees and forests: Lessons to be learned in view of future ecosystem studies (1999) Ann. Bot, 84 (5), pp. 577-590; Cleves, J.A., Fonseca, J.A., Jarma, A.J., Melón (Cucumis melo L.) (2012) Manual para el cultivo de frutales en el trópico, pp. 701-727. , Fischer, G. (ed). Produmedios, Bogota; Daryanto, S., Fu, B., Wang, L., Jacinthe, P.-A., Zhao, W., Quantitative synthesis on the ecosystem services of cover crops (2018) Earth-Sci. Rev, 185, pp. 357-373; Deng, L., Wang, K., Li, J., Zhao, G., Shangguan, Z., Effect of soil moisture and atmospheric humidity on both plant productivity and diversity of native grasslands across the loess plateau, China (2016) Ecol. Eng, 94, pp. 525-531; Drennan, P.M., Nobel, P.S., Root growth dependence on soil temperature for Opuntia ficus-indica: influences of air temperature and a doubled CO2 concentration (1998) Funct. Ecol, 12, pp. 959-964; Fischer, G., (2012) Manual para el cultivo de frutales en el trópico, , (ed). Produmedios, Bogota; Fischer, G., Balaguera-López, H.E., Magnitskiy, S., Review on the ecophysiology of important Andean fruits: Solanaceae (2021) Revista UDCA Act. Div. Cient, 24 (1), p. e1701; Fischer, G., Ebert, G., Lüdders, P., Root-zone temperature effects on dry matter distribution and leaf gas exchange of cape gooseberry (Physalis peruviana L.) (2000) Acta Hortic, 531, pp. 169-173; Fischer, G., Ebert, G., Lüdders, P., Production, seeds and carbohydrate contents of cape gooseberry (Physalis peruviana L.) fruits grown at two contrasting Colombian altitudes (2007) J. Appl. Bot. Food Qual, 81 (1), pp. 29-35; Fischer, G., Lüdders, P., Effect of root-zone temperature on growth and development of cape gooseberry (Physalis peruviana L.) (1992) Acta Hortic, 310, pp. 189-198; Fischer, G., Lüdders, P., Efecto de la temperatura del substrato sobre el consumo de agua y la transpiración en la uchuva (Physalis peruviana L.) (1999) Suelos Ecuatoriales, 29 (1), pp. 45-49; Fischer, G., Melgarejo, L.M., The ecophysiology of cape gooseberry (Physalis peruviana L.)-an Andean fruit crop. A review (2020) Rev. Colomb. Cienc. Hortic, 14 (1), pp. 76-89; Fischer, G., Orduz-Rodríguez, J.O., Ecofisiología en los frutales (2012) Manual para el cultivo de frutales en el trópico, pp. 54-72. , Fischer, G. (ed). Produmedios, Bogota; Fischer, G., Torres, F., Efecto de la temperatura del suelo sobre la planta. Parte 2: Fisiología y metabolismo (1998) Rev. Comalfi, 25 (1-3), pp. 40-50; Fischer, G., Torres, J., Efecto de la temperatura del suelo sobre la planta. Parte 3: Modificaciones de las propiedades térmicas del suelo (1999) Rev. Comalfi, 26 (1-3), pp. 95-105; Fischer, G., Torres, F., Torres, J., Efecto de la temperatura del suelo sobre la planta. Parte 1: Crecimiento y desarrollo (1997) Rev. Comalfi, 24 (3), pp. 78-92; Friedrich, G., Fischer, M., (2000) Physiologische Grundlagen des Obstbaues, , Verlag Eugen Ulmer, Stuttgart, Germany; Gambetta, G., Mesejo, C., Gravina, A., Agustí, M., Fasiolo, C., Rey, F., Reig, C., Bentancur, O., Cobertura del suelo con cal: efecto en la reducción de la temperatura y cambio de color de mandarinas precoces (2015) Agrociencia Uruguay, 19 (1), pp. 31-40; Helaly, A.A., Goda, Y., El-Rehim, A.A., Mohamed, A.A., El-Zeiny, O.A.H., Effect of polyethylene mulching type on the growth, yield and fruits quality of Physalis pubescens (2017) Adv. Plants Agric. Res, 6 (5), pp. 154-160; Houser, C., Soil moisture: A central and unifying theme in physical geography (2010) Prog. Phys. Geogr, 35, pp. 65-86; Ibacache, A., Rojas, N., Jopia, C., Growing period of roots in cherimoya trees (Annona cherimola Mill.) in the north of Chile (1999) Acta Hortic, 497, pp. 331-346; Summary for Policymakers (2019) Climate change and land: an IPCC special report on climate change, desertification, land degradation, sustainable land management, food security, and greenhouse gas fluxes in terrestrial ecosystems, , Geneva, Switzerland; Summary for policymakers (2013) Climate change 2013: The Physical Science Basis. Contribution of Working Group I to the Fifth Assessment Report of the Intergovernmental Panel on Climate Change, , IPCC, Intergovernmental Panel on Climate Change Stocker, T.F., D. Qin, G.-K. Plattner, M. Tignor, S.K. Allen, J. Boschung, A. Nauels, Y. Xia, Bex, and P.M. Midgley (eds). Cambridge University Press, Cambridge, UK and New York, NY; Jiménez-Pérez, A., Cach-Pérez, M.C., Valdez-Hernández, M., Rosa-Manzano, E., Effect of canopy management in the water status of cacao (Theobroma cacao) and the microclimate within the crop area (2019) Bot. Sci, 97 (4), pp. 701-710; Jungqvist, G., Oni, S.K., Teutschbein, C., Futter, M.N., Effect of climate change on soil temperature in Swedish boreal forests (2014) PLoS ONE, 9 (4), p. e93957; Kath, J., Pembleton, K.G., A soil temperature decision support tool for agronomic research and management under climate variability: Adapting to earlier and more variable planting conditions (2019) Comp. Electron. Agric, 162, pp. 783-792; Kochhar, S.L., Gujral, S.K., (2020) Plant physiology: Theory and applications, , (eds). 2nd ed. Cambridge University Press, Cambridge, UK; Kurylyk, L., Kerry, T., MacQuarrie, K., McKenzie, J., Climate change impacts on groundwater and soil temperatures in cold and temperate regions: Implications, mathematical theory, and emerging simulation tools (2014) Earth-Sci. Rev, 138, pp. 313-334; Lado, J., Gambetta, G., Zacarias, L., Key determinants of citrus fruit quality: Metabolites and main changes during maturation (2018) Sci. Hortic, 233, pp. 238-248; Lal, R., Soil carbon management and climate change (2013) Carbon Manage, 4 (4), pp. 439-362; Lambers, H., Chapin, F.S., Pons, T.L., (2008) Plant physiological ecology, , 2nd ed. Springer Science and Business Media, New York, NY; Lambers, H., Oliveira, F.S., (2019) Plant physiological ecology, , (eds). 3rd ed. Springer Nature, Cham, Switzerland; Lippmann, R., Babben, S., Menger, A., Delker, C., Quint, M., Development of wild and cultivated plants under global warming conditions (2019) Curr. Biol, 29, pp. 1326-1338; López-Bellido, L., (2015) Agricultura, cambio climático y secuestro de carbono, , Departamento de Ciencia y Recursos Agrícolas y Forestales, Universidad de Córdoba, Cordoba, Spain; López-Valencia, D., Sánchez-Gómez, M., Acuña-Caita, J.F., Fischer, G., Propiedades fisicoquímicas de siete variedades destacadas de fresa (Fragaria×ananassa Duch.) cultivadas en Cundinamarca (Colombia) durante su maduración (2018) Cienc. Tecnol. Agropecu, 19 (1), pp. 1-18; McMichael, B.L., Burke, J.J., Temperature effects on root growth (2002) Plant roots – The hidden half, pp. 717-728. , Waisel, Y., A. Eshel, and L. Kafkafi (eds). 3rd ed. Marcel Dekker, New York, NY; Mahmud, K.P., Holzapfel, B.P., Guisard, Y., Smith, J.P., Nielsen, S., Rogiers, S.Y., Circadian regulation of grapevine root and shoot growth and their modulation by photoperiod and temperature (2018) J. Plant Physiol, 222, pp. 86-93; Marschner, H., (2002) Mineral nutrition of higher plants, , 2nd ed. Academic Press, London; Marschner, P., (2012) Marschner’s mineral nutrition of higher plants, , (ed). 3rd ed. Elsevier, Amsterdam; Mesejo, C., Gambetta, G., Gravina, A., Martínez-Fuentes, A., Reig, C., Agustí, M., Relationship between soil temperature and fruit colour development of ‘Clemenpons’ Clementine mandarin (Citrus clementina Hort ex. Tan) (2012) J. Sci. Food Agric, 92, pp. 520-525; Mishra, A.K., Agrawal, S.B., Agrawal, M., Rising atmospheric carbon dioxide and plant responses: current and future consequences (2019) Climate change and agricultural ecosystems, pp. 265-306. , Elsevier, Amsterdam, The Netherlands; Mu, Z.J., Huang, A.Y., Ni, J.P., Li, J.Q., Liu, Y.Y., Shi, S., Xie, D.T., Hatano, R., Soil greenhouse gas fluxes and net global warming potential from intensively cultivated vegetable fields in southwestern China (2013) J. Soil Sci. Plant Nutr, 13 (3), pp. 566-578; Nobel, P., (2020) Physicochemical and environmental plant physiology, , (ed). 5th ed. Cambridge, MA; Ojeda, M., Schaffer, B., Davies, F., Flooding, root temperature, physiology and growth of two Annona species (2004) Tree Physiol, 24, pp. 1019-1025; Patil, D.D., Kulkarni, M.V., Soil temperature and its influence of crop growth (2016) Readers Shelf, 12 (9), pp. 41-42; Pérez-López, D., Moriana, A., Gijón, M.C., Mariño, J., Water relation response to soil chilling of six olive (Olea europaea L.) cultivars with different frost resistance Spain (2010) J. Agric. Res, 3, pp. 780-789; Pumpanen, J., Heinonsalo, J., Rasilo, T., Ilvesniemi, H., Effect of increased soil temperature on CO2 exchange and net biomass accumulation in Picea abies, Pinus sylvestris and Betula pendula (2012) Tree Physiol, 32, pp. 724-736; Ramírez-Gil, J.G., Morales-Osorio, J.G., Microbial dynamics in the soil and presence of the avocado wilt complex in plots cultivated with avocado cv. Hass under ENSO phenomena (El Niño – La Niña) (2018) Sci. Hortic, 240, pp. 273-280; Rao, K.V.R., Bajpai, A., Gangwar, S., Chourasia, L., Soni, K., Effect of mulching on growth, yield and economics of watermelon (Citrullus lanatus Thunb) (2017) Environ. Ecol, 35 (3D), pp. 2437-2441; Sauer, T.J., Peng, X., Soil temperature and heat flux (2018) Agroclimatology: Linking agriculture to climate. Agron. Monogr, 60. , Hatfield, J.L., M.V.K. Sivakumar, and J.H. Prueger (eds). American Society of Agronomy, Madison, WI; Sawan, Z.M., Climatic variables: Evaporation, sunshine, relative humidity, soil and air temperature and its adverse effects on cotton production (2018) Inf. Proces. Agric, 5, pp. 134-148; Silva, D.M.N., Heitor, L.C., Candido, A.O., Moraes, B.S.A., Souza, G.S., Araújo, J.B.S., Mendonça, E.S., Carbon balance in organic conilon coffee intercropped with tree species and banana (2020) Rev. Árvore, 44, p. e4421; Sperling, O., Silva, L.C.R., Tixier, A., Théroux-Rancourt, G., Zwieniecki, M.A., Temperature gradients assist carbohydrate allocation within trees (2017) Sci. Rep, 7, p. 3265; Sthapit, B.R., Rao, V.R., Sthapit, S.R., (2012) Tropical fruit tree species and climate change, , (eds). Bioversity International, New Delhi; Surówka, E., Rapacz, M., Janowiak, F., Climate change influences the interactive effects of simultaneous impact of abiotic and biotic stresses on plants (2020) Plant ecophysiology and adaptation under climate change: Mechanisms and perspectives, I. , Hasanuzzaman, M. (ed). Springer Nature, Singapore; Taiz, L., Zeiger, E., Møller, I.M., Murphy, A., (2017) Fisiologia e desenvolvimento vegetal, , 6th ed. Artmed, Porto Alegre, Brazil; Torres, N., Goicoechea, N., Antolín, M.C., Influence of irrigation strategy and mycorrhizal inoculation on fruit quality in different clones of Tempranillo grown under elevated temperatures (2018) Agric. Water Manage, 202, pp. 285-298; (2009) Annual report, , https://www.unep.org/resources/annual-report/unep-2009-annual-report, consulted: Abril, 2021; Vera-Estrella, R., Barkla, B., Bohnert, J., Pantoja, O., Novel regulation of aquaporins during osmotic stress (2004) Plant Physiol, 135, pp. 2318-2329; Yohannes, H., A review on relationship between climate change and agriculture (2016) J. Earth Sci. Clim. Change, 7 (2), p. 335; Yusof, I.M., Buchanan, D.W., Gerber, J.F., The response of avocado and mango to soil temperature (1969) J. Amer. Soc. Hort Sci, 94 (6), pp. 619-621; Villarreal-Navarrete, A., Fischer, G., Melgarejo, L.M., Correa, G., Hoyos-Carvajal, L., Growth response of the cape gooseberry (Physalis peruviana L.) to waterlogging stress and Fusarium oxysporum infection (2017) Acta Hortic, 1178, pp. 161-168; Whiley, A.W., Wolstenholme, B.N., Saranah, J.B., Anderson, P.A., Effect of root temperature on growth of two avocado rootstocks cultivars (1990) Acta Hortic, 275, pp. 153-160; Zhang, H., Binhui, L., Zhou, D., Wu, Z., Wang, T., Asymmetric soil warming under global climate change (2019) Int. J. Environ. Res. Public Health, 16, p. 1504; Zheng, X., Streimikiene, D., Balezentis, T., Mardani, A., Cavallaro, F., Huchang, L., A review of greenhouse gas emission profiles, dynamics, and climate change mitigation efforts across the key climate change players (2019) J. Clean. Prod, 234, pp. 1113-1133; Zhu, H., Hu, S., Yang, J., Karamage, F., Li, H., Fu, S., Spatio-temporal variation of soil moisture in a fixed dune at the southern edge of the Gurbantunggut desert in Xinjiang, China (2019) J. Arid Land, 11, pp. 685-700</t>
  </si>
  <si>
    <t>Fischer, G.; Universidad Nacional de Colombia, Colombia; email: gerfischer@gmail.com</t>
  </si>
  <si>
    <t>2-s2.0-85137841035</t>
  </si>
  <si>
    <t>Ollerton J., Trunschke J., Havens K., Landaverde-González P., Keller A., Gilpin A.-M., Rech A.R., Baronio G.J., Phillips B.J., Mackin C., Stanley D.A., Treanore E., Baker E., Rotheray E.L., Erickson E., Fornoff F., Brearley F.Q., Ballantyne G., Iossa G., Stone G.N., Bartomeus I., Stockan J.A., Leguizamón J., Prendergast K., Rowley L., Giovanetti M., de Oliveira Bueno R., Wesselingh R.A., Mallinger R., Edmondson S., Howard S.R., Leonhardt S.D., Rojas-Nossa S.V., Brett M., Joaqui T., Antoniazzi R., Burton V.J., Feng H.-H., Tian Z.-X., Xu Q., Zhang C., Shi C.-L., Huang S.-Q., Cole L.J., Bendifallah L., Ellis E.E., Hegland S.J., Díaz S.S., Lander T., Mayr A.V., Katzer S., Dawson R., Eeraerts M., Armbruster W.S., Walton B., Adjlane N., Falk S., Mata L., Geiger A.G., Carvell C., Wallace C., Ratto F., Barberis M., Kahane F., Connop S., Stip A., Sigrist M.R., Vereecken N.J., Klein A.-M., Baldock K.C.R., Arnold S.E.J.</t>
  </si>
  <si>
    <t>6701637825;55329402200;13908334600;57191669810;57866109000;55965197700;36633005500;55549648500;57883438800;57222872837;40262717500;57209849939;57220639191;35194621600;57214940621;55815987200;6505997426;14053508500;16245287100;7202761416;14625008500;6504463826;57884180100;57201793484;57883438900;6603398829;57203975047;6603784522;8683834900;57883690400;57193833741;18037756300;57173061500;57884437500;57219873941;57191608259;57189260481;57884684100;57218578552;57884437600;57211366111;57883690500;13303561400;7202951042;55512211100;57218603582;8944939000;57220722748;22955837900;56289149300;57884180200;57883934000;56681223300;7005550880;57883439000;55365124000;55058971300;56462326900;57884180300;6603660842;57218381136;57200539804;57195474400;57222208617;36241351300;55839144800;8950049100;8531689800;37122198500;50661042900;14055660200;</t>
  </si>
  <si>
    <t>POLLINATOR-FLOWER INTERACTIONS IN GARDENS DURING THE COVID-19 PANDEMIC LOCKDOWN OF 2020</t>
  </si>
  <si>
    <t>Journal of Pollination Ecology</t>
  </si>
  <si>
    <t>10.26786/1920-7603(2022)695</t>
  </si>
  <si>
    <t>https://www.scopus.com/inward/record.uri?eid=2-s2.0-85137662400&amp;doi=10.26786%2f1920-7603%282022%29695&amp;partnerID=40&amp;md5=c4ebabe94349efe72aff54f61e221233</t>
  </si>
  <si>
    <t>Faculty of Arts, Science and Technology, University of Northampton, Waterside Campus, United Kingdom; Kunming Institute of Botany, Yunnan, Kunming, China; Negaunee Institute for Plant Conservation Science and Action, Chicago Botanic Garden, 1000 Lake Cook Road, Glencoe, IL  60022, United States; General Zoology, Institute for Biology, Martin-Luther University Halle-Wittenberg, Hoher Weg 8, Halle (Saale), 06120, Germany; Cellular and Organismic Networks, Faculty of Biology, Ludwig-Maximilians-Universität München, Martinsried, Planegg, 82152, Germany; Hawkesbury Institute for the Environment, Western Sydney University, Hawkesbury Campus, Science Rd, Richmond, NSW  2753, Australia; Universidade Federal dos Vales do Jequitinhonha e Mucuri (UFVJM), Faculdade Interdisciplinar em Humanidades, Curso de Licenciatura em Educação do Campo, LEC Sala 157 DEF, Campus JK, Minas Gerais, Diamantina, Brazil; Universidade de São Paulo, Instituto de Biociências (IB-USP), Departamento de Ecologia, São Paulo, Brazil; University of Exeter, Environment and Sustainability Institute, University of Exeter, Penryn Campus, Penryn, TR10 9FE, United Kingdom; School of Life Sciences, University of Sussex, Brighton, BN1 4GE, United Kingdom; School of Agriculture and Food Science, University College DublinDublin 2, Ireland; Department of Entomology, Center for Pollinator Research, Huck Institute of the Life Sciences, The Pennsylvania State University, University Park, PA  16802, United States; University of Oxford, Department of Zoology, South Parks Road, Oxford, OX1 3SZ, United Kingdom; Department of Entomology, Millennium Science Complex, Pennsylvania State University, University Park, PA  16802, United States; Faculty of Environment and Natural Resources, University of Freiburg, Tennenbacherstraße 4, Freiburg, 79106, Germany; Department of Natural Sciences, Manchester Metropolitan University, Chester Street, Manchester, M1 5GD, United Kingdom; School of Applied Sciences, Edinburgh Napier University, Edinburgh, EH11 4BN, United Kingdom; Joseph Banks Laboratories, School of Life and Environmental Sciences, University of Lincoln, Lincoln, LN6 7TS, United Kingdom; Institute of Evolutionary Biology, University of Edinburgh, Ashworth Laboratories, Charlotte Auerbach Road, Edinburgh, EH9 3FL, United Kingdom; Estación Biológica de Doñana (EBD-CSIC), Avda. Américo Vespucio 26, Sevilla, E-41092, Spain; Department of Ecological Sciences, James Hutton Institute, Aberdeen, AB15 8QH, United Kingdom; Grupo de Investigación Biología para la Conservación, Universidad Pedagógica y Tecnológica de Colombia, Avenida Central del Norte 39-115, Tunja, 150003, Colombia; Curtin University School of Molecular &amp; Life Sciences, Kent Street, Bentley, Perth, WA  6102, Australia; Wildlife Trust BCN, Lings House, Lings Way, Northampton, NN3 8BE, United Kingdom; CREA Council for Agricultural Research and Agricultural Economy Analysis, Research Centre for Agriculture and Environment, Bologna, Italy; Departamento de Biodiversidade e Conservação da Natureza, Universidade Tecnológica Federal do Paraná, Via Rosalina Maria dos Santos 1233, Campo Mourão, Paraná, CEP: 87301-899, Brazil; Biodiversity Research Centre, Earth &amp; Life Institute, UCLouvain, Louvain-la-Neuve, Belgium; Department of Entomology and Nematology, University of Florida, 1881 Natural Area Drive, Gainesville, FL  32611, United States; Merseyside, St Helens, United Kingdom; School of Biological Sciences, Monash University, Clayton, VIC, Australia; Centre for Integrative Ecology, School of Life and Environmental Sciences, Deakin University, Burwood, VIC, Australia; Plant-Insect Interactions, Technical University of Munich, Hans-Carl-von-Carlowitz-Platz 2, Freising, 85354, Germany; Department of Ecology and Animal Biology, University of Vigo, Pontevedra, Vigo, Spain; School of Biological Sciences, Life Sciences Building, University of Bristol, 24 Tyndall Avenue, Bristol, BS8 1TQ, United Kingdom; Arthur Temple College of Forestry and Agriculture, Stephen F. Austin State University, Nacogdoches, TX  75962, United States; Department of Life Sciences, Natural History Museum, Cromwell Road, London, SW7 5BD, United Kingdom; Institute of Evolution and Ecology, School of Life Sciences, Central China Normal University, Wuhan, 430079, China; Integrated Land Management, SRUC, Auchincruive Estate, Ayr, KA6 5HW, United Kingdom; Université M'hamed Bougara de Boumerdes, Faculté des Sciences, Laboratoire des Technologies Douces, Valorisation, Physico-chimie des Matériaux Biologiques et Biodiversité, 1 Avenue de l'Indépendance, Boumerdes, 35000, Algeria; Department of Animal and Plant Science, The University of Sheffield, Western BankS10 2TN, United Kingdom; Department of Environmental Sciences, Western Norway University of Applied Sciences, P.O. Box 133, Sogndal, NO-6851, Norway; Department of Agricultural, Forest and Food Sciences, Università degli Studi di Torino, Largo Paolo Braccini, Turin, 10095, Italy; Department of Plant Sciences, University of Oxford, South Parks Road, Oxford, OX1 3RB, United Kingdom; University of Ulm, Institute of Evolutionary Ecology and Conservation Genomics, Albert-Einstein-Allee 11, Ulm, 89081, Germany; University of Würzburg, Department of Animal Ecology and Tropical Biology, Biocenter, Am Hubland, Würzburg, 97074, Germany; Ashton Under Lyne, Greater Manchester, United Kingdom; Department of Plant and Crops, Faculty of Bioscience Engineering, Ghent University, Ghent, Belgium; School of Biological Sciences, University of Portsmouth, Portsmouth, PO1 2DY, United Kingdom; Institute of Arctic Biology, University of Alaska Fairbanks, Fairbanks, AK  99775, United States; Sussex Biodiversity Record Centre, Woods Mill, Shoreham Rd, Henfield, BN5 9SD, United Kingdom; Département d'Agronomie, Faculté des Sciences, Laboratoire de Bioinformatique, Microbiologie Appliquée et Biomolécules (BMAB), Université M'Hamed Bougara de Boumerdès, Algeria; Warwickshire, Kenilworth, United Kingdom; School of Ecosystem and Forest Sciences, University of Melbourne, Parkville, 3010, Australia; Centre for Agroecology, Water and Resilience (CAWR), Coventry University, Ryton Organic Gardens, Coventry, CV8 3LG, United Kingdom; UK Centre for Ecology &amp; Hydrology, Maclean Building, Benson Lane, Wallingford, OX10 8BB, United Kingdom; University of East Anglia, Norwich Research Park, Norwich, NR4 7TJ, United Kingdom; School of Biology, Faculty of Biological Sciences, University of Leeds, Leeds, LS2 9JT, United Kingdom; Department of HealthStudies, School of Life Sciences and the Environment, Royal Holloway, University of London, Surrey, Egham, TW20 0EX, United Kingdom; Dipartimento di Scienze Biologiche, Geologiche e Ambientali, Università di Bologna, via Irnerio 42, Bologna, Italy; Sustainability Research Institute (SRI), University of East London, Knowledge Dock Building, Docklands Campus, 4-6 University Way, London, E16 2RD, United Kingdom; Dutch Butterfly Conservation, Mennonietenweg 10, Wageningen, 6702 AD, Netherlands; Laboratório de Polinização, Reprodução e Fenologia de Plantas (LPRF), InBio, Universidade Federal de Mato Grosso do Sul, MS, Campo Grande, Brazil; Agroecology Lab CP 264/02, Université Libre de Bruxelles (ULB), Av. FD Roosevelt 50, Brussels, B-1050, Belgium; Nature Conservation and Landscape Ecology, Albert-Ludwigs-University Freiburg, Tennenbacher Str. 4, Freiburg, 79106, Germany; Department of Geography and Environmental Sciences, Ellison Building, Northumbria University, Newcastle upon Tyne, NE1 8ST, United Kingdom; Natural Resources Institute, University of Greenwich, Chatham Maritime, Kent, ME4 4TB, United Kingdom; Nelson Mandela African Institution of Science and Technology, Arusha, Tanzania</t>
  </si>
  <si>
    <t>Ollerton, J., Faculty of Arts, Science and Technology, University of Northampton, Waterside Campus, United Kingdom, Kunming Institute of Botany, Yunnan, Kunming, China; Trunschke, J., Kunming Institute of Botany, Yunnan, Kunming, China; Havens, K., Negaunee Institute for Plant Conservation Science and Action, Chicago Botanic Garden, 1000 Lake Cook Road, Glencoe, IL  60022, United States; Landaverde-González, P., General Zoology, Institute for Biology, Martin-Luther University Halle-Wittenberg, Hoher Weg 8, Halle (Saale), 06120, Germany; Keller, A., Cellular and Organismic Networks, Faculty of Biology, Ludwig-Maximilians-Universität München, Martinsried, Planegg, 82152, Germany; Gilpin, A.-M., Hawkesbury Institute for the Environment, Western Sydney University, Hawkesbury Campus, Science Rd, Richmond, NSW  2753, Australia; Rech, A.R., Universidade Federal dos Vales do Jequitinhonha e Mucuri (UFVJM), Faculdade Interdisciplinar em Humanidades, Curso de Licenciatura em Educação do Campo, LEC Sala 157 DEF, Campus JK, Minas Gerais, Diamantina, Brazil; Baronio, G.J., Universidade de São Paulo, Instituto de Biociências (IB-USP), Departamento de Ecologia, São Paulo, Brazil; Phillips, B.J., University of Exeter, Environment and Sustainability Institute, University of Exeter, Penryn Campus, Penryn, TR10 9FE, United Kingdom; Mackin, C., School of Life Sciences, University of Sussex, Brighton, BN1 4GE, United Kingdom; Stanley, D.A., School of Agriculture and Food Science, University College DublinDublin 2, Ireland; Treanore, E., Department of Entomology, Center for Pollinator Research, Huck Institute of the Life Sciences, The Pennsylvania State University, University Park, PA  16802, United States; Baker, E., University of Oxford, Department of Zoology, South Parks Road, Oxford, OX1 3SZ, United Kingdom; Rotheray, E.L., School of Life Sciences, University of Sussex, Brighton, BN1 4GE, United Kingdom; Erickson, E., Department of Entomology, Millennium Science Complex, Pennsylvania State University, University Park, PA  16802, United States; Fornoff, F., Faculty of Environment and Natural Resources, University of Freiburg, Tennenbacherstraße 4, Freiburg, 79106, Germany; Brearley, F.Q., Department of Natural Sciences, Manchester Metropolitan University, Chester Street, Manchester, M1 5GD, United Kingdom; Ballantyne, G., School of Applied Sciences, Edinburgh Napier University, Edinburgh, EH11 4BN, United Kingdom; Iossa, G., Joseph Banks Laboratories, School of Life and Environmental Sciences, University of Lincoln, Lincoln, LN6 7TS, United Kingdom; Stone, G.N., Institute of Evolutionary Biology, University of Edinburgh, Ashworth Laboratories, Charlotte Auerbach Road, Edinburgh, EH9 3FL, United Kingdom; Bartomeus, I., Estación Biológica de Doñana (EBD-CSIC), Avda. Américo Vespucio 26, Sevilla, E-41092, Spain; Stockan, J.A., Department of Ecological Sciences, James Hutton Institute, Aberdeen, AB15 8QH, United Kingdom; Leguizamón, J., Grupo de Investigación Biología para la Conservación, Universidad Pedagógica y Tecnológica de Colombia, Avenida Central del Norte 39-115, Tunja, 150003, Colombia; Prendergast, K., Curtin University School of Molecular &amp; Life Sciences, Kent Street, Bentley, Perth, WA  6102, Australia; Rowley, L., Wildlife Trust BCN, Lings House, Lings Way, Northampton, NN3 8BE, United Kingdom; Giovanetti, M., CREA Council for Agricultural Research and Agricultural Economy Analysis, Research Centre for Agriculture and Environment, Bologna, Italy; de Oliveira Bueno, R., Departamento de Biodiversidade e Conservação da Natureza, Universidade Tecnológica Federal do Paraná, Via Rosalina Maria dos Santos 1233, Campo Mourão, Paraná, CEP: 87301-899, Brazil; Wesselingh, R.A., Biodiversity Research Centre, Earth &amp; Life Institute, UCLouvain, Louvain-la-Neuve, Belgium; Mallinger, R., Department of Entomology and Nematology, University of Florida, 1881 Natural Area Drive, Gainesville, FL  32611, United States; Edmondson, S., Merseyside, St Helens, United Kingdom; Howard, S.R., School of Biological Sciences, Monash University, Clayton, VIC, Australia, Centre for Integrative Ecology, School of Life and Environmental Sciences, Deakin University, Burwood, VIC, Australia; Leonhardt, S.D., Plant-Insect Interactions, Technical University of Munich, Hans-Carl-von-Carlowitz-Platz 2, Freising, 85354, Germany; Rojas-Nossa, S.V., Department of Ecology and Animal Biology, University of Vigo, Pontevedra, Vigo, Spain; Brett, M., School of Biological Sciences, Life Sciences Building, University of Bristol, 24 Tyndall Avenue, Bristol, BS8 1TQ, United Kingdom; Joaqui, T., Arthur Temple College of Forestry and Agriculture, Stephen F. Austin State University, Nacogdoches, TX  75962, United States; Antoniazzi, R., Arthur Temple College of Forestry and Agriculture, Stephen F. Austin State University, Nacogdoches, TX  75962, United States; Burton, V.J., Department of Life Sciences, Natural History Museum, Cromwell Road, London, SW7 5BD, United Kingdom; Feng, H.-H., Institute of Evolution and Ecology, School of Life Sciences, Central China Normal University, Wuhan, 430079, China; Tian, Z.-X., Institute of Evolution and Ecology, School of Life Sciences, Central China Normal University, Wuhan, 430079, China; Xu, Q., Institute of Evolution and Ecology, School of Life Sciences, Central China Normal University, Wuhan, 430079, China; Zhang, C., Institute of Evolution and Ecology, School of Life Sciences, Central China Normal University, Wuhan, 430079, China; Shi, C.-L., Institute of Evolution and Ecology, School of Life Sciences, Central China Normal University, Wuhan, 430079, China; Huang, S.-Q., Institute of Evolution and Ecology, School of Life Sciences, Central China Normal University, Wuhan, 430079, China; Cole, L.J., Integrated Land Management, SRUC, Auchincruive Estate, Ayr, KA6 5HW, United Kingdom; Bendifallah, L., Université M'hamed Bougara de Boumerdes, Faculté des Sciences, Laboratoire des Technologies Douces, Valorisation, Physico-chimie des Matériaux Biologiques et Biodiversité, 1 Avenue de l'Indépendance, Boumerdes, 35000, Algeria; Ellis, E.E., Department of Animal and Plant Science, The University of Sheffield, Western BankS10 2TN, United Kingdom; Hegland, S.J., Department of Environmental Sciences, Western Norway University of Applied Sciences, P.O. Box 133, Sogndal, NO-6851, Norway; Díaz, S.S., Department of Agricultural, Forest and Food Sciences, Università degli Studi di Torino, Largo Paolo Braccini, Turin, 10095, Italy; Lander, T., Department of Plant Sciences, University of Oxford, South Parks Road, Oxford, OX1 3RB, United Kingdom; Mayr, A.V., University of Ulm, Institute of Evolutionary Ecology and Conservation Genomics, Albert-Einstein-Allee 11, Ulm, 89081, Germany, University of Würzburg, Department of Animal Ecology and Tropical Biology, Biocenter, Am Hubland, Würzburg, 97074, Germany; Katzer, S., University of Ulm, Institute of Evolutionary Ecology and Conservation Genomics, Albert-Einstein-Allee 11, Ulm, 89081, Germany; Dawson, R., Ashton Under Lyne, Greater Manchester, United Kingdom; Eeraerts, M., Department of Plant and Crops, Faculty of Bioscience Engineering, Ghent University, Ghent, Belgium; Armbruster, W.S., School of Biological Sciences, University of Portsmouth, Portsmouth, PO1 2DY, United Kingdom, Institute of Arctic Biology, University of Alaska Fairbanks, Fairbanks, AK  99775, United States; Walton, B., Sussex Biodiversity Record Centre, Woods Mill, Shoreham Rd, Henfield, BN5 9SD, United Kingdom; Adjlane, N., Département d'Agronomie, Faculté des Sciences, Laboratoire de Bioinformatique, Microbiologie Appliquée et Biomolécules (BMAB), Université M'Hamed Bougara de Boumerdès, Algeria; Falk, S., Warwickshire, Kenilworth, United Kingdom; Mata, L., School of Ecosystem and Forest Sciences, University of Melbourne, Parkville, 3010, Australia; Geiger, A.G., Centre for Agroecology, Water and Resilience (CAWR), Coventry University, Ryton Organic Gardens, Coventry, CV8 3LG, United Kingdom; Carvell, C., UK Centre for Ecology &amp; Hydrology, Maclean Building, Benson Lane, Wallingford, OX10 8BB, United Kingdom; Wallace, C., University of East Anglia, Norwich Research Park, Norwich, NR4 7TJ, United Kingdom; Ratto, F., School of Biology, Faculty of Biological Sciences, University of Leeds, Leeds, LS2 9JT, United Kingdom, Department of HealthStudies, School of Life Sciences and the Environment, Royal Holloway, University of London, Surrey, Egham, TW20 0EX, United Kingdom; Barberis, M., Dipartimento di Scienze Biologiche, Geologiche e Ambientali, Università di Bologna, via Irnerio 42, Bologna, Italy; Kahane, F., University of Exeter, Environment and Sustainability Institute, University of Exeter, Penryn Campus, Penryn, TR10 9FE, United Kingdom; Connop, S., Sustainability Research Institute (SRI), University of East London, Knowledge Dock Building, Docklands Campus, 4-6 University Way, London, E16 2RD, United Kingdom; Stip, A., Dutch Butterfly Conservation, Mennonietenweg 10, Wageningen, 6702 AD, Netherlands; Sigrist, M.R., Laboratório de Polinização, Reprodução e Fenologia de Plantas (LPRF), InBio, Universidade Federal de Mato Grosso do Sul, MS, Campo Grande, Brazil; Vereecken, N.J., Agroecology Lab CP 264/02, Université Libre de Bruxelles (ULB), Av. FD Roosevelt 50, Brussels, B-1050, Belgium; Klein, A.-M., Nature Conservation and Landscape Ecology, Albert-Ludwigs-University Freiburg, Tennenbacher Str. 4, Freiburg, 79106, Germany; Baldock, K.C.R., Department of Geography and Environmental Sciences, Ellison Building, Northumbria University, Newcastle upon Tyne, NE1 8ST, United Kingdom; Arnold, S.E.J., Natural Resources Institute, University of Greenwich, Chatham Maritime, Kent, ME4 4TB, United Kingdom, Nelson Mandela African Institution of Science and Technology, Arusha, Tanzania</t>
  </si>
  <si>
    <t>During the main COVID-19 global pandemic lockdown period of 2020 an impromptu set of pollination ecologists came together via social media and personal contacts to carry out standardised surveys of the flower visits and plants in gardens. The surveys involved 67 rural, suburban and urban gardens, of various sizes, ranging from 61.18° North in Norway to 37.96° South in Australia, resulting in a data set of 25,174 rows, with each row being a unique interaction record for that date/site/plant species, and comprising almost 47,000 visits to flowers, as well as records of flowers that were not visited by pollinators, for over 1,000 species and varieties belonging to more than 460 genera and 96 plant families. The more than 650 species of flower visitors belong to 12 orders of invertebrates and four of vertebrates. In this first publication from the project, we present a brief description of the data and make it freely available for any researchers to use in the future, the only restriction being that they cite this paper in the first instance. The data generated from these global surveys will provide scientific evidence to help us understand the role that private gardens (in urban, rural and suburban areas) can play in conserving insect pollinators and identify management actions to enhance their potential. © 2022 The authors.</t>
  </si>
  <si>
    <t>bees; flowers; hummingbirds; insects; pollination; species interactions</t>
  </si>
  <si>
    <t>Baldock, KCR, Opportunities and threats for pollinator conservation in global towns and cities (2020) Current Opinion in Insect Science, 38, pp. 63-71; Baldock, KCR, Goddard, MA, Hicks, DM, Kunin, WE, Mitschunas, N, Osgathorpe, LM, Morse, H, Memmott, J, A systems approach reveals urban pollinator hotspots and conservation opportunities (2019) Nature Ecology and Evolution, 3, pp. 363-373; Bendifallah, L, Ortiz-Sánchez, FJ, Flowering plants preferred by native wild bees (Hymenoptera Apoidea Apiformes) in Algerian littoral region (2018) Journal of Fundamental and Applied Sciences, 10, pp. 172-190; Camps-Calvet, M, Langemeyer, J, Calvet-Mir, L, Gomez-Baggethun, E, Ecosystem services provided by urban gardens in Barcelona Spain: insights for policy and planning (2016) Environmental Science and Policy, 62, pp. 14-23; Carvell, C, Isaac, NJB, Jitlal, M, Peyton, J, Powney, GD, Roy, DB, Vanbergen, AJ, Roy, HE, Design and Testing of a National Pollinator and Pollination Monitoring Framework (2016), Final summary report to the Department for Environment, Food and Rural Affairs (Defra), Scottish Government and Welsh Government: Project WC1101; Corbet, SA, Bee, J, Dasmahapatra, K, Gale, S, Gorringe, E, La Ferla, B, Moorhouse, T, Vorontsova, M, Native or exotic? Double or single? Evaluating plants for pollinator-friendly gardens (2001) Annals of Botany, 87, pp. 219-232; Davies, ZG, Fuller, RA, Loram, A, Irvine, KN, Sims, V, Gaston, KJ, A national scale inventory of resource provision for biodiversity within domestic gardens (2009) Biological Conservation, 142, pp. 761-771; Erenler, H, (2013) The diversity of pollinators in the gardens of large English country houses, , PhD thesis, University of Northampton; Foster, G, Bennett, J, Sparks, T, An assessment of bumblebee (Bombus spp.) land use and floral preference in UK gardens and allotments cultivated for food (2017) Urban Ecosystems, 20, pp. 425-434; Garbuzov, M, Ratnieks, FLW, Quantifying variation among garden plants in attractiveness to bees and other flower-visiting insects (2014) Functional Ecology, 28, pp. 364-374; Giovanetti, M, Giuliani, C, Boff, S, Fico, G, Lupi, D, A botanic garden as a tool to combine public perception of nature and life-science investigations on native/exotic plants interactions with local pollinators (2020) PloS ONE, 15 (2), p. e0228965; Klein, A-M, Vaissière, BE, Cane, JH, Steffan-Dewenter, I, Cunningham, SA, Kremen, C, Tscharntke, T, Importance of pollinators in changing landscapes for world crops (2007) Proceedings of the Royal Society of London B, 274, pp. 303-313; Levé, M, Baudry, E, Bessa-Gomes, C, Domestic gardens as favorable pollinator habitats in impervious landscapes (2019) Science of the Total Environment, 647, pp. 420-430; Majewska, AA, Altizer, S, Planting gardens to support insect pollinators (2020) Conservation Biology, 34, pp. 15-25; Marín, L, Martínez-Sánchez, ME, Sagot, P, Navarrete, D, Morales, H, Floral visitors in urban gardens and natural areas: Diversity and interaction networks in a neotropical urban landscape (2019) Basic and Applied Ecology, 43, pp. 3-15; Maruyama, PK, Bonizário, C, Marcon, AP, D'Angelo, G, da Silva, MM, da Silva Neto, EN, Oliveira, PE, Marçal Júnior, O, Plant-hummingbird interaction networks in urban areas: Generalization and the importance of trees with specialized flowers as a nectar resource for pollinator conservation (2019) Biological Conservation, 230, pp. 187-194; Mata, L, Andersen, A, Morán-Ordóñez, A, Hahs, A, Backstrom, A, Ives, C, Bickel, D, Lynch, Y, Indigenous plants promote insect biodiversity in urban greenspaces (2021) Ecological Applications, 31, p. e02309; Matteson, KC, Ascher, JS, Langellotto, GA, Bee richness and abundance in New York City urban gardens (2008) Annals of the Entomological Society of America, 101, pp. 140-150; Millard, J, Outhwaite, CL, Kinnersley, R, Freeman, R, Gregory, RD, Adedoja, O, Gavini, S, Newbold, T, Global effects of land-use intensity on local pollinator biodiversity (2021) Nature Communications, 12, p. 2902. , https://doi.org/101038/s41467-021-23228-3; Norfolk, O, Eichhorn, M, Gilbert, F, Traditional agricultural gardens conserve wild plants and functional richness in arid South Sinai (2013) Basic and Applied Ecology, 14, pp. 659-669; Norfolk, O, Eichhorn, M, Gilbert, F, Culturally valuable minority crops provide successional resources for flower visitors in orchard gardens (2014) Biodiversity and Conservation, 23, pp. 3199-3217; Ollerton, J, Pollinator diversity: distribution ecological function and conservation (2017) Annual Review of Ecology Evolution and Systematics, 48, pp. 353-376; Ollerton, J, (2021) Pollinators &amp; Pollination: Nature and Society Pelagic Publishing, , Exeter; Ollerton, J, Tarrant, S, Winfree, R, How many flowering plants are pollinated by animals? (2011) Oikos, 120, pp. 321-326; Owen, J, (2010) Wildlife of a Garden: A Thirty-Year Study, , Royal Horticultural Society, Peterborough; Pardee, GL, Philpott, SM, Native plants are the bee's knees: local and landscape predictors of bee richness and abundance in backyard gardens (2014) Urban Ecosystems, 17, pp. 641-659; Potts, SG, Biesmeijer, JC, Kremen, C, Neumann, P, Schweiger, O, Kunin, WE, Global pollinator declines: trends impacts and drivers (2010) Trends in Ecology and Evolution, 25, pp. 345-353; Prendergast, KS, Natural history note: Urban domestic gardens support nesting populations of the native bee Leioproctus (Leioproctus) plumosus (2021) Austral Ecology, 47, pp. 131-136; Prendergast, KS, Ollerton, J, Plant-pollinator networks in Australian urban bushland remnants are not structurally equivalent to those in residential gardens (2021) Urban Ecosystems, 24, pp. 973-987; Prendergast, KS, Dixon, KW, Bateman, PW, A global review of determinants of native bee assemblages in urbanised landscapes (2022) Insect Conservation and Diversity, 15, pp. 385-405. , https://doiorg/101111/icad12569; Rodger, JG, Bennett, JM, Razanajatovo, M, Knight, TM, van Kleunen, M, Ashman, T-LJ, Steets, A, Ellis, AG, Widespread vulnerability of plant seed production to pollinator declines (2021) Science Advances, 7, p. eabd3524. , org/101126/sciadvabd3524; Rollings, R, Goulson, D, Quantifying the attractiveness of garden flowers for pollinators (2019) Journal of Insect Conservation, 23, pp. 803-817; Rotheray, EL, Rotheray, GE, The puparium and development site of Rhingia rostrata (Linnaeus) and comparison with R. campestris Meigen (Diptera Syrphidae) (2021) Dipterists Digest, 28, pp. 127-134; Salisbury, A, Armitage, J, Bostock, H, Perry, J, Tatchell, M, Thompson, K, Enhancing gardens as habitats for flower-visiting aerial insects (pollinators): should we plant native or exotic species? (2015) Journal of Applied Ecology, 52, pp. 1156-1164; Staab, M, Pereira-Peixoto, MH, Klein, AM, Exotic garden plants partly substitute for native plants as resources for pollinators when native plants become seasonally scarce (2020) Oecologia, 194, pp. 465-480; Tew, NE, Memmott, J., Vaughan, IP, Bird, S, Stone, GN, Potts, SG, Baldock, KCR, Quantifying nectar production by flowering plants in urban and rural landscapes (2021) Journal of Ecology, 109, pp. 1747-1757; Tew, NE, Baldock, KCR, Vaughan, IP, Bird, S, Memmott, J, Turnover in floral composition explains species diversity and temporal stability in the nectar supply of urban residential gardens (2022) Journal of Applied Ecology, 59, pp. 801-811; Theodorou, P, Radzevičiūtė, R, Lentendu, G, Kahnt, B, Husemann, M, Bleidorn, C, Settele, J, Paxton, RJ, Urban areas as hotspots for bees and pollination but not a panacea for all insects (2020) Nature Communications, 11, p. 576. , https://doi.org/101038/s41467-020-14496-6</t>
  </si>
  <si>
    <t>Ollerton, J.; Faculty of Arts, Waterside Campus, United Kingdom; email: jeff.ollerton@gmail.com</t>
  </si>
  <si>
    <t>Enviroquest Ltd</t>
  </si>
  <si>
    <t>J. Pollinat. Ecology</t>
  </si>
  <si>
    <t>2-s2.0-85137662400</t>
  </si>
  <si>
    <t>Espejo N.E.P., Ochoa D.Y.R.</t>
  </si>
  <si>
    <t>57882219300;57881920600;</t>
  </si>
  <si>
    <t>LINGUISTIC POLICIES AND EDUCATIONAL PRACTICES IN INITIAL TRAINING TEACHERS FOR THE PRESERVATION OF THE NATIVE PIAPOCO LANGUAGE OF COLOMBIA [POLÍTICAS LINGÜÍSTICAS Y PRÁCTICAS EDUCATIVAS EN PROFESORES DE FORMACIÓN INICIAL PARA LA PRESERVACIÓN DE LA LENGUA NATIVA PIAPOCO DE COLOMBIA*]</t>
  </si>
  <si>
    <t>Dialogo Andino</t>
  </si>
  <si>
    <t>10.4067/S0719-26812022000100194</t>
  </si>
  <si>
    <t>https://www.scopus.com/inward/record.uri?eid=2-s2.0-85137618493&amp;doi=10.4067%2fS0719-26812022000100194&amp;partnerID=40&amp;md5=7afd076d3cea53b8b75720d9b93f3b90</t>
  </si>
  <si>
    <t>Espejo, N.E.P., Universidad Pedagógica y Tecnológica de Colombia, Tunja, Colombia; Ochoa, D.Y.R., Universidad Pedagógica y Tecnológica de Colombia, Tunja, Colombia</t>
  </si>
  <si>
    <t>The article describes linguistic policies and educational processes for the revitalization of the Piapoco language. This qualitative study applied a semistructureda interview to a knowledgeable and 13 indigenous teachers training of the Licenciatura en Educación Básica de la Universidad Pedagógica y Tecnológica de Colombia, who works in the educational institutions of Chatare and Arrecifal of the department of Guanía and the schools of Laguna Cumural and Cumaribo of the department of Vichada. The results show that the family is the main agent for teaching Piapoco. On the other hand, teachers training ignore the language policies for the preservation of native languages, but they know to safeguard their language and culture. Finally, to preserve teachers teach the native language at the preschool and primary education levels and they teach cultural manifestations of the oral tradition in basic high school education. © 2022, Dialogo Andino. All Rights Reserved.</t>
  </si>
  <si>
    <t>Linguistic policies; Native languages; Piapoco and preservation</t>
  </si>
  <si>
    <t>Carrillo Camargo, R., Políticas Etnoeducativas y enseñanza del español (2016) Zona Próxima, 24, pp. 85-102; Colomé Medina, J. A., Fernández Fernández, A., El contexto sociocultural en la enseñanza-aprendizaje de la lengua materna (2017) Atenas, 1, pp. 139-150; (1999) Organización de las Naciones Unidas para la Educación, la Ciencia y la Cultura (UNESCO), , 9 de noviembre de; (1991) Constitución Política de Colombia [Const], , 7 de junio de (Colombia); (1957) Convenio 107 sobre las poblaciones indígenas y tribales en países independientes, , Organización Internacional del Trabajo (OIT). 5 de junio de; (2007) Asamblea General de las Naciones Unidas (ONU), , 13 de septiembre de; (1995) Por medio del cual se reglamenta la Atención Educativa para Grupos Étnicos, , Decreto 804 de1995. 18 de mayo de D. O 41.853; (2019) Departamento población indígena de Colombia. Resultados del censo nacional de población y vivienda 2018; (2010) Proyecto Educativo Kaliáwiri, Educación Contratada sector de Barrancominas, , FUCAI, Bogotá; Girón Higuita, J., Tattay Bolaños, L., (2016) Lenguas nativas y primera infancia Derechos y Orientaciones Culturales para la Primera Infancia, 1. , Ministerio de Cultura Instituto Colombiano de Bienestar Familiar Fundalectura, Bogotá; Glaser, B. G., (1992) Basics of grounded theory analysis, , Sociology Press, California, Estados Unidos de América; González, D., Carrasco, A., Memoria e identidad la tradición textil aimara en el norte de chile y el espacio construido (2020) Diálogo Andino, 63, pp. 91-100. , http://dx.doi.org/10.4067/S0719-26812020000300091; Hernández, R., Fernández, C., Baptista, P, (2010) Metodología de la Investigación, 5. , Mc Graw Hill, México; Landaburu, J., Las lenguas nativas de Colombia: Una política pública de protección (2010) Múltiples maneras de pensar, diversas formas de hablar: Una mirada a la situación de vitalidad de 15 lenguas nativas de Colombia, pp. 23-43. , En: Tomo Introductorio, Yolanda Bodnar, Editora n 1, Bogotá; (1994) Ley General de Educación, , Ley 115 de 8 de febrero de 1994. D. O 41.214; (2010) Ley de Lenguas Nativas de Colombia, , Ley 1381 de 25 de enero de 2010. D. O 47.603; (2013) Diversidad lingüística en Colombia: muchas voces, resistencia cultural y agenda de nación, , Resumen Ejecutivo presentado en Dossier para la representación de Colombia en el Smithsonian Folclore Festival, Washington; Miranda, M., Paisaje en movimiento, una integración del territorio Caspana desde lo ritual y lo ancestral (2021) Diálogo Andino, 65, pp. 357-377. , https://dx.doi.org/10.4067/S0719-26812021000200357; Moscoso, A., Vásquez, M., Pulido, C., Relaciones sociales de mujeres aymara translocales: una explicación desde la presencia/ausencia del Suma Qamaña (2021) Diálogo Andino, 65, pp. 321-331. , http://dx.doi.org/10.4067/S0719-26812021000200321; Muñoz, D., Ruiz, L. F., Mitchell, S., La traducción como medio para la conservación de las lenguas minoritarias (indígenas, ROM o gitana, criolla palenquera y raizal creol de San Andrés) en Colombia (2015) Mutatis Mutandis. Revista Latinoamericana de Traducción, 8, pp. 439-465. , https://revistas.udea.edu.co/index.php/mutatismutandis/article/view/24122; Ordorica, M., Rodríguez, C., Velázquez, B., Maldonado, I., El índice de reemplazo etnolingüístico entre la población indígena de México (2009) Desacatos, 29, pp. 123-140; (2003) La educación en un mundo plurilingüe; Ospina Bozzi, A. M., Mantenimiento y revitalización de lenguas nativas en Colombia. Reflexiones para el camino (2015) Forma y Función, 28, pp. 11-48; Otzen, T., Manterola, C., Técnicas de muestreo sobre una población a estudio (2017) International Journal of Morphology, 35, pp. 227-232; Pardo-Espejo, N., Rodríguez-Ochoa, D., Dallos-Reyes, Y., Prácticas educativas de los educadores piapoco en torno a la construcción de escenarios de paz en comunidades del departamento de Guainía en Colombia (2019) Información tecnológica, 30, pp. 203-212. , https://dx.doi.org/10.4067/S0718-07642019000500203; Paronyan, Hayk, Cuenca, Maritza, Educación intercultural bilingüe en Ecuador: retos principales para su perfeccionamiento y sostenibilidad (2018) Transformación, 14, pp. 310-326; Ramírez Poloche, N., La importancia de la tradición oral: El grupo Co-yaima - Colombia (2012) Revista Científica Guillermo de Ockham, 10, pp. 129-143. , https://www.redalyc.org/articulo.oa?id=1053/105325282011; Ramos Rivas, k., Situación actual del programa de enseñanza de lenguas indígenas del Ministerio de Educación Pública (2014) Revista Electrónica Educare, 18, pp. 203-219. , https://www.scielo.sa.cr/pdf/ree/v18n3/a12v18n3.pdf; (2016) Derechos de los pueblos indígenas, , Resolución 71/178 de 2016 [ONU]. 19 de diciembre de; (2019) Derechos de los pueblos indígenas, , Resolución 74/135 de 2019 [ONU]. 18 de diciembre de; Rodríguez, V., Duarte, C., Saberes ancestrales y prácticas tradicionales: embarazo, parto y puerperio en mujeres colla de la región de Atacama (2020) Diálogo Andino, 63, pp. 113-122. , https://doi.org/10.4067/S0719-26812020000300113; Rojas Curieux, T., Una mirada a los procesos en torno a la educación con los pueblos indígenas en Colombia Voces y Silencios (2019) Revista Latinoamericana de Educación, pp. 109-134; Strauss, A., Corbin, J., (2002) Bases de la investigación cualitativa. Técnicas y procedimientos para desarrollar la Teoría Fundamentada, , Universidad de Antioquia, Medellín; Villanueva-Gallardo, S., Territorios discursivos del pueblo mapuche-wi-lliche (2021) Diálogo Andino, 65, pp. 343-355. , http://dx.doi.org/10.4067/S0719-26812021000200343; Viveros-Márquez, J., Evaluación del enfoque intercultural bilingüe en educación primaria indígena: Estudio de caso en la región indígena Los Altos, Chiapas (2016) Revista Electrónica Educare, 20, pp. 1-26. , https://www.redalyc.org/articulo.oa?id=1941/194144435017</t>
  </si>
  <si>
    <t>Espejo, N.E.P.; Universidad Pedagógica y Tecnológica de ColombiaColombia; email: nelly.pardo@uptc.edu.co</t>
  </si>
  <si>
    <t>Universidad de Tarapaca</t>
  </si>
  <si>
    <t>2-s2.0-85137618493</t>
  </si>
  <si>
    <t>Calvo-Abaunza A.F., Rueda-Monsalbe A., González-Jiménez C., Gaviria-Arbelaez S.</t>
  </si>
  <si>
    <t>57226362284;57226350138;57878259900;57192404942;</t>
  </si>
  <si>
    <t>Sexual function and risky sexual behaviors in women who use cocaine [FUNCIÓN SEXUAL Y CONDUCTAS SEXUALES DE RIESGO EN MUJERES QUE USAN COCAÍNA]</t>
  </si>
  <si>
    <t>Health and Addictions / Salud y Drogas</t>
  </si>
  <si>
    <t>10.21134/haaj.v22i2.666</t>
  </si>
  <si>
    <t>https://www.scopus.com/inward/record.uri?eid=2-s2.0-85137392385&amp;doi=10.21134%2fhaaj.v22i2.666&amp;partnerID=40&amp;md5=2d1215172b48011476fd0f8654bed939</t>
  </si>
  <si>
    <t>Universidad CES, Medellín, Colombia; Hospital Universitario San Rafael de Tunja, Universidad Pedagógica y Tecnológica de Colombia, Tunja, Colombia; Magíster en Sexología Educativa y Sexología Clínica, Instituto Mexicano de Sexología A.C (IMESEX), Medellín, Colombia; Departamento de Psiquiatría, Universidad CES, Medellín, Colombia; Docente División de Bienestar Universitario, Universidad de Boyacá, Tunja, Colombia</t>
  </si>
  <si>
    <t>Calvo-Abaunza, A.F., Universidad CES, Medellín, Colombia, Docente División de Bienestar Universitario, Universidad de Boyacá, Tunja, Colombia; Rueda-Monsalbe, A., Hospital Universitario San Rafael de Tunja, Universidad Pedagógica y Tecnológica de Colombia, Tunja, Colombia; González-Jiménez, C., Magíster en Sexología Educativa y Sexología Clínica, Instituto Mexicano de Sexología A.C (IMESEX), Medellín, Colombia; Gaviria-Arbelaez, S., Departamento de Psiquiatría, Universidad CES, Medellín, Colombia</t>
  </si>
  <si>
    <t>Use of psychoactive substances is considered a public health problem that affects men and women daily. Over the years the use of cocaine in women has been increasing and given to its "enhancing" effects on sexual performance is not unusual for use within sexual intercourse, where women often develop substance use disorders, female sexual dysfunctions and risky sexual behaviors more quickly, placing them in a situation of significant vulnerability. The aim of this work was to review the literature linking cocaine use and the implications on sexual function and sexual behavior of women. The search showed 2005 papers that matched the search criteria that related these variables, however 66 papers was selected. Cocaine was found to have favorable and detrimental effects on women's sexual functioning, as well as a higher likelihood of being involved in risky sexual behaviors. Discussions are made on the need for greater appropriation since research and comprehensive assessments and interventions covering women's drug use and sexuality. © 2022 Instituto de Investigacion de Drogodependencias. All rights reserved.</t>
  </si>
  <si>
    <t>cocaine; Female Sexual dysfunction; psychosexual behavior; Risky Sexual Behavior; sexual intercourse; substance use disorders</t>
  </si>
  <si>
    <t>Bahamón Muñetón, M. J., Vianchá Pinzón, M. A., Tobos Vergara, A. R., Prácticas y conductas sexuales de riesgo en jóvenes: una perspectiva de género (2014) Psicología Desde El Caribe, 31 (2), pp. 327-353; Bellis, M. A., Hughes, K., Calafat, A., Juan, M., Ramon, A., Rodriguez, J. A., Mendes, F., Phillips-Howard, P., Sexual uses of alcohol and drugs and the associated health risks: A cross sectional study of young people in nine European cities (2008) BMC Public Health, 8, pp. 1-11. , https://doi.org/10.1186/1471-2458-8-155; Booth, R. E., Watters, J. K., Chitwood, D. D., HIV risk-related sex behaviors among injection drug users, crack smokers, and injection drug users who smoke crack (1993) American Journal of Public Health, 83 (8), pp. 1144-1148. , https://doi.org/10.2105/ajph.83.8.1144; Bruno, A., Scimeca, G., Marino, A. G., Mento, C., Micò, U., Romeo, V. M., Pandolfo, G., Muscatello, M. R. A., Drugs and Sexual Behavior (2012) Journal of Psychoactive Drugs, , https://doi.org/10.1080/02791072.2012.736801; Cain, M. A., Bornick, P., Whiteman, V., The maternal, fetal, and neonatal effects of cocaine exposure in pregnancy (2013) Clinical Obstetrics and Gynecology, 56 (1), pp. 124-132. , https://doi.org/10.1097/GRF.0b013e31827ae167; Chen, X., Grisham, W., Arnold, A. P., X chromosome number causes sex differences in gene expression in adult mouse striatum (2009) European Journal of Neuroscience, 29 (4), pp. 768-776. , https://doi.org/10.1111/j.1460-9568.2009.06610.x; Cocores, J. A., Miller, N. S., Pottash, A. C., Gold, M. S., Sexual dysfunction in abusers of cocaine and alcohol (1988) American Journal of Drug and Alcohol Abuse, , https://doi.org/10.3109/00952999809001544; De La Hoz, F. J. E., Prevalencia y caracterización de las disfunciones sexuales en mujeres, en 12 ciudades colombianas, 2009-2016 (2018) Revista Colombiana de Obstetricia y Ginecología, 69 (1), p. 9. , https://doi.org/10.18597/rcog.3035; Del Río, F. J., Cabello-Santamaría, F., Cabello-García, M. A., Aragón-Vela, J., Sexual Pain Disorders in Spanish Women Drug Users (2017) Substance Use and Misuse, , https://doi.org/10.1080/10826084.2016.1222625; Del Río Olvera, F.Javier, Cabello, M. A., Cabello-Santamaría, F., Consequences of drug use in female orgasm and sexual satisfaction in Spanish women (2020) Psychology &amp; Sexuality, pp. 1-11. , https://doi.org/10.1080/19419899.2020.1779117; Del Río Olvera, F J, Cabello Santamaría, F., (2014) Tiresias (types of sexual response and substance addiction), , Universidad de Almería; (2020) Encuesta Nacional de Consumo de Sustancias Psicoactivas-(ENCSPA) Resultados 2019, , https://www.dane.gov.co/files/investigaciones/boletines/encspa/presentacion-encspa-2019.pdf; Diehl, A., da Silva, R. L., Laranjeira, R., Female sexual dysfunction in patients with substance-related disorders (2013) Clinics, 68 (2), pp. 205-211. , https://doi.org/10.6061/clinics/2013(02)OA14; Diehl, A., Rassool, G. H., Dos Santos, M. A., Pillon, S. C., Laranjeira, R., Assessment of sexual dysfunction symptoms in female drug users: Standardized vs. unstandardized methods (2016) Substance Use and Misuse, , https://doi.org/10.3109/10826084.2015.1110175; Echeverry, M. C., Arango, A., Castro, B., Raigosa, G., Study of the prevalence of female sexual dysfunction in sexually active women 18 to 40 years of age in medellín, Colombia (2010) Journal of Sexual Medicine, 7 (8), pp. 2663-2669. , https://doi.org/10.1111/j.1743-6109.2009.01695.x; Edlin, B.R., Irwin, K.L., Faruque, S., Intersecting epidemics-crack cocaine use and HIV infection among innercity young adults (1994) The New England Journal of Medicine, 331, pp. 1422-1427; Evans, S. M., Foltin, R. W., Exogenous progesterone attenuates the subjective effects of smoked cocaine in women, but not in men (2006) Neuropsychopharmacology : Official Publication of the American College of Neuropsychopharmacology, 31 (3), pp. 659-674. , https://doi.org/10.1038/sj.npp.1300887; Evans, S. M., Haney, M., Foltin, R. W., The effects of smoked cocaine during the follicular and luteal phases of the menstrual cycle in women (2002) Psychopharmacology, 159 (4), pp. 397-406. , https://doi.org/10.1007/s00213-001-0944-7; Florence, E., Schrooten, W., Dreezen, C., Gordillo, V., Schönnesson, L., Asboe, D., Koitz, G., Colebunders, R., Prevalence and factors associated with sexual dysfunction among HIV-positive women in Europe (2004) AIDS Care - Psychological and Socio-Medical Aspects of AIDS/HIV, , https://doi.org/10.1080/09540120410001716333; Freeman, R. C., Collier, K., Parillo, K. M., Early life sexual abuse as a risk factor for crack cocaine use in a sample of community-recruited women at high risk for illicit drug use (2002) The American Journal of Drug and Alcohol Abuse, 28 (1), pp. 109-131. , https://doi.org/10.1081/ada-120001284; Fullilove, M. T., Lown, E. A., Fullilove, R. E., Crack 'Hos And Skeezers: Traumatic Experiences Of Women Crack Users (1992) The Journal of Sex Research, 29 (2), pp. 275-287. , https://doi.org/10.1080/00224499209551647; Fullilove, M. T., Golden, E., Fullilove, R. E., Lennon, R., Porterfield, D., Schwarcz, S., Bolan, G., Crack cocaine use and high-risk behaviors among sexually active black adolescents (1993) The Journal of Adolescent Health : Official Publication of the Society for Adolescent Medicine, 14 (4), pp. 295-300. , https://doi.org/10.1016/1054-139x(93)90177-q; Fullilove, R. E., Fullilove, M. T., Bowser, B. P., Gross, S. A., Risk of sexually transmitted disease among black adolescent crack users in Oakland and San Francisco, Calif (1990) JAMA, 263 (6), pp. 851-855; Garcia-Vega, E., Robledo, E. M., García, P. F., Izquierdo, M. C., Sexualidad, anticoncepción y conducta sexual de riesgo en adolescentes (2012) International Journal of Psychological Research, , https://doi.org/10.21500/20112084.764; Grove-Strawser, D., Boulware, M. I., Mermelstein, P. G., Membrane Estrogen Receptors Activate the Metabotropic Glutamate Receptors mGluR5 and mGluR3 to Bidirectionally Regulate CREB Phosphorylation in Female Rat Striatal Neurons (2010) Neuroscience, 170 (4), pp. 1045-1055. , https://doi.org/10.1016/j.neuroscience.2010.08.012.Membrane; Guarraci, F. A., Bolton, J. L., "Sexy stimulants": the interaction between psychomotor stimulants and sexual behavior in the female brain (2014) Pharmacology, Biochemistry, and Behavior, 121, pp. 53-61. , https://doi.org/10.1016/j.pbb.2013.11.006; Guimarães, R. A., de Castro, V. D. O. L., do Valle Leone de Oliveira, S. M., Stabile, A. C., Motta-Castro, A. R. C., Dos Santos Carneiro, M. A., Araujo, L. A., Teles, S. A., Gender differences in patterns of drug use and sexual risky behaviour among crack cocaine users in Central Brazil (2017) BMC Psychiatry, 17 (1), p. 412. , https://doi.org/10.1186/s12888-017-1569-7; Henderson, D. J., Boyd, C. J., Whitmarsh, J., Women and illicit drugs: Sexuality and crack cocaine (1995) Health Care for Women International, 16 (2), pp. 113-124. , https://doi.org/10.1080/07399339509516163; Hu, M., Becker, J. B., Effects of sex and estrogen on behavioral sensitization to cocaine in rats (2003) Journal of Neuroscience, 23 (2), pp. 693-699. , https://doi.org/10.1523/jneurosci.23-02-00693.2003; Johnson, M. W., Herrmann, E. S., Sweeney, M. M., LeComte, R. S., Johnson, P. S., Cocaine administration dose-dependently increases sexual desire and decreases condom use likelihood: The role of delay and probability discounting in connecting cocaine with HIV (2017) Psychopharmacology, 234 (4), pp. 599-612. , https://doi.org/10.1007/s00213-016-4493-5; Kaplan, H. I., Sadock, B. J., (2015) Synopsis of psychiatry: Behavioral sciences clinical psychiatry, , (11th ed). Williams &amp; Wilkins Co; Kohtz, A. S., Paris, J. J., Frye, C. A., Low doses of cocaine decrease, and high doses increase, anxiety-like behavior and brain progestogen levels among intact rats (2010) Hormones and Behavior, , https://doi.org/10.1016/j.yhbeh.2010.02.005; Kopetz, C. E., Reynolds, E. K., Hart, C. L., Kruglanski, A. W., Lejuez, C. W., Social context and perceived effects of drugs on sexual behavior among individuals who use both heroin and cocaine (2010) Experimental and Clinical Psychopharmacology, 18 (3), pp. 214-220. , https://doi.org/10.1037/a0019635; Lawn, W., Aldridge, A., Xia, R., Winstock, A. R., Substance-Linked Sex in Heterosexual, Homosexual, and Bisexual Men and Women: An Online, Cross-Sectional "Global Drug Survey" Report (2019) Journal of Sexual Medicine, 16 (5), pp. 721-732. , https://doi.org/10.1016/j.jsxm.2019.02.018; Leal-Díaz, C., Soto-Valenzuela, A., Papazoglou-Cifuentes, E., Muñoz-Pareja, M., Prevalencia de antecedentes sexuales de riesgo en mujeres privadas de libertad. Análisis exploratorio de factores asociados a comportamientos de alto riesgo (2018) Revista Colombiana de Obstetricia y Ginecología, , https://doi.org/10.18597/rcog.3019; Lejuez, C. W., Bornovalova, M. A., Reynolds, E. K., Daughters, S. B., Curtin, J. J., Risk factors in the relationship between gender and crack/cocaine (2007) Experimental and Clinical Psychopharmacology, 15 (2), pp. 165-175. , https://doi.org/10.1037/1064-1297.15.2.165; Macdonald, P. T., Waldorf, D., Reinarman, C., Murphy, S., Heavy Cocaine Use and Sexual Behavior (1988) Journal of Drug Issues, 18 (3), pp. 437-455. , https://doi.org/10.1177/002204268801800309; Maranda, M. J., Han, C., Rainone, G. A., Crack cocaine and sex (2004) Journal of Psychoactive Drugs, 36 (3), pp. 315-322. , https://doi.org/10.1080/02791072.2004.10400032; Martinez, L. A., Gross, K. S., Himmler, B. T., Emmitt, N. L., Peterson, B. M., Zlebnik, N. E., Foster Olive, M., Mermelstein, P. G., Estradiol Facilitation of Cocaine Self-Administration in Female Rats Requires Activation of mGluR5 (2016) ENeuro, 3 (5). , https://doi.org/10.1523/ENEURO.0140-16.2016; McCance-Katz, E. F., Hart, C. L., Boyarsky, B., Kosten, T., Jatlow, P., Gender effects following repeated administration of cocaine and alcohol in humans (2005) Substance Use and Misuse, 40 (4), pp. 511-528. , https://doi.org/10.1081/JA-200030693; Mello, N. K., Mendelson, J. H., Drieze, J. O. H. N., Kelly, M. A. U. R. E. E. N., Acute effects of cocaine on prolactin and gonadotropins in female rhesus monkey during the follicular phase of the menstrual cycle (1990) J Pharmacol Exp Ther, 254 (3), pp. 815-823; Mermelstein, P. G., Backer, J. B., Surmeier, D. J., Estradiol reduces calcium currents in rat neostriatal neurons via a membrane receptor (1996) Journal of Neuroscience, 16 (2), pp. 595-604. , https://doi.org/10.1523/jneurosci.16-02-00595.1996; Mollaioli, D., Ciocca, G., Limoncin, E., Di Sante, S., Gravina, G. L., Carosa, E., Lenzi, A., Jannini, E. A. F., Lifestyles and sexuality in men and women: The gender perspective in sexual medicine (2020) Reproductive Biology and Endocrinology, , https://doi.org/10.1186/s12958-019-0557-9; Najman, J. M., Dunne, M. P., Purdie, D. M., Boyle, F. M., Coxeter, P. D., Sexual abuse in childhood and sexual dysfunction in adulthood: An Australian population-based study (2005) Archives of Sexual Behavior, 34 (5), pp. 517-526. , https://doi.org/10.1007/s10508-005-6277-6; Informe sobre Uso de Drogas en las Américas (2019), http://cicad.oas.org/Main/ssMain/HTMLREPORTDRUG2019/mobile/index.html, Inter-American Drug Abuse Control Commission; Osorio, J. H., Implicaciones metabólicas del consumo de opiáceos durante el embarazo: revisión cualitativa de la literatura (2009) Revista Colombiana de Obstetricia y Ginecología, , https://doi.org/10.18597/rcog.317; Palha, A., Esteves, M., Drugs of abuse and sexual functioning (2008) Advances in Psychosomatic Medicine, 29, pp. 131-149. , https://doi.org/10.1159/000126628; Peterson, B. M., Mermelstein, P. G., Meisel, R. L., Estradiol mediates dendritic spine plasticity in the nucleus accumbens core through activation of mGluR5 (2015) Physiology &amp; Behavior, 220 (4), pp. 2415-2422. , https://doi.org/10.1007/s00429-014-0794-9.Estradiol; Pfaus, J. G., Wilkins, M. F., DiPietro, N., Benibgui, M., Toledano, R., Rowe, A., Couch, M. C., Inhibitory and disinhibitory effects of psychomotor stimulants and depressants on the sexual behavior of male and female rats (2010) Hormones and Behavior, 58 (1), pp. 163-176. , https://doi.org/10.1016/j.yhbeh.2009.10.004; Quiñones-Jenab, V., Ho, A., Schlussman, S. D., Franck, J., Kreek, M. J., Estrous cycle differences in cocaine-induced stereotypic and locomotor behaviors in Fischer rats (1999) Behavioural Brain Research, 101 (1), pp. 15-20. , https://doi.org/10.1016/S0166-4328(98)00073-4; Quinones-Jenab, V., Jenab, S., Influence of sex differences and gonadal hormones on cocaine addiction (2012) ILAR Journal / National Research Council, Institute of Laboratory Animal Resources, 53 (1), pp. 14-22. , https://doi.org/10.1093/ilar.53.1.14; Ramage, M., Female sexual dysfunction (2004) Psychiatry, , https://doi.org/10.1383/psyt.3.2.16.30310; Rawson, R. A., Washton, A., Domier, C. P., Reiber, C., Drugs and sexual effects: role of drug type and gender (2002) Journal of Substance Abuse Treatment, 22 (2), pp. 103-108. , https://doi.org/10.1016/s0740-5472(01)00215-x; Rosenblum, O., Toxicomanie: un pont entre la sexualité et le désir d'enfant (2006) Gynecologie Obstetrique et Fertilite, 34 (10), pp. 990-993. , https://doi.org/10.1016/j.gyobfe.2006.07.031; Roth, M. E., Carroll, M. E., Sex differences in the escalation of intravenous cocaine intake following long- or short-access to cocaine self-administration (2004) Pharmacology Biochemistry and Behavior, 78 (2), pp. 199-207. , https://doi.org/10.1016/j.pbb.2004.03.018; Shibley, J., DeLamater, J., (2006) Sexualidad Humana, , McGraw-Hill; Shirmohammadi, M., Kohan, S., Shamsi-Gooshki, E., Shahriari, M., Ethical considerations in sexual health research: A narrative review (2018) Iranian Journal of Nursing and Midwifery Research, , https://doi.org/10.4103/ijnmr.IJNMR_60_17; Siegel, R. K., Cocaine and sexual dysfunction: The curse of mama coca (1982) Journal of Psychoactive Drugs, 14 (1- 2), pp. 71-74. , https://doi.org/10.1080/02791072.1982.10471912; Smith, D. E., Moser, C., Wesson, D. R., Apter, M., Buxton, M. E., Davison, J. V., Orgel, M., Buffum, J., A clinical guide to the diagnosis and treatment of heroin-related sexual dysfunction (1982) Journal of Psychoactive Drugs, , https://doi.org/10.1080/02791072.1982.10471916; Smith, D. E., Wesson, D. R., Apter-Marsh, M., Cocaine- and alcohol-induced sexual dysfunction in patients with addictive disease (1984) Journal of Psychoactive Drugs, 16 (4), pp. 359-361. , https://doi.org/10.1080/02791072.1984.10472306; Smyth, N. J., Kost, K. A., Exploring the Nature of the Relationship Between Poverty and Substance Abuse Nancy (1998) Journal of Human Behavior in the Social Enviroment, 1 (1), pp. 67-82. , https://doi.org/10.1300/J137v01n01; Sofuoglu, M., Dudish-Poulsen, S., Nelson, D., Pentel, P. R., Hatsukami, D. K., Sex and menstrual cycle differences in the subjective effects from smoked cocaine in humans (1999) Experimental and Clinical Psychopharmacology, 7 (3), pp. 274-283. , https://doi.org/10.1037//1064-1297.7.3.274; Ulibarri, M. D., Strathdee, S. A., Patterson, T. L., Sexual and drug use behaviors associated with HIV and other sexually transmitted infections among female sex workers in the Mexico-US border region (2010) Current Opinion in Psychiatry, 23 (3), pp. 215-220. , https://doi.org/10.1097/YCO.0b013e32833864d5; (2016) World Drug Report, , United Nations publication; Drug Use and Health Consequences (2020) World Drug Report, , United Nations publication; Vervaeck, L., Quelques aspects medicaux et psychologiques de Ia cocainomanie (1923) Le Scalpel, 76 (744); Volkow, N. D., Wang, G.-J., Fowler, J. S., Telang, F., Jayne, M., Wong, C., Stimulant-induced enhanced sexual desire as a potential contributing factor in HIV transmission (2007) The American Journal of Psychiatry, 164 (1), pp. 157-160. , https://doi.org/10.1176/ajp.2007.164.1.157; Washton, A. M., Cocaine abuse and compulsive sexuality (1989) Medical Aspects of Human Sexuality, pp. 32-40; Weatherby, N. L., Needle, R., Cesari, H., Booth, R., McCoy, C. B., Watters, J. K., Williams, M., Chitwood, D. D., Validity of self-reported drug use among injection drug users and crack cocaine users recruited through street outreach (1994) Evaluation and Program Planning, 17 (4), pp. 347-355. , https://doi.org/10.1016/0149-7189(94)90035-3; Weatherby, N. L., Shultz, J. M., Chitwood, D. D., Virginia McCoy, H., McCoy, C. B., Ludwig, D. D., Edlin, B. R., Crack cocaine use and sexual activity in Miami, Florida (1992) Journal of Psychoactive Drugs, 24 (4), pp. 373-380. , https://doi.org/10.1080/02791072.1992.10471661; Wendell, A. D., Overview and epidemiology of substance abuse in pregnancy (2013) Clinical Obstetrics and Gyneco logy, 56 (1), pp. 91-96. , https://doi.org/10.1097/GRF.0b013e31827feeb9; Wesson, D. R., Cocaine use by masseuses (1982) Journal of Psychoactive Drugs, 14 (1-2), pp. 75-76. , https://doi.org/10.1080/02791072.1982.10471913; Wesson, D. R., Cocaine use by masseuses (1982) Journal of Psychoactive Drugs, , https://doi.org/10.1080/02791072.1982.10471913; Wilsnack, S. C., Vogeltanz, N. D., Klassen, A. D., Harris, T. R., Childhood sexual abuse and women's substance abuse: National survey findings (1997) Journal of Studies on Alcohol, 58 (3), pp. 264-271. , https://doi.org/10.15288/jsa.1997.58.264; Worly, B., Gopal, M., Arya, L., Sexual dysfunction among women of low-income status in an urban setting (2010) International Journal of Gynecology and Obstetrics, 111 (3), pp. 241-244. , https://doi.org/10.1016/j.ijgo.2010.06.019; Zaazaa, A., Bella, A. J., Shamloul, R., Drug Addiction and Sexual Dysfunction (2013) Endocrinology and Metabolism Clinics of North America, , https://doi.org/10.1016/j.ecl.2013.06.003</t>
  </si>
  <si>
    <t>Calvo-Abaunza, A.F.; Universidad CESColombia; email: calvo.andres@uces.edu.co</t>
  </si>
  <si>
    <t>Instituto de Investigacion de Drogodependencias</t>
  </si>
  <si>
    <t>Health addict. Salud Drogas</t>
  </si>
  <si>
    <t>2-s2.0-85137392385</t>
  </si>
  <si>
    <t>Holgado F.H., Murillo Fragero J.I., Talaverano R.M., Laforet J.M.S.</t>
  </si>
  <si>
    <t>57219437409;56549603200;54421192700;57877839800;</t>
  </si>
  <si>
    <t>Prison of Ventas Basements: from a model prison of women to a victim of “Desarrollismo”. Material and Intangible Characterization of the Preserved Structures [Los sótanos de la prisión de Ventas: de prisión modelo para mujeres a víctima del Desarrollismo. Caracterización material e inmaterial de las estructuras conservadas]</t>
  </si>
  <si>
    <t>Vegueta</t>
  </si>
  <si>
    <t>10.51349/veg.2022.2.12</t>
  </si>
  <si>
    <t>https://www.scopus.com/inward/record.uri?eid=2-s2.0-85137383483&amp;doi=10.51349%2fveg.2022.2.12&amp;partnerID=40&amp;md5=01db7238e371d418eb10a38708221645</t>
  </si>
  <si>
    <t>Universidad Complutense de Madrid, Spain; Urbe pro Orbe Patrimonio Cultural, S.L., Spain; Universidad del País Vasco - Euskal Herriko Unibertsitatea, Spain; Universidad Politécnica de Madrid, Spain</t>
  </si>
  <si>
    <t>Holgado, F.H., Universidad Complutense de Madrid, Spain; Murillo Fragero, J.I., Urbe pro Orbe Patrimonio Cultural, S.L., Spain; Talaverano, R.M., Universidad del País Vasco - Euskal Herriko Unibertsitatea, Spain; Laforet, J.M.S., Universidad Politécnica de Madrid, Spain</t>
  </si>
  <si>
    <t>The Second Republic’s innovative reformatory project for the penitentiary required purpose-built buildings, such as the new Ventas women’s prison (1933). However, the subsequent decline of Republicanism as well as the post-war phase of Francoist incarceration essentially turned Ventas into a repressive space. Even during late Francoism, the capital’s policies of “Desarrollismo” proceeded to dismantle the building, transforming it into a residential complex. However, its early seventies’ destruction has not prevented us from knowing its design in detail: thanks to the Archaeology of Architecture, we now know that parts of its basements have been preserved even to this very day. © 2022 University of Las Palmas de Gran Canaria, Faculty of Geography and History. All rights reserved.</t>
  </si>
  <si>
    <t>Arqueology of Architecture; Female Incarceration; Francoism; Penitentiary Research; Second Republic; Sites of Memory</t>
  </si>
  <si>
    <t>MAURA, L. I., (2020) Mi cárcel, , áLVAREZ DE TOLEDO y Editorial Renacimiento, Sevilla; AZAñA, M., (1976) Memorias políticas y de guerra, Volumen II: año 1932, , Ediciones Río Saja, Madrid; BJöRNSEN DE WEDEL, H., (1941) Cárcel de Ventas, , Aguilar, Madrid; BOLAñOS GINER, L., Tenga usted en cuenta que una presa política no es una prostituta. Un acercamiento a la convivencia entre prostitutas y presas políticas en las cárceles franquistas (2020) Actas del XII congreso virtual sobre historia de las mujeres, pp. 107-125. , en M. CABRERA ESPINOSA y J.A. LóPEZ CORDERO (eds), archivo histórico diocesano de Jaén, Jaén; BORRáS, T., (1971) Ramiro Ledesma Ramos, , Editora Nacional, Madrid; BUENO AGUADO, M., Mantener la identidad luchando y escribiendo. Prensa manuscrita en la cárcel de ventas (1946-1947) (2017) Hispania nova. Revista de historia contemporánea, 15, pp. 147-171. , https://e-revistas.uc3m.es/index.php/hispnov/article/view/3484/2120, [consulta: 26-05-2022]; BUENO AGUADO, M., Debemos aprovechar nuestro cautiverio”. Formación en reclusión: un acercamiento al caso de las presas comunistas en la cárcel de ventas (2019) Vegueta. Anuario de la Facultad de Geografía e Historia, 19, pp. 51-71. , https://doi.org/10.20318/hn.2017.3484; CABALLERO ZOREDA, L., Experiencia metodológica en arqueología de la arquitectura de un grupo de investigación. Instituto de Historia. CSIC. Madrid (2010) Arqueología aplicada al estudio e intervención de edificios históricos, pp. 103-120. , en C. MARTíN MORALES; E. DE VEGA (coords), Últimas tendencias metodológicas, Ministerio de Cultura, Madrid; CAMBA, F., (1940) Madridgrado. Documental film, , Ediciones Españolas, Madrid; CANALES, L., (2007) Alias Lola. Historia de las últimas presas políticas de la cárcel de ventas, , Temas de Hoy, Madrid; CAPEL, H., (1977) Capitalismo y morfología urbana en España, , 2ª ed., José Batlló, Barcelona; CASTILLO, F., (2016) Los años de madridgrado, , Fórcola Ediciones, Madrid; CERVERA, J., (1999) Madrid en guerra. La ciudad clandestina, 1936-1939, , Alianza Editorial, Madrid; (1976) Sobre el plan especial avenida de la paz, , COAM (Colegio Oficial de Arquitectos de Madrid) COAM, Madrid; CUEVAS GUTIéRREZ, T., (2004) Testimonios de mujeres en las cárceles franquistas, , Instituto de Estudios Altoaragoneses, Huesca; DAPENA, F., (1978) ¡Sr. juez! (soy presa de Franco), , L. HARAMBURU (ed), San Sebastián; DE CORA, M., (1984) Retaguardia enemiga, , Altalena Editores, Madrid; DE FIGUEROA, A., (1939) Memorias del recluso Figueroa, , Librería General, Zaragoza; DE IZAGA, A., (1939) Los presos de Madrid. Recuerdos e impresiones de un cautivo en la España roja, , Imprenta Martosa, Madrid; DI FEBO, G., (1979) Resistencia y movimiento de mujeres en España (1936-1976), , Icaria, Barcelona; DOñA, J., (1978) Desde la noche y la niebla (mujeres en las cárceles franquistas), , Novelatestimonio, Ediciones de la Torre, Madrid; EGIDO LEóN, A., Condenada a muerte: Nieves Torres, 16 años en las cárceles de Franco (2012) Mujer y política en la España contemporánea (1868-1936), pp. 223-242. , en C. MARCOS DEL OLMO y R. SERRANO GARCíA (coords), Universidad de Valladolid, Valladolid; EGIDO LEóN, A., (2017) Cárceles de mujeres. La prisión femenina en la posguerra, , (ed) Sanz y Torres, Madrid; ESPINOSO FERNáNDEZ, M.I., HEREDERO CUENCA, M.I., La teoría política de Victoria Kent (1989) Mujeres y hombres en la formación del pensamiento occidental, Actas de las VII jornadas de investigación interdisciplinar, I, pp. 329-340. , en Ediciones de la Universidad Autónoma de Madrid, Madrid; GARCíA, C., (1982) Las cárceles de Soledad Real, una vida, , Alfaguara, Madrid; GARGALLO VAAMONDE, L., (2011) El sistema penitenciario de la Segunda República. Antes y después de Victoria Kent (1931-1936), , Ministerio del Interior, Secretaría General Técnica, Madrid; GARGALLO VAAMONDE, L., (2016) Desarrollo y destrucción del sistema liberal de prisiones en España. De la restauración a la guerra civil, , Ediciones de la Universidad de Castilla-La Mancha, Cuenca; GIBSON, I., (1983) Paracuellos: cómo fue, , 3ª ed., Argos Vergara, Barcelona; GIL RONCALES, J., (2007) Vivir en las cárceles de Franco. Testimonio de una presa política, , Institut Universitari d’Estudis de la Dona-Universitat de València, València; FONSECA, C., (2004) Trece rosas rojas, , Temas de Hoy, Madrid; GUTIéRREZ VEGA, Z., (2001) Victoria Kent: una vida al servicio del humanismo liberal, , Servicio de Publicaciones de la Universidad de Málaga, Málaga; HEREDIA URZáIZ, I., Delitos políticos y orden social (2005) Historia de la cárcel de Torrero (1928-1939), , Mira Editores, Zaragoza; HERNáNDEZ HOLGADO, F., (2003) Mujeres encarceladas. La prisión de Ventas: de la república al franquismo, 1931-1941, , Marcial Pons, Madrid; HERNáNDEZ HOLGADO, F., Manolita del Arco Palacio (1920-2006). Reseña biográfica, bibliografía y testimonios seleccionados (2006) Hispania Nova. Revista de Historia contemporánea, 6. , http://hispanianova.rediris.es/6/dossier/6d005.pdf; HERNáNDEZ HOLGADO, F., (2011) La prisión militante. Las cárceles franquistas de mujeres de Barcelona y Madrid (1939-1945), , https://eprints.ucm.es/id/eprint/13798/, tesis doctoral, Universidad Complutense de Madrid, Madrid; HERNáNDEZ HOLGADO, F., Juana Doña y el manantial de la memoria. Memorias de las cárceles franquistas de mujeres (1978-2007) (2015) Arenal. Revista de historia de las mujeres, 22 (2), pp. 283-309. , https://doi.org/10.30827/arenal.v22i2.2386; HERNáNDEZ HOLGADO, F., Cárceles de mujeres. La prisión femenina en la posguerra (2017) Cárceles de mujeres. La prisión femenina en la posguerra, pp. 223-271. , en A. EGIDO LEóN (ed): Sanz y Torres, Madrid; HERNáNDEZ HOLGADO, F., Carceldeventas.madrid.es: historia de una prisión de mujeres (2018) Nuestra Historia: Revista de Historia de la Fim, 5, pp. 177-183. , https://revistanuestrahistoria.files.wordpress.com/2018/07/nh5_fhernandezholgado.pdf; HERNáNDEZ HOLGADO, F., Memoria pública y digital sobre dos cárceles femeninas del franquismo (2020) Historia y Memoria, 21, pp. 173-197. , https://revistas.uptc.edu.co/index.php/historia_memoria/article/view/9868; HERNáNDEZ HOLGADO, F., MONTERO APARICIO, T., (2020) Morir en Madrid (1939-1944). Las ejecuciones masivas del franquismo en la capital, , (eds) Machado Libros, Madrid; KENT SIANO, V., Victoria Kent: una experiencia penitenciaria (1976) Tiempo de Historia, 17, pp. 5-10; KENT SIANO, V., Las reformas del sistema penitenciario durante la II República (1978) Historia, 16, pp. 101-112. , extra VII; JARAIZ FRANCO, P., (1983) Historia de una disidencia, , Planeta, Barcelona; LARA GARCíA, M. P., Cárcel en las inmediaciones de Carranque en Málaga (1927-2004); y posterior creación de la barriada del mismo nombre (2004) Isla de Arriarán, 23-24, pp. 357-380; LóPEZ DE LUCIO, R., ARDURA, A., BATALLER, J. J., TEJERA, J., (2017) Madrid, 1900-2010. Guía de urbanismo y diseño urbano, , Ayuntamiento de Madrid, Madrid; MACSUTOVICI IGNAT, A., Mujeres en las cárceles franquistas: la práctica de la escritura y lectura en la obra de Tomasa Cuevas y Juana Doña (2019) Vegueta. Anuario de la Facultad de Geografía e Historia, 19, pp. 285-306; MAINER, J. C., De Madrid a Madridgrado (1936-1939); la capital vista por sus sitiadores (1998) Vencer no es convencer. Literatura e ideología del fascismo español, pp. 181-198. , en A. MECHTHILD (ed), Vervuert Iberoamericana, Madrid; MANGINI, SH., (1997) Recuerdos de la resistencia. La voz de las mujeres de la guerra civil española, , Península, Barcelona; (1938) Prisionera del Soviet, , MAROLA Editorial Española, San Sebastián; MARTORELL, M., JULIá, S., (2014) Manual de historia política y social de España (1808-2011), , UNED, Barcelona; MARTíN, R., Victoria Kent al frente de las prisiones españolas (1931-1932) (2020) El sistema penitenciario en los inicios de la Segunda República, , MATA Y Marcial Pons, Madrid; MEDIO, D., (1996) Celda común, , Ediciones Nobel, Oviedo; MILLáN ASTRAY, P., (1940) Cautivas. 32 meses en las prisiones rojas, , Ed. Saturnino Calleja, San Sebastián; NúñEZ DíAZ-BALART, M., (2003) Mujeres caídas. Prostitutas legales y clandestinas en el franquismo, , Oberón, Madrid; NúñEZ IZQUIERDO, S., Manuel Sainz de Vicuña Camino, trayectoria y obra de un arquitecto (2017) Norba. Revista de Arte, 37, pp. 229-259; NúñEZ TARGA, M., (1967) Cárcel de Ventas, , Editions de la Librarie du Globe, Paris; ORGANERO MERINO, A., (2021) La prisión de Ocaña: de la restauración a la guerra civil, , tesis doctoral, dirigida por Pedro Oliver Olmo, Universidad de Castilla-La Mancha; OSBORNE, R., La sexualidad como frontera entre presas políticas y presas comunes bajo los nazis y el franquismo (2009) Política y Sociedad, 46 (1-2), pp. 57-77; (1940) La obra de la redención de penas: la doctrina, la práctica, la legislación, , memoria, Madrid; (1941) La obra de la redención de penas: la doctrina, la práctica, la legislación, , memoria, Madrid; (1945) La obra de la redención de penas: la doctrina, la práctica, la legislación, , memoria, Madrid; (1951) La obra de la redención de penas: la doctrina, la práctica, la legislación, , memoria, Madrid; DEL POZO ANDRéS, M.M., Justa Freire o la pasión de educar (2013) Biografía de una maestra atrapada en la historia de España (1896-1965), , Octaedro, Barcelona; (1944) Anuario estadístico de España 1945-46, , edición completa, Sucs. de Rivadeneyra, Madrid; (1946) Anuario estadístico de España 1965-1966, , edición completa, Sucs. de rivadeneyra, Madrid; (1966) Anuario estadístico de España 1965-1966, , edición completa, Sucs. de Rivadeneyra, Madrid; QUEIPO DE LLANO, R., (1939) De la cheka de Atadell a la prisión de Alacuás. Impresiones, estampas y...recuerdos de los rojos, , Librería Santarén, Valladolid; RUIZ, J., (2012) El terror rojo, , Madrid, 1936, Espasa, Barcelona; SAMBRICIO, C., (2004) Madrid, vivienda y urbanismo: 1900-1960, , Ediciones Akal, Madrid; SOLá-MORALES, M., (1997) Las formas del crecimiento urbano, , Ediciones UPC, Barcelona; SUBIRATS PIñANA, J., POY FRANCO, P., (2006) Les Oblates, 1939-1941, , Presó de dones de Tarragona, Cossetània Edicions, Valls; TELO NúñEZ, M., (1995) Concepción Arenal y Victoria Kent: las prisiones, vida y obra, , Instituto de la Mujer, Madrid; TERáN, F., (1978) Planeamiento urbano en la España contemporánea. Historia de un proceso imposible, , Editorial Gustavo Gili, Barcelona; TERáN, F., (1992), Madrid, Editorial Mapfre, Madrid; VINYES RIBAS, R., (2002) Irredentas. Las presas políticas y sus hijos en las cárceles franquistas, , Temas de Hoy, Madrid; VINYES RIBAS, R., (2004) El daño y la memoria. Las prisiones de María Salvo, , Plaza &amp; Janés, Barcelona</t>
  </si>
  <si>
    <t>Holgado, F.H.; Universidad Complutense de MadridSpain; email: fernaher@ucm.es</t>
  </si>
  <si>
    <t>University of Las Palmas de Gran Canaria, Faculty of Geography and History</t>
  </si>
  <si>
    <t>2-s2.0-85137383483</t>
  </si>
  <si>
    <t>Rico-Sulayes A., Monsalve-Pulido J.</t>
  </si>
  <si>
    <t>51462128400;57147859400;</t>
  </si>
  <si>
    <t>A Proposal and Comparison of Supervised and Unsupervised Classification Techniques for Sentiment Analysis in Tourism Data</t>
  </si>
  <si>
    <t>CEUR Workshop Proceedings</t>
  </si>
  <si>
    <t>https://www.scopus.com/inward/record.uri?eid=2-s2.0-85137373077&amp;partnerID=40&amp;md5=60d4d24745e1407e72629e525faaf294</t>
  </si>
  <si>
    <t>Universidad de las Américas Puebla México, Mexico; Universidad Pedagógica y Tecnológica de Colombia, Colombia</t>
  </si>
  <si>
    <t>Rico-Sulayes, A., Universidad de las Américas Puebla México, Mexico; Monsalve-Pulido, J., Universidad Pedagógica y Tecnológica de Colombia, Colombia</t>
  </si>
  <si>
    <t>In recent years, the growth of digital communication has influenced, sometimes significantly, the way many industries and businesses evaluate and attempt to improve their performance. The tourism sector is not an exception to this trend. Social networks and travel planners have become main sources of data for sentiment analysis and prediction in this industry. Within the context of an international competition targeting these tasks with Spanish data, Rest-Mex 2022, we have implemented and compared techniques from two very different approaches, supervised and unsupervised learning. In our comparison, the latter has been proven better, but more importantly, the exercise has helped us identify specific areas in which the latter, much less commonly used, can be improved. © 2022 Copyright for this paper by its authors. Use permitted under Creative Commons License Attribution 4.0 International (CC BY 4.0).</t>
  </si>
  <si>
    <t>Senticnet; Sentiment Analysis; Tourism</t>
  </si>
  <si>
    <t>Artificial intelligence; Competition; Digital communication systems; Classification technique; Digital communications; International competitions; Performance; Senticnet; Sentiment analysis; Specific areas; Supervised and unsupervised classification; Supervised and unsupervised learning; Tourism sectors; Sentiment analysis</t>
  </si>
  <si>
    <t>Cambria, E., Hussain, A., (2012) Sentic computing, marketing, 59, pp. 557-577; Susanto, Y., Livingstone, A. G., Ng, B. C., Cambria, E., The hourglass model revisited (2020) IEEE Intelligent Systems, 35, pp. 96-102. , https://doi.org/10.1109/MIS.2020.2992799; Salazar, C., Aguilar, J., Monsalve-Pulido, J., Montoya, E., Análisis de sentimientos/polaridad en diferentes tipos de documentos (2021) Revista Ibérica de Sistemas e Tecnologias de Informação, E41, pp. 344-357; Minsky, M., (2007) The emotion machine: Commonsense thinking, artificial intelligence, and the future of the human mind, , Simon and Schuster; Mirzaalian, F., Halpenny, E., Social media analytics in hospitality and tourism (2019) Journal of Hospitality and Tourism Technology, , https://doi.org/10.1108/JHTT-08-2018-0078; Padmaja, N., Sudha, T., A systematic review of application of big data analytics in tourism sector (2019) Journal of Computational and Theoretical Nanoscience, 16, pp. 1832-1838. , https://doi.org/10.1166/jctn.2019.8107; Álvarez-Carmona, M. Á., Aranda, R., Rodríguez-González, A. Y., Pellegrin, L., Carlos, H., Classifying the mexican epidemiological semaphore colour from the covid-19 text spanish news (2022) Journal of Information Science, , https://doi.org/10.1177/01655515221100952; Álvarez-Carmona, M. Á., Díaz-Pacheco, Á., Aranda, R., Rodríguez-González, A. Y., Fajardo-Delgado, D., Guerrero-Rodríguez, R., Bustio-Martínez, L., Overview of rest-mex at iberlef 2022: Recommendation system, sentiment analysis and covid semaphore prediction for mexican tourist texts (2022) Procesamiento del Lenguaje Natural, 69; Álvarez-Carmona, M. Á., Aranda, R., Arce-Cárdenas, S., Fajardo-Delgado, D., Guerrero-Rodríguez, R., López-Monroy, A. P., Martínez-Miranda, J., Rodríguez-González, A., Overview of rest-mex at iberlef 2021: Recommendation system for text mexican tourism (2021) Procesamiento del Lenguaje Natural, 67. , https://doi.org/10.26342/2021-67-14; Álvarez-Carmona, M. A., Aranda, R., Guerrero-Rodrıguez, R., Rodrıguez-González, A. Y., López-Monroy, A. P., A combination of sentiment analysis systems for the study of online travel reviews: Many heads are better than one (2022) Computación y Sistemas, 26. , https://doi.org/10.13053/CyS-26-2-4055; Guerrero-Rodriguez, R., Álvarez-Carmona, M. Á., Aranda, R., López-Monroy, A. P., Studying online travel reviews related to tourist attractions using nlp methods: the case of guanajuato, mexico (2021) Current Issues in Tourism, pp. 1-16. , https://doi.org/10.1080/13683500.2021.2007227; Rico-Sulayes, A., Reducing vector space dimensionality in automatic classification for authorship attribution (2017) Revista Científica de Ingeniería Electrónica, Automática y Comunicaciones, 38, pp. 26-35; Cervantes Méndez, C. A., Rico-Sulayes, A., Sing a high-level feature annotated corpus for speaker recognition: A mixed approach with text classification techniques, Entorno UDLAP (2021) Revista de conocimiento e Innovación, 13, pp. 50-61; Torres, M. J. D., Sulayes, A. R., Detection of bot accounts in a twitter corpus: Author profiling of social media users as human vs. nonhuman (2021) Lengua y Habla, 25, pp. 76-86; Rico-Sulayes, A., (2018) Authorship Attribution on Crime-Related Social Media: Research on the darknet in forensic linguistics, , Aracne; Cambria, E., Poria, S., Hazarika, D., Kwok, K., Senticnet 5: Discovering conceptual primitives for sentiment analysis by means of context embeddings (2018) Proceedings of the AAAI conference on artificial intelligence</t>
  </si>
  <si>
    <t>Montes-y-Gomez M.Gonzalo J.Rangel F.Casavantes M.Alvarez-Carmona M.A.Bel-Enguix G.Escalante H.J.Freitas L.Miranda-Escalada A.Rodriguez-Sanchez F.Rosa A.Sobrevilla-Cabezudo M.A.Taule M.Valencia-Garcia R.</t>
  </si>
  <si>
    <t>CEUR-WS</t>
  </si>
  <si>
    <t>2022 Iberian Languages Evaluation Forum, IberLEF 2022</t>
  </si>
  <si>
    <t>20 September 2022</t>
  </si>
  <si>
    <t>CEUR Workshop Proc.</t>
  </si>
  <si>
    <t>2-s2.0-85137373077</t>
  </si>
  <si>
    <t>Ruiz D.M., Pasquale G.A., Martínez J.J., Romanelli G.P.</t>
  </si>
  <si>
    <t>15833127100;22433632500;7404312604;7005511248;</t>
  </si>
  <si>
    <t>Green Processing and Synthesis</t>
  </si>
  <si>
    <t>https://www.scopus.com/inward/record.uri?eid=2-s2.0-85136886111&amp;doi=10.1515%2fgps-2022-0068&amp;partnerID=40&amp;md5=a1560eb68024d4b6c955f379a709e9ce</t>
  </si>
  <si>
    <t>Cisav, Cátedra de Química Orgánica, Facultad de Ciencias Agrarias y Forestales, Universidad Nacional de la Plata, Calles 60 y 119 s/n, La Plata, B1904AAN, Argentina; Centro de Investigación y Desarrollo en Ciencias Aplicadas "dr. Jorge J. Ronco", CINDECA-CCT la Plata-CONICET, Universidad Nacional de la Plata, Calle 47 No 257, La Plata, B1900AJK, Argentina; Escuela de Ciencias Químicas, Facultad de Ciencias, Universidad Pedagógica y Tecnológica de Colombia Uptc, Avenida Central del Norte, Vía Paipa, Boyacá, Tunja, Colombia</t>
  </si>
  <si>
    <t>Ruiz, D.M., Cisav, Cátedra de Química Orgánica, Facultad de Ciencias Agrarias y Forestales, Universidad Nacional de la Plata, Calles 60 y 119 s/n, La Plata, B1904AAN, Argentina; Pasquale, G.A., Cisav, Cátedra de Química Orgánica, Facultad de Ciencias Agrarias y Forestales, Universidad Nacional de la Plata, Calles 60 y 119 s/n, La Plata, B1904AAN, Argentina; Martínez, J.J., Escuela de Ciencias Químicas, Facultad de Ciencias, Universidad Pedagógica y Tecnológica de Colombia Uptc, Avenida Central del Norte, Vía Paipa, Boyacá, Tunja, Colombia; Romanelli, G.P., Cisav, Cátedra de Química Orgánica, Facultad de Ciencias Agrarias y Forestales, Universidad Nacional de la Plata, Calles 60 y 119 s/n, La Plata, B1904AAN, Argentina, Centro de Investigación y Desarrollo en Ciencias Aplicadas "dr. Jorge J. Ronco", CINDECA-CCT la Plata-CONICET, Universidad Nacional de la Plata, Calle 47 No 257, La Plata, B1900AJK, Argentina</t>
  </si>
  <si>
    <t>Highly functionalized, high value added bioactive molecules are generally obtained by synthetic procedures that are highly selective, economical, with high atom economy, and environmentally friendly. Following these guidelines, the use of recoverable solid catalysts, nonpolluting substrates, or toxic organic solvent contributes greatly to these demands. In the last three decades, heteropolyacids (HPAs) and its derivatives have received great attention as recyclable solid catalysts, due to their strong Brönsted acidity, excellent oxidizing capacity under mild conditions, and various reuse cycles without appreciable loss of their catalytic activity. However, new activation methods should be investigated to improve the sustainability of a process using HPAs. In this review, we report the latest advances associated with the synthesis of potentially bioactive molecules using more energy efficient alternatives such as microwaves, ultrasound, mechanochemistry, and photochemistry to minimize the energy consumption associated with organic synthesis. The transformations studied include construction reaction, heterocycle synthesis, selective oxidation, and biomass recovery. © 2022 Diego M. Ruiz et al., published by De Gruyter.</t>
  </si>
  <si>
    <t>green chemistry; heteropolyacids; novel chemical activation methods; organic transformations</t>
  </si>
  <si>
    <t>Catalyst activity; Chemical activation; Energy efficiency; Energy utilization; Molecules; Synthesis (chemical); Activation method; Bioactive molecules; Functionalized; Green-chemistry; Heteropolyacids; Novel chemical activation method; Organic synthesis; Organic transformations; Recyclables; Solid catalysts; Sustainable chemistry</t>
  </si>
  <si>
    <t>Consejo Nacional de Investigaciones Científicas y Técnicas, CONICET: PIP 0084; Agencia Nacional de Promoción Científica y Tecnológica, ANPCyT: 0157; Universidad Nacional de La Plata, UNLP</t>
  </si>
  <si>
    <t>Funding information: This research work was supported by CONICET (PIP 0084), Agencia Nacional de Promoción Científica y Técnica ANPCyT (0157), UNLP, and Comisión de Investigaciones Científicas Provincia de Buenos Aires CICPBA.</t>
  </si>
  <si>
    <t>Sheldon, R.A., Arends, I., Hanefeld, U., (2007) Green chemistry and catalysis, , Weinheim, Germany Wiley ISBN 9783527611003; Anastas, P., Warner, J., (1998) Green chemistry: theory and practice, , New York, NY, USA Oxford University Press ISBN 9780198502340; Kokel, A., Schäfer, C., Application of green chemistry in homogeneous catalysis (2018) Green chemistry-an inclusive approach, pp. 375-414. , In: Török B, Dransfield T, editors. Boston, MA, USA Elsevier ISBN 9780128095492; Pálinkó, I., Heterogeneous catalysis: a fundamental pillar of sustainable synthesis (2018) Green chemistry-an inclusive approach, pp. 415-447. , In: Török B, Dransfield T, editors.Boston, MA, USA Elsevier ISBN 9780128095492; Escobar, A.M., Blustein, G., Luque, R., Romanelli, G.P., Recent applications of heteropolyacids and related compounds in heterocycle synthesis. Contributions between 2010 and 2020 (2021) Catalysts, 11, p. 291; Mandal, B., Alternate energy sources for sustainable organic synthesis (2019) Chem Sel, 4, pp. 8301-8310; Stefanidis, G., Stankiewicz, A., (2016) Alternative energy sources for green chemistry royal society of chemistry, pp. 1-33. , Cambridge, UK RSC Publishing ISBN 9781782623632; Veitia, M.S.I., Ferroud, C., New activation methods used in green chemistry for the synthesis of high added value molecules (2015) Int J Energy Env Eng, 6, pp. 37-46; Freitas, E.F., Souza, R.Y., Passos, S.T.A., Dias, J.A., Dias, S.C.L., Neto, B.A.D., Tuning the Biginelli reaction mechanism by the ionic liquid effect: the combined role of supported heteropolyacid derivatives and acidic strength (2019) RSC Adv, 9, pp. 27125-27135; Balci, M., Recent advances in the synthesis of fused heterocycles with new skeletons via alkyne cyclization (2020) Tetrahedron Lett, 61 (24), p. 151994; Romanelli, G., Autino, J., Recent applications of heteropolyacids and related compounds in heterocycles synthesis (2009) Mini Rev Org Chem, 6 (4), pp. 359-366; Palermo, V., Sathicq, A., Romanelli, G., Suitable transformation of compounds present in biomass using heteropolycompounds as catalysts (2020) Curr Opin Green Sust Chem, 25, p. 100362; Hu, Y.H., Shi, J.H., Wang, G.L., Lin, B.P., Jiang, F., Application of heteropolyacids or their salt catalysts in organic synthesis (2004) Xiandai Huagong/Modern Chem Ind, 24, pp. 35-39; Heravi, M.M., Sadjadi, S., Recent developments in use of heteropolyacids, their salts and polyoxometalates in organic synthesis (2009) JICS, 6 (3), pp. 1-54; Gharib, A., Application of heteropolyacids and nano-catalyst in heterocycles synthesis (2016) Org Med Chem Int J, 1 (1), pp. 29-35; Ravichandran, S., Karthikeyan, E., Microwave synthesis-a potential tool for green chemistry (2011) Int J Chem Tech Res, 3 (1), pp. 466-470; Vavsari, V.F., Balalaie, S., Recent advances in green synthesis of chromones (2020) Chem Heterocycl Comp, 56, pp. 404-407; Avila-Ortiz, C.G., Juaristi, E., Novel methodologies for chemical activation in organic synthesis under solvent-free reaction conditions (2020) Molecules, 25, p. 3579; Lambat, T.L., Chopra, P., Mahmood, S.H., Microwave: a green contrivance for the synthesis of N-heterocyclic compounds (2020) Curr Org Chem, 24, pp. 2527-2554; Priyanka, M., Garg, S.L., Benefits of microwave-assisted organic synthesis over conventional methods in synthetic chemistry (2019) Res J Chem Env, 23 (4), pp. 103-108; Banik, B.K., Microwave-induced organic reactions toward biologically active molecules (2019) Curr Med Chem, 26 (24), pp. 4492-4494; Mahato, A., Sahoo, B.M., Banik, B.K., Microwave-assisted synthesis: paradigm of green chemistry (2018) J Indian Chem Soc, 95, pp. 1-13; Kumari, K., Vishvakarma, V.K., Singh, P., Patel, R., Chandra, R., Microwave: an important and efficient tool for the synthesis of biological potent organic compounds (2017) Curr Med Chem, 24 (41), pp. 4579-4595; Kokel, A., Schäfer, C., Török, B., Application of microwave-assisted heterogeneous catalysis in sustainable synthesis design (2017) Green Chem, 19, pp. 3729-3751; Gupta, M., Paul, S., Gupta, R., General characteristics and applications of microwaves in organic synthesis (2009) Acta Chim Slovenica, 56, pp. 749-764; Strauss, C.R., Varma, R.S., Microwaves in green and sustainable chemistry (2006) Top Curr Chem, 266, pp. 199-231; El Ashry, E.S.H., Kassem, A.A., Account of microwave irradiation for accelerating organic reactions (2006) Arkivoc, 9, pp. 1-16; Roberts, B.A., Strauss, C.R., Toward rapid, "green," predictable microwave-assisted synthesis (2005) Acc Chem Res, 38, pp. 653-661; Bamoharram, F.F., Heravi, M.M., Ebrahimi, J., Ahmadpour, A., Zebarjad, M., Catalytic performance of nano-SiO2-supported Preyssler heteropolyacid in esterification of salicylic acid with aliphatic and benzylic alcohols (2011) Chin J Catal, 32, pp. 782-788; Zonoz, F.M., Tayebee, R., Synthesis of some alkyl acetates from alcohols catalyzed by H5PW10V2O40and H5PMo10V2O40under microwave irradiation (Part 2) (2011) J Korean Chem Soc, 55, pp. 541-545; Rezaei-Seresht, E., Zonoz, F.M., Estiri, M., Tayebee, R., Microwave-assisted solvent-free acetylation of some alcohols catalyzed by Keggin type heteropoly acids (2011) Ind Eng Chem Res, 50, pp. 1837-1846; Duan, X., Sun, G., Sun, Z., Li, J., Wang, S., Wang, X., A heteropolyacid-based ionic liquid as a thermoregulated and environmentally friendly catalyst in esterification reaction under microwave assistance (2013) Catal Commun, 42, pp. 125-128; Bamoharram, F.F., Heravi, M.M., Roshani, M., Jalal, S., Rashki, N., Catalytic performance of preyssler anion in selective oximation of aromatic aldehydes (2010) Asian J Chem, 22, pp. 4421-4425; Ighilahriz-Boubchir, K., Boutemeur-Kheddis, B., Rabia, C., Makhloufi-Chebli, M., Hamdi, M., Silva, A.M.S., Recyclable Keggin heteropolyacids as an environmentally benign catalyst for the synthesis of new 2-benzoylamino-n-phenyl-benzamide derivatives under microwave irradiations at solvent-free conditions and the evaluation of biological activity (2018) Molecules, 23, p. 8; Liu, J., Liu, Y., Yang, W., Guo, H., Fang, F., Tang, Z., Immobilization of phosphortungstic acid on amino-functionalized bimetallic Zr-La-SBA-15 and its highly catalytic performance for acetylation (2014) J Mol Catal A Chem, 393, pp. 1-7; Ping, C., Yuchun, Z., Synthesis of p-Methoxyacetophenone with phosphotungstic acid catalyst (2007) Petrochem Technol, 36 (9), pp. 919-923; Amini, M.M., Shaabani, A., Bazgir, A., Tungstophosphoric acid (H3PW12O40): an efficient and eco-friendly catalyst for the one-pot synthesis of dihydropyrimidin-2(1H)-ones (2006) Catal Commun, 7, pp. 843-847; Kappe, C.O., Recent advances in the Biginelli dihydropyrimidine synthesis. New tricks from an old dog (2000) Acc Chem Res, 33 (12), pp. 879-888; Jetti, S.R., Verma, D., Jain, S., Microwave-assisted synthesis of spirofused heterocycles using decatungstodivanadogermanic heteropoly acid as a novel and reusable heterogeneous catalyst under solvent-free conditions (2013) J Catal, 2, pp. 2013-2018; Portilla-Zuñiga, O.M., Sathicq, Á., Martínez, J.J., Fernandes, S.A., Rezende, T.R., Romanelli, G.P., Synthesis of Biginelli adducts using a Preyssler heteropolyacid in silica matrix from biomass building block (2018) Sustain Chem Pharm, 10, pp. 50-55; Khaldi-Khellafi, N., Makhloufi-Chebli, M., Oukacha-Hikem, D., Bouaziz, S.T., Lamara, K.O., Idir, T., Green synthesis, antioxidant and antibacterial activities of 4-aryl-3, 4-dihydropyrimidinones/thiones derivatives of curcumin. Theoretical calculations and mechanism study (2019) J Mol Struct, 1181, pp. 261-269; Sadjadi, S., Heravi, M.M., Daraie, M., Heteropolyacid supported on amine-functionalized halloysite nano clay as an efficient catalyst for the synthesis of pyrazolopyranopyrimidines via four-component domino reaction (2017) Res Chem Intermed, 43 (4), pp. 2201-2214; Heravi, M.M., Rajabzadeh, G., Bamoharram, F.F., Seifi, N., An eco-friendly catalytic route for synthesis of 4-amino-pyrazolo [3,4-d] pyrimidine derivatives by Keggin heteropolyacids under classical heating and microwave irradiation (2006) J Mol Catal A: Chem, 256 (12), pp. 238-241; Bennardi, D.O., Blanco, M.N., Pizzio, L.R., Autino, J.C., Romanelli, G.P., An efficient and green catalytic method for Friedländer quinoline synthesis using tungstophosphoric acid included in a polymeric matrix (2015) Curr Catal, 4 (1), pp. 65-72; Chaudhuri, M.K., Hussain, S., An efficient synthesis of quinolines under solvent-free conditions (2006) J Chem Sci, 118 (2), pp. 199-202; Sivaprasad, G., Rajesh, R., Perumal, P.T., Synthesis of quinaldines and lepidines by a Doebner-Miller reaction under thermal and microwave irradiation conditions using phosphotungstic acid (2006) Tetrahedron Lett, 47 (11), pp. 1783-1785; Sharif, M., Quinazolin-4(3H)-ones: a tangible synthesis protocol via an oxidative olefin bond cleavage using metal-catalyst free conditions (2020) Appl Sci, 10 (8), p. 2815; Ighilahriz, K., Boutemeur, B., Chami, F., Rabia, C., Hamdi, M., Hamdi, S.M.A., Microwave-assisted and heteropolyacids-catalysed cyclocondensation reaction for the synthesis of 4(3H)-quinazolinones (2008) Molecules, 13 (4), pp. 779-789; Javid, A., Heravi, M.M., Bamoharram, F.F., Nikpour, M., One-pot synthesis of tetrasubstituted imidazoles catalyzed by preyssler-type heteropoly acid (2011) E-J Chem, 8, pp. 547-552; Naureen, S., Ijaz, F., Munawar, M.A., Asif, N., Chaudhry, F., Ashraf, M., Synthesis of tetrasubstituted imidazoles containing indole and their antiurease and antioxidant activities (2017) J Chil Chem Soc, 62, pp. 3583-3587; Tzani, M.A., Gabriel, C., Lykakis, I.N., Selective synthesis of benzimidazoles from o-phenylenediamine and aldehydes promoted by supported gold nanoparticles (2020) Nanomaterials, 10 (12), p. 2405; Chakrabarty, M., Mukherji, A., Mukherjee, R., Arima, S., Harigaya, Y.A., Keggin heteropoly acid as an efficient catalyst for an expeditious, one-pot synthesis of 1-methyl-2-(hetero)arylbenzimidazoles (2007) Tetrahedron Lett, 48, pp. 5239-5242; Das, P.J., Das, J., Ghosh, M., Sultana, S., Solvent free one-pot synthesis of 1,2,4,5-tetrasubstituted imidazoles catalyzed by secondary amine based ionic liquid and defective keggin heteropoly acid (2013) Green Sustain Chem, 3, pp. 6-13; Yan, L., Chen, Y., Sun, X., You, M., Chen, X., Gu, Q., Microwave-assisted solvent-free catalyzed synthesis and luminescence properties of 1,2,4,5-tetrasubstituted imidazoles bearing a 4-aminophenyl substituent (2017) Chem Pap, 71, pp. 627-637; Keri, R.S., Hosamani, K.M., Seetharama, R.H.R., Shingalapur, R.V., Wells-Dawson heteropolyacid: an efficient recyclable catalyst for the synthesis of benzimidazoles under microwave condition (2009) Catal Lett, 131 (3), pp. 552-559; Annunziata, F., Pinna, C., Dallavalle, S., Tamborini, L., Pinto, A., An overview of coumarin as a versatile and readily accessible scaffold with broad-ranging biological activities (2020) Int J Mol Sci, 21 (13), p. 4618; Romanelli, G.P., Bennardi, D., Ruiz, D.M., Baronetti, G., Thomas, H.J., Autino, J.C., A solvent-free synthesis of coumarins using a Wells-Dawson heteropolyacid as catalyst (2004) Tetrahedron Lett, 45 (48), pp. 8935-8939; Bennardi, D.O., Ruiz, D.M., Romanelli, G.P., Baronetti, G.T., Thomas, H.J., Autino, J.C., Efficient microwave solvent-free synthesis of flavones, chromones, coumarins and dihydrocoumarins (2008) Lett Org Chem, 5 (8), pp. 607-615; Bennini-Amroun, L., Mazari-Hachi, T., Bouaziz-Terrachet, S., Makhloufi-Chebli, M., Rabia, C., Keggin-type polyoxometalates as efficient catalysts for the synthesis of 4-methylcoumarins in solvent-free conditions, under conventional heating and microwave irradiations: Theoretical calculations and mechanism studies (2020) Chem Data Coll, 28, p. 100436; Torviso, R., Mansilla, D., Belizán, A., Alesso, E., Moltrasio, G., Vázquez, P., Catalytic activity of Keggin heteropolycompounds in the Pechmann reaction (2008) Appl Catal A: Gen, 339 (1), pp. 53-60; Ruiz, D.M., Autino, J.C., Romanelli, G.P., A solvent-free method for synthesis of dihydroangelicins using microwaves (2017) Curr Green Chem, 3 (3), pp. 242-247; Atanasov, A.G., Zotchev, S.B., Dirsch, V.M., Natural products in drug discovery: advances and opportunities (2021) Nat Rev Drug Discov, 20 (3), pp. 200-216. , International Natural Product Sciences Taskforce, Supuran CT; Gao, X., Liu, J., Zuo, X., Feng, X., Gao, Y., Recent advances in synthesis of benzothiazole compounds related to green chemistry (2020) Molecules, 25 (7), p. 1675; Khoobi, M., Ramazani, A., Foroumadi, A.R., Hamadi, H., Hojjati, Z., Shafiee, A., Efficient microwave-assisted synthesis of 3-benzothiazolo and 3-benzothiazolino coumarin derivatives catalyzed by heteropoly acids (2011) JICS, 8 (4), pp. 1036-1042; Motamedi, R., Sobhani, S., Barani, F., H3PW12O40as an efficient catalyst for one-pot-tricomponent synthesis of chromeno[4,3-b] quinolones under microwave irradiation (2017) Q J Iran Chem Commun, 5 (3), pp. 237-363; Mohammadi, Z., Badiei, A.R., Azizi, M., The one-pot synthesis of 14-aryl-14H-dibenzo[a,j]xanthene derivatives using sulfonic acid functionalized silica (SiO2-Pr-SO3H) under solvent free conditions (2011) Sci Iran, 18 (3), pp. 453-457; Moghadam, M., Tangestaninejad, S., Mirkhani, V., Mohammadpoor-Baltork, I., Moosavifar, M., Host (nanocavity of dealuminated zeolite-Y)-guest (12-molybdophosphoric acid) nanocomposite material: An efficient and reusable catalyst for synthesis of 14-substituted-14-H-dibenzo[a,j] xanthenes under thermal and microwave irradiation conditions (2011) C R Chim, 14 (5), pp. 489-495; Bennardi, D.O., Romanelli, G.P., Sathicq, A.G., Autino, J.C., Baronetti, G.T., Thomas, H.J., Wells-Dawson heteropolyacid as reusable catalyst for sustainable synthesis of flavones (2011) Appl Catal A Gen, 404 (12), pp. 68-73; Fernandes, S.A., Natalino, R., Rodrigues Gazolla, P.A., Da Silva, M.J., Jham, J.N., p-Sulfonic acid calix[n]arenes as homogeneous and recyclable organocatalysts for esterification reactions (2012) Tetrahedron Lett, 53, pp. 1630-1633; Hedidi, M., Hamdi, S.M., Mazari, T., Boutemeur, B., Rabia, C., Chemat, F., Microwave-assisted synthesis of calix[4]resorcinarenes (2006) Tetrahedron, 62 (24), pp. 5652-5655; Lancaster, M., (2020) Green Chemistry: An Introductory Text. Royal Society of Chemistry, , Cambridge, UK RSC Publishing ISBN 9781839162947; Marcì, G., García-López, E.I., Palmisano, L., Heteropolyacid-based materials as heterogeneous photocatalysts (2014) Eur J Inorg Chem, 1, pp. 21-35; Liu, S., Shao, S., Qin, H., Guo, Y., Application of Peroxo-heteropolyacids (salts) in catalytic organic reaction (2012) Chem Bull/Huaxue Tongbao, 75, pp. 239-244; Misono, M., Recent topics in heterogeneous catalysis of heteropolyacids (1997) Kor J Chem Eng, 14 (11), pp. 427-431; Jansen, R.J.J., Van Veldhuizen, H.M., Schwegler, M.A., Van Bekkum, H., Recent (1987-1993) developments in heteropolyacid catalysts in acid catalyzed reactions and oxidation catalysis (1994) Recl Trav Chim Pays-Bas, 113, pp. 115-135; Yu, X., De Waele, V., Löfberg, A., Ordomsky, V., Khodakov, A.Y., Selective photocatalytic conversion of methane into carbon monoxide over zinc-heteropolyacid-titania nanocomposites (2019) Nat Commun, 10, p. 700; Chafran, L.S., Paiva, M.F., Freitas, J.O.C., Sales, M.J.A., Dias, S.C.L., Dias, J.A., Preparation of PLA blends by polycondensation of D,L-lactic acid using supported 12-tungstophosphoric acid as a heterogeneous catalyst (2019) Heliyon, 5 (5), p. e01810; Villabrille, P., Romanelli, G., Vázquez, P., Cáceres, C., Vanadium-substituted Keggin heteropolycompounds as catalysts for ecofriendly liquid phase oxidation of 2,6-dimethylphenol to 2,6-dimethyl-1,4-benzoquinone (2004) Appl Catal A Gen, 270 (12), pp. 101-111; Romanelli, G.P., Vazquez, P.G., Tundo, P., New heteropolyacids as catalysts for the selective oxidation of sulfides to sulfoxides with hydrogen peroxide (2005) Synlett, 2005 (1), pp. 75-78; Sathicq, A., Romanelli, G., Palermo, V., Vázquez, P., Thomas, H., Heterocyclic amine salts of Keggin heteropolyacids used as catalyst for the selective oxidation of sulfides to sulfoxides (2008) Tetrahedron Lett, 49 (9), pp. 1441-1444; Egusquiza, G., Romanelli, G., Cabello, C., Botto, C., Thomas, H., Arene and Phenol oxidation with hydrogen peroxide using "sandwich" type substituted polyoxometalates as catalysts (2008) Catal Commun, 9 (1), pp. 45-50; Villabrille, P., Romanelli, G., Vázquez, P., Cáceres, C., Supported heteropolycompounds as ecofriendly catalysts for 2,6-dimethylphenol oxidation to 2,6-dimethyl-1,4-benzoquinone (2008) Appl Catal A Gen, 334 (12), pp. 374-388; Tundo, P., Romanelli, G., Vázquez, P., Loris, P., Aricó, F., Multiphase oxidation of aniline to nitrosobenzene with hydrogen peroxide catalyzed by heteropolyacids (2008) Synlett, 2008, pp. 667-670; Palacio, M., Villabrille, P., Romanelli, G., Vázquez, P., Cáceres, C., Ecofriendly liquid phase oxidation with hydrogen peroxide of 2,6-dimethylphenol to 2,6-dimethyl-1,4-benzoquinone catalyzed by TiO2-CeO2mixed xerogels (2009) Appl Catal A Gen, 359 (12), pp. 62-68; Palermo, V., Vázquez, P., Romanelli, G., Simple and friendly sulfones synthesis using aqueous hydrogen peroxide with reusable Keggin molibdenun heteropolyacid immobilized on aminopropyl-functionalized silica (2009) Phosphorus Sulfur Silicon Relat Elem, 184 (12), pp. 3258-3268; Chatel, G., Monnier, C., Kardos, N., Voiron, C., Andrioletti, B., Draye, M., Green, selective and swift oxidation of cyclic alcohols to corresponding ketones (2014) Appl Catal A Gen, 478, pp. 157-164; Liu, T., Hou, J.H., Direct hydroxylation of benzene to phenol over pyridine-modified vanadium-substituted heteropoly acid under microwave condition (2014) Asian J Chem, 26, pp. 2683-2685; Bamoharram, F.F., Heravi, M.M., Omidinia, R., Tavakoli-Hoseini, N., Tetrabutylammoniumhexatungstate (VI), [(n-C4H9)4N]2[W6O19]: As a green and recylable isopolyanion catalyst in oxidation of benzaldehydes (2013) Synth React Inorg Metal-Org Nano-Metal Chem, 43 (2), pp. 125-130; Bamoharram, F.F., Alizadeh, M.H., Razavi, H., Moghayadi, M., Novel oxidation of aromatic aldehydes catalyzed by Preyssler's anion, [NaP5W30O110]14 (2006) J Braz Chem Soc, 17 (3), pp. 505-509; Bamoharram, F.F., Heravi, M.M., Teymouri, H., Zebarjad, M., Ahmadpour, A., Preyssler heteropolyacid supported on nano-SiO2: A green and reusable catalyst in selective oxidation of benzyl alcohols to benzaldehydes (2011) Synth React Inorg Metal-Org Nano-Metal Chem, 41, pp. 1221-1228; Idrissou, Y., Mouanni, S., Amitouche, D., Mazari, T., Marchal-Roch, C., Rabia, C., Cyclohexanone oxidation over H3PMo12O40heteropolyacid via two activation modes microwave irradiation and conventional method (2019) Bull Chem React Eng Catal, 14 (2), pp. 427-435; Cao, X., Ren, J., Xu, C., Xie, B., Sun, D., Clean oxidation of cyclohexanone to adipic acid catalyzed by ammonium phosphomolybdate with Dawson structure under microwave irradiation (2012) Adv Mater Res, 550553, pp. 170-174; Qasim, H.M., Ayass, W.W., Donfack, P., Mougharbel, A.S., Bhattacharya, S., Nisar, T., Peroxo-Cerium(IV)-containing polyoxometalates: [CeIV 6(O2)9(GeW10O37)3]24-, a recyclable homogeneous oxidation catalyst (2019) Inorg Chem, 58 (17), pp. 11300-11307; Carraro, M., Sandei, L., Sartorel, A., Scorrano, G., Bonchio, M., Hybrid polyoxotungstates as second-generation POM-based catalysts for microwave-assisted H2O2activation (2006) Org Lett, 8 (17), pp. 3671-3674; Bonchio, M., Carraro, M., Scorrano, G., Kortz, U., Microwave-assisted fast cyclohexane oxygenation catalyzed by iron-substituted polyoxotungstates (2005) Adv Synth Catal, 347 (15), pp. 1909-1912; Bonchio, M., Carraro, M., Sartorel, A., Scorrano, G., Kortz, U., Bio-inspired oxidations with polyoxometalate catalysts (2006) J Mol Catal A Chem, 251 (12), pp. 93-99; Galiano, F., Mancuso, R., Carraro, M., Bundschuh, J., Hoinkis, J., Bonchio, M., A polyoxometalate-based self-cleaning smart material with oxygenic activity for water remediation with membrane technology (2021) Appl Mater Today, 21, p. 101002; De Luca, G., Bisignano, F., Figoli, A., Galiano, F., Furia, E., Mancuso, R., Bromide ion exchange with a Keggin polyoxometalate on functionalized polymeric membranes: a theoretical and experimental study (2014) J Phys Chem B, 18, pp. 2396-2404; Rodríguez-Padrón, D., Balu, A.M., Romero, A.A., Luque, R., Chapter two-biomass valorization: catalytic approaches using benign-by-design nanomaterials (2021) Adv Inorg Chem, 77, pp. 27-58; Luque, R., Benign-by-design catalysts and processes for biomass conversion (2016) Curr Opin Green Sustain Chem, 2, pp. 6-9; Zhang, Y., Zhao, M., Wang, H., Hu, H., Liu, R., Huang, Z., Damaged starch derived carbon foam-supported heteropolyacid for catalytic conversion of cellulose: improved catalytic performance and efficient reusability (2019) Bioresour Technol, 288, p. 121532; Almohalla, M., Rodríguez-Ramos, I., Ribeiro, L.S., Órfão, J.J.M., Pereira, M.F.R., Guerrero-Ruiz, A., Cooperative action of heteropolyacids and carbon supported Ru catalysts for the conversion of cellulose (2018) Catal Today, 301, pp. 65-71; Zhang, X., Zhang, X., Sun, N., Wang, S., Wang, X., Jiang, Z., High production of levulinic acid from cellulosic feedstocks being catalyzed by temperature-responsive transition metal substituted heteropolyacids (2019) Renew Energy, 141, pp. 802-813; Zhang, X., Zhang, H., Li, Y., Bawa, M., Wang, S., Wang, X., First triple-functional polyoxometalate Cs10.6[H2.4GeNb13O41] for highly selective production of methyl levulinate directly from cellulose (2018) Cellulose, 25, pp. 6405-6419; Zhang, X., Li, Y., Xue, L., Wang, S., Wang, X., Jiang, Z., Catalyzing cascade production of methyl levulinate from polysaccharides using heteropolyacids HnPW11Mo39with Brønsted/Lewis acidic sites (2018) ACS Sustain Chem Eng, 681 (1), pp. 165-176; Quereshi, S., Ahmad, E., Pant, K.K., Dutta, S., Synthesis and characterization of zirconia supported silicotungstic acid for ethyl levulinate production (2019) Ind Eng Chem Res, 58 (35), pp. 16045-16054; Gedanken, A., Ultrasonic processing to produce nanoparticles (2001) Encyclopedia of materials: science and technology, pp. 9450-9456. , In: Buschow KHJ, [and others] 2nd edn. Amsterdam, New York Elsevier ISBN: 9780080431529; Gong, C., Hart, D.P., Ultrasound induced cavitation and sonochemical yields (1998) J Acoust Soc Am, 104, pp. 1-16; Gawande, M.B., Bonifácio, V.D.B., Luque, R., Branco, P.S., Varma, R.S., Solvent-free and catalysts-free chemistry: a benign pathway to sustainability (2014) Chem Sus Chem, 7 (1), pp. 24-44; Draye, M., Chatel, G., Duwald, R., Ultrasound for drug synthesis: a green approach (2020) Pharmaceuticals, 13, p. 23; Sharma, A., Wakode, S., Sharma, S., Fayaz, F., Pottoo, F.H., Methods and strategies used in green chemistry: a review (2020) Curr Org Chem, 24 (22), pp. 2555-2565; Sathishkumar, P., Mangalaraja, R.V., Anandan, S., Review on the recent improvements in sonochemical and combined sonochemical oxidation processes-a powerful tool for destruction of environmental contaminants (2016) Renew Sustain Energ Rev, 55, pp. 426-454; Kaur, N., Ultrasound-assisted green synthesis of five-membered O-and S-heterocycles (2018) Synth Commun, 48 (14), pp. 1715-1738; Lupacchini, M., Mascitti, A., Giachi, G., Tonucci, L., D'Alessandro, N., Martinez, J., Sonochemistry in non-conventional, green solvents or solvent-free reactions (2017) Tetrahedron, 73 (6), pp. 609-653; Banerjee, B., Recent developments on ultrasound-assisted organic synthesis in aqueous medium (2017) J Serb Chem Soc, 82, pp. 755-790; Draye, M., Kardos, N., Advances in green organic sonochemistry (2017) Sonochemistry. Topics in current chemistry collections, pp. 29-57. , In: Colmenares J, Chatel G, editors. Cham Springer; Chatel, G., MacFarlane, D.R., Ionic liquids and ultrasound in combination: Synergies and challenges (2014) Chem Soc Rev, 43, pp. 8132-8149; Puri, S., Kaur, B., Parmar, A., Kumar, H., Applications of ultrasound in organic synthesis-a green approach (2013) Curr Org Chem, 17 (16), pp. 1790-1828; Kharissova, O.V., Kharisov, B.I., Oliva González, C.M., Peña Méndez, Y., López, I., Greener synthesis of chemical compounds and materials (2019) R Soc Open Sci, 6 (11), p. 191378; Colmenares, J.C., Kuna, E., Lisowski, P., Synthesis of photoactive materials by sonication: application in photocatalysis and solar cells (2016) Sonochemistry. Topics in current chemistry collections, 374, p. 59. , https://doi.org/10.1007/978-3-319-54271-3_4, In: Colmenares J, Chatel G, editors. Cham Springer; Li, Z., Zhuang, T., Dong, J., Wang, L., Xia, J., Wang, H., Sonochemical fabrication of inorganic nanoparticles for applications in catalysis (2021) Ultrason Sonochem, 71, p. 105384; Ai, H.M., Liu, Q., Ultrasound-assisted synthesis of acylals catalyzed by stannum (IV) phosphomolybdate under solvent-free condition (2012) J Chem Soc Pak, 34, pp. 299-301; Chen, X., Wang, J., Han, Y., Lu, X.P., Han, P.F., Ultrasound assisted heteropoly acid catalyst SiW12/SiO2for synthesis of benzyl acetate (2013) Asian J Chem, 25 (2), pp. 623-627; Hamidian, H., Rapid and efficient synthesis of hydroxytriarylmethanes under ultrasonic irradiation using keggin heteropolyacids and preyssler catalysts in green conditions (2013) Org Chem Int, 2013, pp. 502343-502345; Patil, P., Sethy, S.P., Sameena, T., Shailaja, K., Pyridine and its biological activity: a review (2013) Asian J Res Chem, 6 (10), pp. 888-899; Dastjerdi, N.M., Ghanbari, M., Ultrasound-promoted green approach for the synthesis of multisubstituted pyridines using stable and reusable SBA-15@ADMPT/H5PW10V2O40 nanocatalyst at room temperature (2020) Green Chem Lett Rev, 13 (3), pp. 192-205; Khalifeh, R., Ghamari, M.A., Multicomponent synthesis of 2-amino-3-cyanopyridine derivatives catalyzed by heterogeneous and recyclable copper nanoparticles on charcoal (2016) J Braz Chem Soc, 27 (4), pp. 759-768; Chavan, L.D., Deshmukh, S.N., Shankarwar, S.G., A simple and green protocol for the synthesis of 3,4-dihydropyrimidin-2(1H)-ones using 11-Molybdo-1-vanado phosphoric acid as a catalyst under ultrasound irradiation (2019) Orbital: Electron J Chem, 11 (5), pp. 314-320; Sadjadi, S., Heravi, M.M., Malmir, M., Heteropolyacid@creatin-halloysite clay: an environmentally friendly, reusable and heterogeneous catalyst for the synthesis of benzopyranopyrimidines (2017) Res Chem Intermed, 43, pp. 6701-6717; Song, B., Qu, X., Zhang, L., Han, K., Wu, D., Xiang, C., Synthesis and antitumor properties of bis-indole derivatives (2014) J Chem Pharm Res, 6 (10), pp. 239-243; Rahimi, S., Amrollahi, M.A., Kheilkordi, Z., An efficient ultrasound-promoted method for the synthesis of bis(indole) derivatives (2015) C R Chimie, 18 (5), pp. 558-563; Samadizadeh, M., H3PW12O40: an efficient catalyst for the synthesis of spirooxindoles under ultrasound irradiation (2013) Asian J Chem, 25 (12), pp. 6619-6621; Javanshir, S., Ohanian, A., Heravi, M.M., Naimi-Jamal, M.R., Bamoharram, F.F., Ultrasound-promoted, rapid, green, one-pot synthesis of 2′-aminobenzothiazolomethylnaphthols via a multi-component reaction, catalyzed by heteropolyacid in aqueous media (2014) J Saudi Chem Soc, 18 (5), pp. 502-506; Srivastava, S.D., Sen, J.P., Synthesis and biological evaluation of 2-aminobenzothiazole derivatives (2008) Indian J Chem, 47, pp. 1583-1586; Bougheloum, C., Alioua, S., Belghiche, R., Benali, N., Messalhi, A., An efficient green synthesis of new benzothiazoles containing sulfonamide or cyclic imide moieties (2020) J Heterocycl Chem, 57, pp. 120-131; Heravi, M.M., Sadjadi, S., Sadjadi, S., Oskooie, H.A., Bamoharram, F.F., Rapid and efficient synthesis of 4(3H)-quinazolinones under ultrasonic irradiation using silica-supported Preyssler nano particles (2009) Ultrason Sonochem, 16 (6), pp. 708-710; Azarifar, D., Khatami, S.M., Nejat-Yami, R., Nano-titania-supported Preyssler-type heteropolyacid: an efficient and reusable catalyst in ultrasound-promoted synthesis of 4H-chromenes and 4H-pyrano [2, 3-c] pyrazoles (2014) J Chem Sci, 126 (1), pp. 95-101; Maleki, B., Baghayeri, M., Jannat Abadi, S.A., Tayebee, R., Khojastehnezhad, A., Ultrasound promoted facile one pot synthesis of highly substituted pyran derivatives catalyzed by silica-coated magnetic NiFe2O4nanoparticles-supported H14[NaP5W30O110] under mild conditions (2016) RSC Adv, 6 (99), pp. 96644-96661; Mozafari, R., Heidarizadeh, F., Phosphotungstic acid supported on SiO2@NHPhNH2functionalized nanoparticles of MnFe2O4as a recyclable catalyst for the preparation of tetrahydrobenzo[b]pyran and indazolo [2,1-b] phthalazine-triones (2019) Polyhedron, 162, pp. 263-276; Bradley, M., Ashokkumar, M., Grieser, F., Sonochemical production of fluorescent and phosphorescent latex particles (2003) J Am Chem Soc, 125 (2), pp. 525-529; Rahman, M.M., Lamsal, B.P., Ultrasound-assisted extraction and modification of plant-based proteins: Impact on physicochemical, functional, and nutritional properties (2021) Compr Rev Food Sci Food Saf, 20, pp. 1457-1480; Lu, X., Qiu, W., Peng, J., Xu, H., Wang, D., Cao, Y., Review on additives-assisted ultrasound for organic pollutants (2021) Degrad J Hazard Mater, 403, p. 123915; Fu, X., Belwal, T., Cravotto, G., Luo, Z., Sono-physical and sono-chemical effects of ultrasound: Primary applications in extraction and freezing operations and influence on food components (2020) Ultrason Sonochem, 60, p. 104726; Cravotto, G., Borretto, E., Oliverio, M., Procopio, A., Penoni, A., Organic reactions in water or biphasic aqueous systems under sonochemical conditions. A review on catalytic effects (2015) Catal Commun, 63, pp. 2-9; Anandan, S., Ponnusamy, K.V., Ashokkumar, M., A review on hybrid techniques for the degradation of organic pollutants in aqueous environment (2020) Ultrason Sonochem, 67, p. 105130; Martín-Aranda, R.M., Calvino-Casilda, V., Last decade of research in sonochemistry for green organic synthesis (2010) Recent Pat Chem Eng, 3 (2), pp. 82-98; Salavati, H., Tangestaninejad, S., Moghadam, M., Mirkhani, V., Mohammadpoor-Baltork, I., Sonocatalytic oxidation of olefins catalyzed by heteropolyanion montmorillonite nanocomposite (2010) Ultrason Sonochem, 17 (1), pp. 145-152; Salavati, H., Tangestaninejad, S., Moghadam, M., Mirkhani, V., Mohammadpoor-Baltork, I., Sonocatalytic epoxidation of alkenes by vanadium-containing polyphosphomolybdate immobilized on multi-wall carbon nanotubes (2010) Ultrason Sonochem, 17 (2), pp. 453-545; Lin, Z.-P., Wan, L., Synthesis of adipic acid oxidized by H2O2-silicotungstic acid under ultrasonication (2013) Asian J Chem, 25, pp. 6008-6010; Azarifar, D., Khatami, S.-M., Najminejad, Z., Ultrasound-accelerated selective oxidation of primary aromatic amines to azoxy derivatives with trans-3,5-dihydroperoxy-3,5-dimethyl-1,2-dioxolane catalyzed by Preyssler acid-mediated nano-TiO2 (2014) J Iran Chem Soc, 11, pp. 587-592; Rezvani, M.A., Asli, M.A.N., Abdollahi, L., Oveisi, M., Nano composite mixed-addenda vanadium substituted polyoxometalate-TiO2as a green, reusable and efficient catalyst for rapid and efficient synthesis of symmetric disulfides under ultrasound irradiation (2014) Chem Solid Mat, 2 (1), pp. 41-51; Hossain, M.N., Park, H.C., Choi, H.S., Comprehensive review on catalytic oxidative desulfurization of liquid fuel oil (2019) Catalysts, 9, p. 229; Wu, Z., Ondruschka, B., Ultrasound-assisted oxidative desulfurization of liquid fuels and its industrial application (2010) Ultrason Sonochem, 17 (6), pp. 1027-1032; Afzalinia, A., Mirzaie, A., Nikseresht, A., Musabeygi, T., Ultrasound-assisted oxidative desulfurization process of liquid fuel by phosphotungstic acid encapsulated in a interpenetrating amine-functionalized Zn(II)-based MOF as catalyst (2017) Ultrason Sonochem, 34, pp. 713-720; Liu, L., Zhang, Y., Tan, W., Ultrasound-assisted oxidation of dibenzothiophene with phosphotungstic acid supported on activated carbon (2014) Ultrason Sonochem, 21 (3), pp. 970-974; Gildo, P.J., Dugos, N., Roces, S., Wan, M.W., Optimized ultrasound-assisted oxidative desulfurization process of simulated fuels over activated carbon-supported phosphotungstic acid (2018) MATEC Web Conf, 156, p. 3045; Wang, R., Zhao, Y., Kozhevnikov, I.V., Zhao, J., An ultrasound enhanced catalytic ozonation process for the ultra-deep desulfurization of diesel oil (2020) N J Chem, 44, pp. 15467-15474; Yu, G.X., Zhong, Q., Jin, M., Lu, P., Ultrasound-assisted oxidative desulfurization of diesel Fuel in H2O2/heteropoly acid/system (2014) Adv Mater Res, 10331034, pp. 85-89; Zhao, Y., Wang, R., Deep desulfurization of diesel oil by ultrasound-assisted catalytic ozonation combined wiThextraction process (2013) Pet Coal, 55, pp. 62-67; Thangaraj, B., Solomon, P.R., Muniyandi, B., Ranganathan, S., Lin, L., Catalysis in biodies</t>
  </si>
  <si>
    <t>Aceituno A.D.</t>
  </si>
  <si>
    <t>56971316200;</t>
  </si>
  <si>
    <t>Nature defeated by man gives rise to gods: Eco-spirituality in the Ecological Thought of Luis Oyarzún [“A natureza vencida pelo homem dá origem aos deuses”: Ecoespiritualidade no pensamento ecológico de Luis Oyarzún] [La naturaleza vencida por el hombre suscita dioses: Eco-espiritualidad en el pensamiento ecológico de Luis Oyarzún]</t>
  </si>
  <si>
    <t>e14069</t>
  </si>
  <si>
    <t>10.19053/01218530.n44.2022.14069</t>
  </si>
  <si>
    <t>https://www.scopus.com/inward/record.uri?eid=2-s2.0-85136811485&amp;doi=10.19053%2f01218530.n44.2022.14069&amp;partnerID=40&amp;md5=afc07c376aaeed5cd99f264e2d89c14c</t>
  </si>
  <si>
    <t>Universidad Autónoma de Chile, Talca, Chile</t>
  </si>
  <si>
    <t>Aceituno, A.D., Universidad Autónoma de Chile, Talca, Chile</t>
  </si>
  <si>
    <t>This paper reflects on the links between ecological thought and spirituality in the writing of the Chilean intellectual Luis Oyarzún (1920-1972). His prose discloses the tensions between spiritual and secular in a context of environmental crisis. I propose the term eco-spirituality to describe the assemblage of the domains of ecological and spiritual. Oyarzún’s persona understands material nature as sacred and the human being as a custodian or a minuscule part that can merge with the whole. I examine two practices thematized in Oyarzún’s writing, pilgrimage and silence, consummations of his eco-spiritual experience. © 2022, Universidad Pedagogica y Tecnologica de Colombia. All rights reserved.</t>
  </si>
  <si>
    <t>Eco-spirituality; Ecological thinking; Nature; Pilgrimage; Silence</t>
  </si>
  <si>
    <t>Bellarsi, Franca, Ecospirit: Religion and the Environment (2011) Ecozon@, 2 (2), pp. 1-16. , https://doi.org/10.37536/ECOZONA.2011.2.2.416, Web. 11 de agosto de 2020; Boff, Leonardo, (1996) Ecología: Grito de la Tierra, grito de los pobres, , Traducido por Juan Carlos Rodríguez Herranz. Madrid, Editorial Trotta, Impreso; Buell, Lawrence, (1995) The Environmental Imagination: Thoreau, Nature Writing, and the Formation of American Culture, , https://doi.org/10.2307/j.ctv1nzfgsv, Cambridge, Harvard University Press, Impreso; Cummings, Charles, (1991) Eco-spirituality: Toward a Reverent Life, , Mahwah, Paulist Press, Impreso; Curtius, Ernst Robert, Literatura europea y Edad Media Latina, 1. , Traducido por Margit Frenk Alatorre y Antonio Alatorre. México, Fondo de Cultura Económica, volumen Impreso; Donoso, Arnaldo, Caminar, en el pensamiento ecológico de Luis Oyarzún (2019) Atenea, 519, pp. 99-115. , https://doi.org/10.4067/S0718-04622019000100099, Web. 16 de diciembre de 2020; (2021) El pensamiento ecológico de Luis Oyarzún, , Tesis de doctorado, Universidad de Concepción, Chile. Impreso; Presencia de Mistral en el pensamiento ecológico de Luis Oyarzún (2021) Hispanófila, 193, pp. 83-98. , https://doi.org/10.1353/hsf.2021.0056, Web. 9 de enero de 2022; Eliade, Mircea, (1974) Tratado de historia de las religiones. Traducido por Asunción Medinaveitia, , Madrid, Ediciones Cristiandad, 2 volúmenes. Impreso; Gimbutas, Marija, The Religion of the Goddess (1991) The Civilization of the Goddess: The World of Old Europe, pp. 221-305. , San Francisco, Harper, Impreso; Gottlieb, Roger, Introduction: Religion and Ecology. What Is the Connection and Why Does It Matter? (2006) The Oxford Handbook of Religion and Ecology, pp. 4-21. , Editado por Roger Gottlieb. Nueva York, Oxford University Press, Impreso; Grau Duhart, Olga, (2009) Tiempo y escritura: El diario y los archivos autobiográficos de Luis Oyarzún, , Santiago de Chile, Universitaria, Impreso; Harris, Thomas, Schütte, Daniela, Zegers, Pedro Pablo, Prólogo (2005) Taken for a Ride. Escritura de paso, Luis Oyarzún, pp. 7-9. , Santiago de Chile, RIL Editores, Impreso; Hozven, Roberto, (2010) Escritura de alta tensión: Desafío de Luis Oyarzún, , Santiago de Chile, Catalonia, Impreso; Le Breton, David, Las espiritualidades del silencio (2006) El silencio. Traducido por Agustín Temes, pp. 135-182. , Madrid, Sequitur, Impreso; Manes, Christopher, Nature and Silence (1996) The Ecocriticism Reader: Landmarks in Literature Ecology, pp. 15-29. , Editado por Cheryll Glotfelty y Harold Fromm. Athens, University of Georgia Press, Impreso; Millas, Jorge, Luis Oyarzún, o la pasión de ver (1973), pp. viii-vxxv. , Defensa de la Tierra, Luis Oyarzún. Santiago de Chile, Universitaria, Impreso; Morales, Leonidas, Prólogo: El Diario de Luis Oyarzún (1995), pp. 7-26. , Diario íntimo, Luis Oyarzún. Santiago de Chile, Departamento de Estudios Humanísticos de la Universidad de Chile, Impreso; Oyarzún, Luis, (1960) Diario de Oriente, , Santiago de Chile, Universitaria, Impreso; (1973) Defensa de la Tierra, , Santiago de Chile, Universitaria, Impreso; (1981) Meditaciones estéticas, , Santiago de Chile, Universitaria, Impreso; (1995), Santiago de Chile, Departamento de Estudios Humanísticos de la Universidad de Chile, Impreso; Pérez Villalón, Fernando, El Diario íntimo de Luis Oyarzún: Una Lectura (1999) Revista Chilena de Literatura, 55, pp. 103-128. , Impreso.Plumwood, Val. “Towards a Materialist Spirituality of Place Environmental Culture: The Eco-logical Crisis of Reason, Nueva York, Routledge, 2002, 218-235. Impreso; Taylor, Bron, (2010) Dark Green Religion: Nature Spirituality and the Planetary Future, , https://doi.org/10.1525/9780520944459, Los Ángeles, University of California Press, Impreso; Valdés, Claudio, (2011) Luis Oyarzún: Pensamiento y forma, , Valdivia, Universidad Austral de Chile, Impreso; von dem Bussche, Gastón, Luis Oyarzún y su recuerdo (1974) El Sur, p. 4. , 13 de enero de Impreso; White, Lynn, The Historical Roots of Our Ecologic Crisis (1967) Science, 155 (3767), pp. 1203-1207. , https://doi.org/10.1126/science.155.3767.1203, Web. 21 de enero de 2020</t>
  </si>
  <si>
    <t>Aceituno, A.D.; Universidad Autónoma de ChileChile; email: donoso.arn@gmail.com</t>
  </si>
  <si>
    <t>2-s2.0-85136811485</t>
  </si>
  <si>
    <t>Ávila-Rincón C., Benitez-Murillo J., Rodríguez-Portillo S.</t>
  </si>
  <si>
    <t>57860170000;57862167200;57860747700;</t>
  </si>
  <si>
    <t>Internal Structure and Validity of the Reading the Mind in the Eyes Test Child V Ersion in a Sample of Colombian High Schoolers [Estructura Interna y Validez del Reading the Mind in the Eyes Test Versión Niños en una Muestra Colombiana de Estudiantes de Secundaria]</t>
  </si>
  <si>
    <t>10.1016/j.rcp.2022.07.002</t>
  </si>
  <si>
    <t>https://www.scopus.com/inward/record.uri?eid=2-s2.0-85136660122&amp;doi=10.1016%2fj.rcp.2022.07.002&amp;partnerID=40&amp;md5=c0840ae6010b3f6c323a43cac9530d6e</t>
  </si>
  <si>
    <t>Psychology program, Health Sciences Faculty, Pedagogical and Technological University of Colombia, Tunja, Colombia; Health and Clinical Psychology Research Group (GIPCS), Health Sciences Faculty, Pedagogical and Technological University of Colombia, Tunja, Colombia; Basic Psychological Processes Laboratory (LAPROPSIC), Health Sciences Faculty, Pedagogical and Technological University of Colombia, Tunja, Colombia</t>
  </si>
  <si>
    <t>Ávila-Rincón, C., Psychology program, Health Sciences Faculty, Pedagogical and Technological University of Colombia, Tunja, Colombia; Benitez-Murillo, J., Psychology program, Health Sciences Faculty, Pedagogical and Technological University of Colombia, Tunja, Colombia; Rodríguez-Portillo, S., Health and Clinical Psychology Research Group (GIPCS), Health Sciences Faculty, Pedagogical and Technological University of Colombia, Tunja, Colombia, Basic Psychological Processes Laboratory (LAPROPSIC), Health Sciences Faculty, Pedagogical and Technological University of Colombia, Tunja, Colombia</t>
  </si>
  <si>
    <t>Introduction and objectives: Social cognition is a broad set of processes related to interpersonal interaction, social adjustment, and a whole array of complex social behaviours. Disturbances in these processes are a key feature of many psychiatric disorders, therefore the adaptation and validation of assessment tools to measure social cognition performance are critical for correct diagnosis and treatment. One popular assessment tool is the Reading the Mind in the Eyes Test (RMET), which is used to measure individual ability regarding social cognition skills. Despite its remarkable popularity, to date there is no record about its psychometric features in Spanish-speaking children. Therefore, the aim of this research was to assess the internal consistency, convergent validity, and factorial structure of the RMET in children. Methods: Our sample consisted of school students (n = 509; 315 males, and 194 females) from sixth to ninth grade with ages ranging from 10 to 16 years old. Results: The RMET has acceptable internal consistency, moderate convergent validity, and acceptable adjustment to a unidimensional factorial structure that could be improved by using a shortened version. No significant differences between sex and age groups were found, average performance scores of each test seem to be similar to those from akin cultural backgrounds (Spain or Argentina). Conclusions: The RMET has acceptable reliability and validity and is therefore a suitable test for differentiating theory of mind skills in typically developing populations. Its psychometric properties should be investigated in clinical samples and other age groups. © 2022 Asociación Colombiana de Psiquiatría</t>
  </si>
  <si>
    <t>Empathy; Social cognition; Theory of Mind; Validity</t>
  </si>
  <si>
    <t>Adolph, R., The neurobiology of social cognition (2001) Curr Opin Neurobiol., 11, pp. 231-239; Weightman, M., Air, T.M., Baune, T., A review of the role of social cognition in major depressive disorder (2014) Front Psychiatry., 5, pp. 1-12; Frith, C., Frith, U., Social Cognition in Humans (2007) Curr Biol., 17, pp. 724-732; Frith, D.C., Frith, U., Implicit and explicit processing in social cognition (2008) Neuron., 60, pp. 503-510; Bertone, M., Díaz-Granados, E., Vallejos, M., Muniello, J., Differences in social cognition between male prisoners with antisocial personality or psychotic disorder (2017) Int J Psychol Res., 10, pp. 16-25; Ebert, A., Brüne, M., Oxytocin and Social Cognition (2017) Behavioral Pharmacology of Neuropeptides: Oxytocin., pp. 375-378. , R. Hurlemann V. Grinevich Springer New York; Shamay-Tsoory, S.G., Tomer, R., Berger, B., Goldsher, D., Aharon-Peretz, J., Impaired “affective theory of mind” is associated with right ventromedial prefrontal damage (2005) Cogn Behav Neurol., 18, pp. 55-67; Sebastian, C.L., Fontaine, M., Bird, G., Blakemore, S.J., De Brito, S.A., McCrory, E., Neural processing associated with cognitive and affective Theory of Mind in adolescents and adults (2011) Soc Cogn Affect Neurosci., 7, pp. 53-63; Brown, M., Thibodeu, R., Pierucci, J., Gilpin, A., Supporting the development of empathy: The role of theory of mind and fantasy orientation (2017) Soc Dev., 26, pp. 951-964; Beaudoin, C., Leblanc, E., Gangner, C., Beauchamp, M., Systematic Review and Inventory of Theory of Mind Measures for Young Children (2020) Front Psychol., p. 10; Müller, C., Gmünder, L., An evaluation of the “reading the mind in the eyes test” seventh to ninth graders (2013) J Intellect Disabil Res., 7, pp. 34-44; Van der Meulen, V., Roerig, S., Ruyter, D., Van Lier, P., Krabbendam, L., A Comparison of Children's Ability to Read Children's and Adults’ Mental States in an Adaptation of the Reading the Mind in the Eyes Task (2017) Front Psychol., 7, pp. 1-15; Rueda, P., Cabello, R., Fernández-Berrocal, P., Preliminary validation of Spanish “Eyes Test-Child version” (2013) Ansiedad y Estres., 19, pp. 173-184; Vogindroukas, I., Chelas, E.N., Petridis, N., Reading the Mind in the Eyes Test (Children's Version): A Comparison Study between Children with Typical Development (2014) Children with High-Functioning Autism and Typically Developed Adults. Folia Phoniatr Logop., 66, pp. 18-24; Girli, A., Psychometric Properties of the Turkish Child and Adult Form of “Reading the Mind in the Eyes Test” (2014) Psychology., 5, pp. 1321-1337; Đorđević, J., Živanović, M., Pavlović, A., Mihajlović, G., Stašević, I., Pavlović, D., Psychometric evaluation and validation of the Serbian version of “Reading the Mind in the eyes“test (2017) Psichologija., 4, pp. 483-502; Olderbak, S., Wilhelm, O., Olaru, G., Geiger, M., Brennenman, M., Roberts, R., A psychometric analysis of the reading the mind in the eyes test: toward a brief form for research and applied settings (2015) Front Psychol., 5, pp. 1-41; Vellante, M., Baron-Cohen, S., Melis, M., Marrone, M., Petretto, D.R., Masala, C., The “Reading the Mind in the Eyes” test: Systematic review of psychometric properties and a validation study in Italy (2013) Cogn Neuropsychiatry., 18, pp. 326-354; Baron-Cohen, S., Wheelwright, S., Spong, A., Scahill, V., Lawson, J., Are Intuitive Physics and Intuitive Psychology Independent? (2001) J Autism Dev Disord., 5, pp. 47-78; Pineda, A., Figueroa, G., Puentes, P., Retrospectiva y prospectiva de la teoría de la mente: Avances de investigaciones en neurociencias (2012) Psicogente., 15, pp. 178-197; Peñuelas-Calvo, I., Sareen, A., Sevilla-Llewellyn-Jones, J., Fernández-Berrocal, P., The”Reading the Mind in the Eyes“Test in Autism-Spectrum Disorders Comparison with Healthy Controls: A Systematic Review and Meta-analysis (2019) J Autism Dev Disord., 49, pp. 1048-1061; Golan, O., Sinai-Gavrilov, Y., Baron-Cohen, S., The Cambridge Mindreading Face-Voice Battery for Children (CAM-C): complex emotion recognition in children with and without autism spectrum conditions (2015) Mol Autism., 6, pp. 1-9; Cuff, B.M.P., Brown, S.J., Taylor, L., Howat, D.J., Empathy: A Review of the Concept (2016) Emot Rev., 8, pp. 1-10; Mathôt, S., Schreij, D., Theeuwes, J., OpenSesame:, An open-source, graphical experiment builder for the social sciences (2012) Behav Res., 44, pp. 314-324; Crocker, L., Algina, J., (2008) Introduction to Classical and Modern Test Theory. Masson Cengage Learning;; Bentler, P.M., Alpha Dimension-Free, and Model-Based Internal Consistency Reliability (2009) Psychometrika., 74, pp. 137-143; McNeish, D., Thanks Coefficient Alpha, We'll Take It From Here (2018) Psychol Methods., 23, pp. 412-433; Trizano-Hermosilla, I., Alvarado, J.M., Best Alternatives to Cronbach's Alpha Reliability in Realistic Conditions: Congeneric and Asymmetrical Measurements (2016) Front Psychol., 7, p. 769; Lee, L., Harkness, K.L., Sabbagh, M.A., Mental state decoding abilities in clinical depression (2005) J Affect Disord., 86, pp. 247-258; Timmerman, M.E., Lorenzo-Seva, U., Dimensionality assessment of ordered polytomous items with parallel analysis (2011) Psychol Methods., 16, pp. 209-220; Li, C.H., Confirmatory factor analysis with ordinal data: Comparing robust maximum likelihood and diagonally weighted least squares (2016) Behav Res Methods., 48, pp. 936-949; Hu, L., Bentler, P.M., Cutoff criteria for fit indexes in covariance structure analysis: Conventional criteria versus new alternatives (1999) Struct Equ Modeling., 6, pp. 1-55; (2020), JASP Team. JASP (Version 0.14)[Computer software]; Ferrando, P.J., Lorenzo-Seva, U., Program FACTOR at 10: origins, development and future directions (2017) Psicothema., 29, pp. 236-241; Lüdecke, D., sjPlot: Data Visualization for Statistics in Social Science; (2020), R., Core, Team., R:, A., language and environment for statistical, computing., Vienna, Austria; Malgady, R., How Skewed Are Psychological Data? A Standardized Index of Effect Size (2007) J Gen Psychol, 134, pp. 355-359; Price, L.R., (2017) Psychometric methods: theory into practice. New York: The Guilford Press;; Kline, R.B., (2015) Principles and Practice of Structural Equation Modeling. New York: The Guildford Press;; Tabachnick, B.G., Fidell, L.S., (2007) Using Multivariate Statistics. Boston: Pearson Education;; Voracek, M., Dressler, S., Lack of correlation between digit ratio (2 D:4 D) and Baron-Cohen's”Reading the Mind in the Eyes” test, empathy, systemising, and autism-spectrum quotients in a general population sample (2006) Pers Individ Differ., 41, pp. 1481-1491; Brizio, A., Gabbatore, I., Tirassa, M., Bosco, F.M., ”No more a child, not yet an adult“: studying social cognition in adolescence (2015) Front Psychol., 6, p. 1011; Vetter, N.C., Leipold, K., Kliegel, M., Phillips, L.H., Altgassen, M., Ongoing development of social cognition in adolescence (2013) Child Neuropsychol., 19, pp. 615-629; Kilford, E.J., Garrett, E., Blakemore, S.J., The Development of Social Cognition in Adolescence: An Integrated Perspective (2016) Neurosci Biobehav Rev, 70, pp. 106-120; Pino, M.C., Masedu, F., Vagnetti, R., Attanasio, M., Di Giovanni, C., Valenti, M., Validity of Social Cognition Measures in the Clinical Services for Autism Spectrum Disorder (2020) Front Psychol., 11, p. 4; Mcclure, E., A Meta-Analytic Review of Sex Differences in Facial Expression Processing and Their Development in Infants (2000) Children, and Adolescents. Psychol Bull, 126, pp. 424-453; Hoffmann, H., Kessler, H., Eppel, T., Rukavina, S., Traue, C., Expression intensity, gender and facial emotion recognition: Women recognize only subtle facial emotions better than men (2010) Acta Psychologica, 135, pp. 278-283; Kirkland, R., Peterson, E., Baker, C., Miller, S., Pulos, S., Meta-analysis Reveals Adult Female Superiority in”Reading the Mind in the Eyes Test (2013) North Am J Psychology, 15, pp. 121-146; Lee, H.N., Nam, G., Hur, J.W., Development and validation of the Korean version of the Reading the Mind in the Eyes Test (2020) PloSOne., 15, pp. 1-13; Jankowiask-Siuda, K., Baron-Cohen, S., Bialaszek, W., Dopierala, A., Kozlowska, A., Rymarczyk, K., Psychometric evaluation of the”reading the mind in the eyes” test with samples of differents ages from a Polish population (2016) Stud Psychol., 58, pp. 18-32; Prevost, M., Carrier, M.E., Chowne, G., Zelkowitz, P., Joseph, L., Gold, I., The Reading the Mind in the Eyes test: validation of a French version and exploration of cultural variations in a multi-ethnic city (2013) Cogn Neuropsychiatry, 19, pp. 1-16; Hallerbäck, M., Lugnegard, T., Hjärthag, F., The Reading the Mind in the Eyes Test: Test–retest reliability of a Swedish version (2009) Cogn Neuropsychiatry, 14, pp. 127-143; Kobayashi, C., Glover, G., Temple, E., Cultural and Linguistic Influence on Neural Bases of ‘Theory of Mind’: an fMRI Study with Japanese bilinguals (2006) Brain Lang., 98, pp. 210-220; Kobayashi, F., Temple, E., Cultural Effects on the Neural Basis of Theory of Mind (2009) Prog Brain Res, 178, pp. 213-223; Adams, R., Rule, N., Franklin, N., Wang, E., Stevenson, M., Yoshikawa, S., Cross-cultural Reading the Mind in the Eyes: An fMRI Investigation (2010) J Cogn Neurosci, 22, pp. 97-108; Paulman, S., Uskul, A., Cross-cultural emotional prosody recognition: evidence from Chinese and British listeners (2014) Cogn Emot., 28, pp. 230-244; Bjornsdottir, R., Rule, N., On the relationship between acculturation and intercultural understanding: Insight from the Reading the Mind in the Eyes test (2016) Int J Intercult Relat., 52, pp. 39-48; Bradford, E., Jentzsch, I., Gómez, J., Chen, Y., Zhang, D., Su, Y., Cross-Cultural Differences in Adult Theory of Mind Abilities: A Comparison of Native-English Speakers and NativeChinese Speakers on the Self/Other Differentiation Task (2018) Q J Exp Psychol, 71, pp. 1-26</t>
  </si>
  <si>
    <t>Ávila-Rincón, C.; Psychology program, Colombia; email: Cristian.avila01@uptc.edu.co</t>
  </si>
  <si>
    <t>2-s2.0-85136660122</t>
  </si>
  <si>
    <t>Jaime-Guerrero M., Álvarez-Herrera J.G., Ruiz-Berrío H.D.</t>
  </si>
  <si>
    <t>57858690300;25222348000;57859047900;</t>
  </si>
  <si>
    <t>Postharvest application of acibenzolar-S-methyl and plant extracts affect physicochemical properties of blueberry (Vaccinium corymbosum L.) fruits [Aplicación poscosecha de acibenzolar-S-metil y extractos vegetales afecta propiedades fisicoquímicas de frutos de arándano (Vaccinium corymbosum L.)]</t>
  </si>
  <si>
    <t>https://www.scopus.com/inward/record.uri?eid=2-s2.0-85136601278&amp;doi=10.15446%2fagron.colomb.v40n1.100044&amp;partnerID=40&amp;md5=cfb2159a9da449e5cea0eb19dc6c8a0a</t>
  </si>
  <si>
    <t>Grupo de Investigaciones Agricolas (GIA), Facultad de Ciencias Agropecuarias, Universidad Pedagogica y Tecnologica de Colombia, Boyaca, Tunja, Colombia</t>
  </si>
  <si>
    <t>Jaime-Guerrero, M., Grupo de Investigaciones Agricolas (GIA), Facultad de Ciencias Agropecuarias, Universidad Pedagogica y Tecnologica de Colombia, Boyaca, Tunja, Colombia; Álvarez-Herrera, J.G., Grupo de Investigaciones Agricolas (GIA), Facultad de Ciencias Agropecuarias, Universidad Pedagogica y Tecnologica de Colombia, Boyaca, Tunja, Colombia; Ruiz-Berrío, H.D., Grupo de Investigaciones Agricolas (GIA), Facultad de Ciencias Agropecuarias, Universidad Pedagogica y Tecnologica de Colombia, Boyaca, Tunja, Colombia</t>
  </si>
  <si>
    <t>The demand for fruits with high anthocyanin content, such as blueberries, has increased in recent years due to their health benefits. However, few studies are known on the postharvest behavior of blueberry fruits subjected to the application of plant extracts and acibenzolar-S-methyl (ASM). The objective of this research was to investigate the effect of the application of ASM and vegetable extracts (mint and coriander) on the organoleptic characteristics of blueberry fruits stored at 16°C during postharvest through a completely randomized design with five treatments. The contents of total anthocyanins in fruits (TA) did not differ between treatments, with values that ranged between 74.1 mg and 83.9 mg 100 g-1 of fresh weight. The TA tended to increase during storage and then decrease during senescence. The firmness of blueberry fruits increased during storage, but hardness did not increase, since the fruits are softer and show wrinkling over time, indicating that the epidermis of the fruits has great elasticity. The fruits with the application of vegetable extracts showed the highest total soluble solids and total titratable acidity. The values of red/green and yellow/blue ratio increased, so the blueberry fruits slightly lost their blue hue during postharvest. Fruits with ASM application reached a postharvest life of 15 d after harvest (dah) while the other treatments only maintained quality for 13 dah © 2022, Universidad Nacional de Colombia. All rights reserved.</t>
  </si>
  <si>
    <t>anthocyanins; coriander extract; fruit firmness; mint extract; respiratory rate</t>
  </si>
  <si>
    <t>Abugoch, L., Tapia, C., Plasencia, D., Pastor, A., Castro-Mandujano, O., Lopez, L., Escalona, V. H., Shelf-life of fresh blueberries coated with quinoa protein/chitosan/sunflower oil edible film (2015) Journal of the Science of Food and Agriculture, 96 (2), pp. 619-626. , https://doi.org/10.1002/jsfa.7132, &lt;a href "&gt;https://doi.org/10.1002/jsfa.7132&lt;/a&gt;; (2022) Colombia incrementará la exportación de arándanos frescos bajo tratamientos en frío a los Estados Unidos de América, , https://www.agronet.gov.co/Noticias/Paginas/Colombia-incrementar%C3%A1-la-exportaci%C3%B3n-dear%C3%A1ndanos-frescos-bajo-tratamiento-enfr%C3%ADo-a-Los-Estados-Unidos-de-Am%C3%A9rica.aspx, (November); Akšic, M. F., Tosti, T., Sredojević, M., Milivojević, J., Meland, M., Natić, M., Comparison of sugar profile between leaves and fruits of blueberry and strawberry cultivars grown in organic and integrated production system (2019) Plants, 8 (7), p. 205. , https://doi.org/10.3390/plants8070205, Article; Alvarez-Herrera, J. G., Rozo-Romero, X., Reyes, A. J., Comportamiento poscosecha de frutos de ciruela (Prunus salicina Lindl.) en cuatro estados de madurez tratados con etileno (2015) Revista Colombiana de Ciencias Hortícolas, 9 (1), pp. 46-59. , https://doi.org/10.17584/rcch.2015v9i1.3745; Araujo, L., Bispo, W. M. S., Rios, V. S., Fernandes, S. A., Rodrigues, F. A., Induction of the phenylpropanoid pathway by acibenzolar-s-methyl and potassium phosphite increases mango resistance to Ceratocystis fimbriata infection (2015) Plant Disease Journal, 99 (4), pp. 447-459. , https://doi.org/10.1094/PDIS-08-14-0788-RE; Brackmann, A., Weber, A., Giehl, R. F. H., Eisermann, A. C., Sautter, C. K., Gonyalves, E. D., Antunes, L. E. C., Armazenamento de mirtilo ‘Bluegem’ em atmosfera controlada e refrigerada com absorcao e inibicao do etileno (2010) Revista Ceres, 57 (1), pp. 6-11. , https://doi.org/10.1590/S0034-737X2010000100002; Chiabrando, V., Giacalone, G., Quality evaluation of blueberries coated with chitosan and sodium alginate during postharvest storage (2017) International Food Research Journal, 24 (4), pp. 1553-1561; Cogo, S. L. P., Chaves, F. C., Schirmer, M. A., Zambiazi, R. C., Nora, L., Silva, J. A., Rombaldi, C. V., Low soil water content during growth contributes to preservation of green colour and bioactive compounds of cold-stored broccoli (Brassica oleraceae L.) florets (2011) Postharvest Biology and Technology, 60 (2), pp. 158-163. , https://doi.org/10.1016/j.postharvbio.2010.12.008; Colombo, R. C., de Souza, R. T., da Cruz, M. A., de Carvalho, D. U., Koyama, R., Bilck, A. P., Roberto, S. R., Postharvest longevity of ‘BRS Vitoria’ seedless grapes subjected to cold storage and acibenzolar-S-methyl application (2018) Pesquisa Agropecuaria Brasileira, 53 (7), pp. 809-814. , https://doi.org/10.1590/s0100-204x2018000700004; Cortes-Rojas, M. E., Mesa-Torres, P. A., Grijalba-Rativa, C. M., Perez-Trujillo, M. M., Yield and fruit quality of the blueberry cultivars Biloxi and Sharpblue in Guasca, Colombia (2016) Agronomía Colombiana, 34 (1), pp. 33-41. , https://doi.org/10.15446/agron.colomb.v34n1.54897; Diaz-Perez, J. C., Transpiration, in postharvest physiology and biochemistry of fruits and vegetables (2019) Postharvest physiology and biochemistry of fruits and vegetables, pp. 157-173. , https://doi.org/10.1016/B978-0-12-813278-4.00008-7, E. M. Yahia, &amp; A. Carrillo-Lopez (Eds) (1st ed., –). Elsevier, Kidlington; Eum, H. L., Hong, S. C., Chun, C., Shin, I. S., Lee, B. Y., Kim, H. K., Hong, S. J., Influence of temperature during transport on shelf-life quality of highbush blueberries (Vaccinium corymbosum L. cvs. Bluetta, Duke) (2013) Horticulture, Environment, and Biotechnology, 54, pp. 128-133. , https://doi.org/10.1007/s13580-013-0114-y; Gibson, L., Rupasinghe, H. P. V., Forney, C. F., Eaton, L., Characterization of changes in polyphenols, antioxidant capacity and physico-chemical parameters during lowbush blueberry fruit ripening (2013) Antioxidants, 2 (4), pp. 216-229. , https://doi.org/10.3390/antiox2040216; Gol, N. B., Patel, P. R., Rao, T. V. R., Improvement of quality and shelf-life of strawberries with edible coatings enriched with chitosan (2013) Postharvest Biology and Technology, 85, pp. 185-195. , &lt;a href="https://doi.org/"&gt;https://doi.org/10.1016/j.postharvbio.2013.06.008&lt;/a&gt;; Guadarrama, A., Pena, Y., Actividad respiratoria vs. variaciones fisicas y quimicas en la maduracion de frutos de naranjita china (Citrus x microcarpa Bunge) (2013) Bioagro, 25 (1), pp. 57-63; (2019), https://tienda.icontec.org/gp-frutas-frescas-arandanos-especificaciones-ntc6373-2019.Html, (December). NTC 6373:2019 Frutas frescas. Arándanos. Especificaciones; Ishiga, T., Sakata, N., Ugajin, T., Ishiga, Y., Acibenzolar- S-methyl and probenazole activate stomatal-based defense at different times to control bacterial blight of cabbage (2021) Journal of General Plant Pathology, 87, pp. 30-34. , https://doi.org/10.1007/s10327-020-00965-9; Jaramillo-Sanchez, G., Contigiani, E. V., Castro, M. A., Hodara, K., Alzamora, S. M., Garcia Loredo, A., Nieto, A. B., Freshness maintenance of blueberries (Vaccinium corymbosum L.) during postharvest using ozone in aqueous phase: microbiological, structure, and mechanical issues (2019) Food and Bioprocess Technology, 12, pp. 2136-2147. , https://doi.org/10.1007/s11947-019-02358-z; Jespersen, D., Yu, J., Huang, B., Metabolic effects of acibenzolar-S-methyl for improving heat or drought stress in creeping bentgrass (2017) Frontiers in Plant Science, 8, p. 1224. , https://doi.org/10.3389/fpls.2017.01224, Article; Lee, J., Kim, S., Kim, S., Shim, I. S., Production of γ-aminobutyric acid and its supplementary role in the TCA cycle in rice (Oryza sativa L.) seedlings (2021) Journal of Plant Growth Regulation, 40, pp. 78-90. , https://doi.org/10.1007/s00344-020-10066-8; Li, C., Zhang, J., Ge, Y., Li, X., Wei, M., Hou, J., Cheng, Y., Lv, J., Postharvest acibenzolar-S-methyl treatment maintains storage quality and retards softening of apple fruit (2020) Journal of Food Biochemistry, 44 (3), p. e13141. , https://doi.org/10.1111/jfbc.13141, Article; Liu, Y., Tikunov, Y., Schouten, R. E., Marcelis, L. F. M., Visser, R. G. F., Bovy, A., Anthocyanin biosynthesis and degradation mechanisms in Solanaceous vegetables: a review (2018) Frontiers in Chemistry, 6, p. 52. , https://doi.org/10.3389/fchem.2018.00052, Article; Morais, W. C. C., Lima, M. A. P., Zanuncio, J. C., Oliveira, M. A., Braganca, M. A. L., Serrao, J. E., Della Lucia, T. M. C., Extracts of Ageratum conyzoides, Coriandrum sativum and Mentha piperita inhibit the growth of the symbiotic fungus of leaf-cutting ants (2015) Industrial Crops and Products, 65, pp. 463-466. , https://doi.org/10.1016/j.indcrop.2014.10.054; Paniagua, A. C., East, A. R., Hindmarsh, J. P., Heyes, J. A., Moisture loss is the major cause of firmness change during postharvest storage of blueberry (2013) Postharvest Biology and Technology, 79, pp. 13-19. , https://doi.org/10.1016/j.postharvbio.2012.12.016; Saito, S., Obenland, D., Xiao, C. L., Influence of sulfur dioxide-emitting polyethylene packaging on blueberry decay and quality during extended storage (2020) Postharvest Biology and Technology, 160, p. 111045. , https://doi.org/10.1016/j.postharvbio.2019.111045, Article; Salgado, C. V., Sanchez-Garcia, P., Volke-Haller, V. H., Colinas, M. T. B. L., Respuesta agronomica de arandano (Vaccinium corymbosum L.) al estres osmotico. Agrociencia, 52(2), 231–239. Saltveit, M. E. (2019). Respiratory metabolism (2018), https://doi.org/10.1016/B978-0-12-813278-4.00004-X, E. M. Yahia, &amp; A. Carrillo-Lopez (Eds), Postharvest physiology and biochemistry of fruits and vegetables (1st ed., 73–91). Elsevier, Kidlington; Saxena, A., Sharma, L., Maity, T., Enrichment of edible coatings and films with plant extracts or essential oils for thepreservation of fruits and vegetables (2020) Biopolymer-based formulations, pp. 859-880. , https://doi.org/10.1016/B978-0-12-816897-4.00034-5, P. Kunal, B. Indranil, S. Preetam, K. Doman, D. Win-Ping, D. Kumar, &amp; M. Kaustav (Eds), –). Elsevier Science Publishers, Amsterdam; (2021) Blueberries around the Globe – Past, present, and future, , https://www.fas.usda.gov/sites/default/files/2021-10/GlobalBlueberriesFinal_1.pdf, (October). Foreign Agricultural Service. International Agricultural Trade Report; Vallarino, J. G., Osorio, S., Organic acids (2019) Postharvest physiology and biochemistry of fruits and vegetables, pp. 207-224. , https://doi.org/10.1016/B978-0-12-813278-4.00010-5, E. M. Yahia, &amp; A. Carrillo-Lopez (Eds), (1st ed., –). Elsevier, Kidlington; Xu, F., Liu, S., Control of postharvest quality in blueberry fruit by combined 1-methylcyclopropene (1-MCP) and UV-C irradiation (2017) Food and Bioprocess Technology, 10, pp. 1695-1703. , https://doi.org/10.1007/s11947-017-1935-y, &lt;a href "&gt;https://doi.org/10.1007/s11947-017-1935-y&lt;/a&gt;; Yahia, E. M., Carrillo-Lopez, A., Bello-Perez, L. A., Carbohydrates (2019) Postharvest physiology and biochemistry of fruits and vegetables, pp. 175-205. , https://doi.org/10.1016/B978-0-12-813278-4.00009-9, E. M. Yahia, &amp; A. Carrillo-Lopez (Eds), (1st ed., –). Elsevier, Kidlington; Yang, W., Guo, Y., Liu, M., Chen, X., Xiao, X., Wang, S., Gong, P., Chen, F., Structure and function of blueberry anthocyanins: A review of recent advances (2022) Journal of Functional Foods, 88, p. 104864. , https://doi.org/10.1016/j.jff.2021.104864, Article; Zapata, L. M., Heredia, A. M., Quinteros, C. F., Malleret, A. D., Clemente, G., Carcel, J. A., Optimizacion de la extraccion de antocianinas de arandanos (2014) Ciencia, Docencia y Tecnología, 25 (49), pp. 166-192; Zou, Y., Hou, X., Sonication enhances quality and antioxidant activity of blueberry juice (2017) Journal of Food Science and Technology, 37 (4), pp. 599-603. , https://doi.org/10.1590/1678-457X.27816</t>
  </si>
  <si>
    <t>Álvarez-Herrera, J.G.; Grupo de Investigaciones Agricolas (GIA), Boyaca, Colombia; email: javier.alvarez@uptc.edu.co</t>
  </si>
  <si>
    <t>2-s2.0-85136601278</t>
  </si>
  <si>
    <t>Quintero-Duran M.J., Candelo-Becerra J.E., Posada J.</t>
  </si>
  <si>
    <t>57191275502;55343580700;49362258000;</t>
  </si>
  <si>
    <t>Nonlinear Engineering</t>
  </si>
  <si>
    <t>https://www.scopus.com/inward/record.uri?eid=2-s2.0-85136335518&amp;doi=10.1515%2fnleng-2022-0043&amp;partnerID=40&amp;md5=42223735bbd742d2f5f268618f938b2b</t>
  </si>
  <si>
    <t>Department of Electromechanical Engineering, Universidad Pedagógica y Tecnológica de Colombia, Facultad Seccional Duitama, Research Group Gente, Duitama, 150462, Colombia; Departamento de Energía Eléctrica y Automática, Facultad de Minas, Universidad Nacional de Colombia-Sede Medellín, Medellín, 050034, Colombia; Facultad de Ingeniería, Núcleo de Ingeniería Eléctrica, Universidad Autónoma de Occidente, Cali, 760030, Colombia</t>
  </si>
  <si>
    <t>Quintero-Duran, M.J., Department of Electromechanical Engineering, Universidad Pedagógica y Tecnológica de Colombia, Facultad Seccional Duitama, Research Group Gente, Duitama, 150462, Colombia; Candelo-Becerra, J.E., Departamento de Energía Eléctrica y Automática, Facultad de Minas, Universidad Nacional de Colombia-Sede Medellín, Medellín, 050034, Colombia; Posada, J., Facultad de Ingeniería, Núcleo de Ingeniería Eléctrica, Universidad Autónoma de Occidente, Cali, 760030, Colombia</t>
  </si>
  <si>
    <t>The synchronverter is a device used in some microgrids to perform self-synchronization and represent the behavior of a synchronous machine. However, the original control has been proposed for balanced networks, which is not present in all distribution systems. In unbalanced networks, the negative sequence may appear and generate a double frequency oscillation when delivering power or a non-symmetrical current from the inverter; thus, it must compensate unbalanced load. Therefore, this article shows that a synchronverter can be synchronized using the positive sequence even when there are voltage unbalances. The proposed strategy was simulated in the Simulink-Matlab software, considering an unbalanced power grid with a single inverter and a load. The results confirm the effectiveness of this strategy, as the synchronverter can follow the grid frequency and the wave shape amplitude after starting the frequency droop control. © 2022 Michell J. Quintero-Duran et al., published by De Gruyter.</t>
  </si>
  <si>
    <t>Electric inverters; Electric power system control; Electric power transmission networks; MATLAB; Synchronization; Synchronous generators; Virtual Power Plants; Component decomposition; Droop control; Microgrid; Positive sequence; Power grids; Self synchronization; Sequence components; Symmetrical components; Synchronverte; Virtual synchronoi generator; Distributed power generation</t>
  </si>
  <si>
    <t>Universidad Nacional de Colombia, UNAL: 41933, FP44842-130-2017; Ministério da Ciência, Tecnologia e Inovação, MCTI</t>
  </si>
  <si>
    <t>Funding information: This research was funded by Universidad Nacional de Colombia, Sede Medellín, through the Hermes Project No. 41933 and the contract FP44842-130-2017 and the Colombian Ministry of Science, Technology, and Innovation – Minciencias (Ministerio de Ciencia, Tecnología e Innovación – Minciencias) through the national call 727-2015.</t>
  </si>
  <si>
    <t>Mazari, MB, Boudinar, AH, Mazari, B., Effect of open circuit fault on PMSM drive controlled by sliding mode control and feedback linearization using time and frequency analysis (2018) Int Rev Model Simul, 11 (4), pp. 235-244; Farhat, S, Alaoui, R, Kahaji, A, Bouhouch, L., Wind turbine MPPT strategy with DFIG vector control (2018) Int Rev Model Simul, 11 (6), pp. 406-413; Yang, H, Guerrero, JM, Zhao, R, Zeng, Z., Multi-functional distributed generation unit for power quality enhancement (2015) IET Power Electron, 8 (3), pp. 467-476; Caicedo, J, de Castro, AR, Franca, B, Aredes, M., Resonant harmonic compensation for synchronverter, integrating wind and photovoltaic power generation into an electrical grid, case study: Nonlinear and unbalanced load (2017) 2017 Brazilian Power Electronics Conference (COBEP), pp. 1-6. , Nov 19-22; Juiz de Fora, Brazil. IEEE; 2018; Molina, E, Candelo-Becerra, JE, Hoyos, FE., Control strategy to regulate voltage and share reactive power using variable virtual impedance for a microgrid (2019) Appl Sci, 9 (22), pp. 1-9; Garces-Gomez, YA, Hoyos, FE, Candelo-Becerra, JE., Classic discrete control technique and 3D-SVPWM applied to a dual unified power quality conditioner (2019) Appl Sci, 9 (23), pp. 1-7; Pizarro Pérez, SA, Candelo-Becerra, JE, Hoyos, Velasco FE., Optimal parameters of inverter-based microgrid to improve transient response (2020) Int J Electr Comput Eng, 10 (1), pp. 637-640; da Silva Junior, GP, Barros, LS, Barros, CMV., Synchronverter coupled to a lithium-ion bank for grid frequency and voltage supports and controlled charge-discharge (2021) Electr Power Syst Res, 197 (21), pp. 1-8; Yap, KY, Lim, JMY, Sarimuthu, CR., A novel adaptive virtual inertia control strategy under varying irradiance and temperature in grid-connected solar power system (2021) Int J Electr Power Energy Syst, 132 (21), pp. 1-6; Vetoshkin, L, Müller, Z., A comparative analysis of a power system stability with virtual inertia (2021) Energies, 14 (11), p. 3277; Schulze, W, Zajadatz, M, Suriyah, M, Leibfried, T., Emulation of grid-forming inverters using real-time PC and 4-quadrant voltage amplifier (2021) Forsch im Ingenieurwes, 85 (2), pp. 425-430; Zhong, Q-C, Weiss, G., Synchronverters: Inverters that mimic synchronous generators (2011) IEEE Trans Ind Electron, 58 (4), pp. 1259-1267; Zhong, QC, Nguyen, PL, Ma, Z, Sheng, W., Self-synchronized synchronverters: Inverters without a dedicated synchronization unit (2014) IEEE Trans Power Electron, 29 (2), pp. 617-630; Nguyen, PL, Zhong, QC, Blaabjerg, F, Guerrero, JM., Synchronverter-based operation of STATCOM to mimic synchronous condensers (2012) 2012 7th IEEE Conference on Industrial Electronics and Applications (ICIEA), pp. 942-947. , Jul 18-20; Singapore. IEEE; 2012; Arani, MF, El-Saadany, EF., Implementing virtual inertia in DFIG-based wind power generation (2013) IEEE Trans Power Syst, 28 (2), pp. 1373-1374; Zhong, QC, Ma, Z, Nguyen, PL., PWM-controlled rectifiers without the need of an extra synchronisation unit (2012) IECON 2012-38th Annual Conference on IEEE Industrial Electronics Society, pp. 691-695. , Oct 25-28; Montreal, Canada. IEEE; 2012; Ma, Z, Zhong, Q-C, Yan, JD., Synchronverter-based control strategies for three-phase PWM rectifiers (2012) 2012 7th IEEE Conference on Industrial Electronics and Applications (ICIEA), pp. 225-230. , Jul 18-20; Singapore. IEEE; 2012; Ming, W, Zhong, Q., Synchronverter-based transformerless PV inverters (2014) IECON 2014-40th Annual Conference of the IEEE Industrial Electronics Society, pp. 4396-4401. , Oct 29-Nov 1; Dallas (TX), USA. IEEE; 2015; D'Arco, S, Suul, JA, Fosso, OB., Small-signal modeling and parametric sensitivity of a virtual synchronous machine in islanded operation (2015) Int J Electr Power Energy Syst, 72 (1), pp. 3-5; Aouini, R, Marinescu, B, Ben Kilani, K, Elleuch, M., Improvement of transient stability in an AC/DC system with synchronverter based HVDC (2015) 2015 IEEE 12th International Multi-Conference on Systems, Signals &amp; Devices (SSD15), pp. 1-6. , Mar 16-19; Mahdia, Tunisia. IEEE; 2015; Brown, E, Weiss, G., Using synchronverters for power grid stabilization (2014) 2014 IEEE 28th Convention of Electrical &amp; Electronics Engineers in Israel (IEEEI), pp. 1-5. , Dec 3-5; Eilat, Israel. IEEE; 2015; Aouini, R, Ben Kilani, K, Marinescu, B, Elleuch, M., Virtual synchronous generators dynamic performances (2014) 2014 International Conference on Electrical Sciences and Technologies in Maghreb (CISTEM), pp. 1-6. , Nov 3-6; Tunis, Tunisia. IEEE; 2015; Zhang, CH, Zhong, QC, Meng, JS, Chen, X, Huang, Q, Chen, SH, An Improved Synchronverter Model and its Dynamic Behaviour Comparison with Synchronous Generator (2013) 2nd IET Renewable Power Generation Conference (RPG 2013), pp. 1-4. , Sep 9-11; Beijing, China. IEEE; 2014; Shuai, Z, Hu, Y, Peng, Y, Tu, C, Shen, ZJ., Dynamic stability analysis of synchronverter-dominated microgrid based on bifurcation theory (2017) IEEE Trans Ind Electron, 64 (9), p. 7467; Luo, S, Wu, W, Koutroulis, E, Chung, HSH, Blaabjerg, F., A new virtual oscillator control without third-harmonics injection for DC/AC inverter (2021) IEEE Trans Power Electron, 36 (9), pp. 10879-10888; Sevilmiş, F, Karaca, H., An advanced hybrid pre-filtering/in-loop-filtering based PLL under adverse grid conditions (2021) Eng Sci Technol an Int J, 24 (5), pp. 1144-1152; Ahmad, S, Mekhilef, S, Mokhlis, H., An improved power control strategy for grid-connected hybrid microgrid without park transformation and phase-locked loop system (2021) Int Trans Electr Energy Syst, 31 (7), pp. 1-2; Rajan, R, Fernandez, FM, Yang, Y., Primary frequency control techniques for large-scale PV-integrated power systems: A review (2021) Renew Sustain Energy Rev, 144 (1), pp. 1-8; Phoeurn, S, Somkun, S., A study of a single phase grid connected pv inverter performance under a weak grid condition and distorted grid voltage for Cambodia (2021) Int J Power Electron Drive Syst, 12 (2), pp. 1055-1058; Li, M, Zhang, X, Guo, Z, Wang, J, Wang, Y, Li, F, The control strategy for the grid-connected inverter through impedance reshaping in q-axis and its stability analysis under a weak grid (2021) IEEE J Emerg Sel Top Power Electron, 9 (3), pp. 3229-3232; Madhav, GV, Nagamani, C, Rao, BN., Adaptive control techniques integrated to grid-connected RES with harmonic filter capabilities (2021) Int J Eng Trends Technol, 69 (2), pp. 201-206; Rong, S, Ma, J, Chen, X, Guan, W, Hao, W, Cui, J, Steady-state stability analysis of synchronization loops in weak-grid-connected microgrid (2021) IOP Conf Ser: Earth Environ Sci, 742 (1), p. 012006; Nirmal, S, Sivarajan, KN, Jasmin, EA., Phase shift control and controller area network assisted proportional resonant control for grid integration of single phase voltage source inverters (2021) IET Power Electron, 14 (7), pp. 1371-1373; Gupta, Y, Parganiha, N, Rathore, AK, Doolla, S., An improved reactive power sharing method for an islanded microgrid (2021) IEEE Trans Ind Appl, 57 (3), pp. 2954-2963; Zheng, T, Chen, L, Guo, Y, Mei, S., Comprehensive control strategy of virtual synchronous generator under unbalanced voltage conditions (2018) IET Gener Transm Distrib, 12 (7), pp. 1621-1630; Li, F, Liu, G, Zhu, K, Wang, W., An Improved Control Strategy of Virtual Synchronous Generator under Unbalanced Conditions (2018) 2018 IEEE 4th Southern Power Electronics Conference (SPEC), pp. 1-6. , Dec 10-13; Singapore. IEEE; 2019; Elkhatib, ME, Du, W, Lasseter, RH., Evaluation of inverter-based grid frequency support using frequency-watt and grid-forming PV inverters (2018) 2018 IEEE Power Energy Society General Meeting, pp. 1-5. , Aug 5-10; Portland (OG), USA. IEEE; 2018; Abed, ZM, Hassan, TK, Hameed, KR., Analysis and design of photovoltaic three-phase grid-connected inverter using passivity-based control (2022) Int J Power Electron Drive Syst, 13 (1), p. 167; Fortescue, CL., Method of symmetrical co-ordinates applied to the solution of polyphase networks (1918) Trans Am Inst Electr Eng, 37 (2), pp. 1027-140; Lyon, WV., (1937) Application of the Method of Symmetrical Components, , 1st ed. New York: McGraw-Hill; Iravani, MR, Karimi-Ghartemani, M., Online estimation of steady state and instantaneous symmetrical components (2003) IEE Proc-Gener Transm Distrib, 150 (5), pp. 616-622; Teodorescu, R, Liserre, M, Rodríguez, P., (2011) Grid Converters for Photovoltaic and Wind Power Systems, , 1st ed. West Sussex: John Wiley &amp; Sons, Ltd; Kewat, S, Singh, B., Grid Synchronization of WEC-PV-BES Based Distributed Generation System using Robust Control Strategy (2019) 2019 IEEE Industry Applications Society Annual Meeting, pp. 1-8. , Sep 29-Oct 3; Baltimore (MD), USA. IEEE; 2019; Chen, J, Liu, M, O'Donnell, T, Milano, F., Impact of Current Transients on the Synchronization Stability Assessment of Grid-Feeding Converters (2020) IEEE Trans Power Syst, 35 (5), pp. 4131-4134; (2019) IEEE Recommended Practice for Monitoring Electric Power Quality, , IEEE Std 1159-2019. IEEE Standard 1159-2019 (Revision of IEEE Std 1159-2009); 2019</t>
  </si>
  <si>
    <t>Quintero-Duran, M.J.; Department of Electromechanical Engineering, Colombia; email: michell.quintero@uptc.edu.co</t>
  </si>
  <si>
    <t>De Gruyter Open Ltd</t>
  </si>
  <si>
    <t>Nonlenier Eng.</t>
  </si>
  <si>
    <t>2-s2.0-85136335518</t>
  </si>
  <si>
    <t>Martínez D.C., Carvajal-Cogollo J.E.</t>
  </si>
  <si>
    <t>57208101271;56534044900;</t>
  </si>
  <si>
    <t>Effects of habitat loss on three insect assemblages in modified ecosystems of foothills of the Colombian Orinoquia [Efectos de la pérdida de hábitat en tres ensambles de insectos en ecosistemas modificados de Piedemonte en la Orinoquia colombiana]</t>
  </si>
  <si>
    <t>Revista de Biologia Tropical</t>
  </si>
  <si>
    <t>https://www.scopus.com/inward/record.uri?eid=2-s2.0-85136279406&amp;doi=10.15517%2frev.biol.trop.2022.49628&amp;partnerID=40&amp;md5=8ed7a6a999cbcc479e6586d39fcfab4d</t>
  </si>
  <si>
    <t>Grupo de Investigación Biodiversidad and Conservación, Museo de Historia Natural Luis Gonzalo Andrade Natural, Facultad de Ciencias, Universidad Pedagógica y Tecnológica de Colombia, Avenida Central del Norte 39-115, Boyacá, Tunja, 150003, Colombia; Laboratorio de Entomología, Universidad Pedagógica y Tecnológica de Colombia, Boyacá, Tunja, Colombia</t>
  </si>
  <si>
    <t>Martínez, D.C., Grupo de Investigación Biodiversidad and Conservación, Museo de Historia Natural Luis Gonzalo Andrade Natural, Facultad de Ciencias, Universidad Pedagógica y Tecnológica de Colombia, Avenida Central del Norte 39-115, Boyacá, Tunja, 150003, Colombia, Laboratorio de Entomología, Universidad Pedagógica y Tecnológica de Colombia, Boyacá, Tunja, Colombia; Carvajal-Cogollo, J.E., Grupo de Investigación Biodiversidad and Conservación, Museo de Historia Natural Luis Gonzalo Andrade Natural, Facultad de Ciencias, Universidad Pedagógica y Tecnológica de Colombia, Avenida Central del Norte 39-115, Boyacá, Tunja, 150003, Colombia</t>
  </si>
  <si>
    <t>Introduction: The effects of habitat transformation have been widely studied and the effects are well-known at different levels of biological organization. However, few studies have focused on responses to this process at the level of multiple taxa in diverse taxonomic and functional groups. Objective: Determine the variations in taxonomic and functional diversity of ants, butterflies, and dung beetles, at a spatial and temporal level in a landscape mosaic of the ecoregion of the Colombian foothills. Methods: We assessed amount of natural habitat and landscape composition in four types of vegetation, during the highest and lowest rain periods. We collected butterflies with hand nets and used baited pitfall traps for dung beetles and ants. Results: Habitat loss positively affected ant and butterfly species richness, and negatively affected dung beetles. The abundance of ants and butterflies had a positive effect on the dominance of species in the transformed vegetation, for dung beetles the abundance was negatively affected by the absence of canopy cover. Habitat loss had no negative effect on functional diversity as there is no difference between natural and transformed vegetation. Conclusions: The amount of habitat, habitat connectivity and different types of vegetation cover were important factors in the maintenance of insect diversity in the modified ecosystems of foothills of the Colombian Orinoquia. The lack of a common spatial and temporal pattern shows that studies of multiple insect taxa should be carried out for biodiversity monitoring and conservation processes. © 2022, Universidad de Costa Rica. All rights reserved.</t>
  </si>
  <si>
    <t>ants; butterflies; dung beetles; habitat amount; habitat fragmentation; neotropical landscape</t>
  </si>
  <si>
    <t>BPIN 2020000100003; Universidad Pedagógica y Tecnológica de Colombia, UPTC</t>
  </si>
  <si>
    <t>We thank The Andean Road Consortium and UPTC for financing this project, María Isabel Bautista and Diógenes Arrieta from CONANDINO who collaborated on logistical aspects in the field trips. Irina Tatiana Morales Castaño and the team of the UPTC Entomology Laboratory for their support. Andrés David Meneses for their help in ant determinations. María Paula Chacón Gutierrez for their help in butterfly determinations. We express our gratitude to the call 08-2021, and the project: “Taxonomic and functional diversity of coprophagous beetles (Scarabaeidae: Scarabaeinae) in a gradient altitudinal of the Northeastern Andes, Boyacá-Colombia. SGI 3150” of the Vicerrectoría de Investigación y Extensión, of the Universidad Pedagógica y Tecnológica de Colombia (UPTC). We also want to thank the project: “The biodiversity of Boyacá: Complementation and synthesis through altitudinal gradients and implementations of its incorporation in projects of social appropriation of knowledge and the effects of climate change, Boyacá. BPIN 2020000100003”.</t>
  </si>
  <si>
    <t>Andrade-C., M. G., Campos-Salazar, L. R., GonzálezMontaña, L. A., Pulido-B., H. P., (2017) Santa María Mariposas alas y color, , Instituto de Ciencias Naturales, Universidad Nacional de Colombia; Henao Bañol, E. R., Triviño, P., Técnicas y procesamiento para la recolección, preservación y montaje de mariposas en estudios de biodiversidad y conservación. (Lepidoptera: Hesperioidea-Papilionoidea) (2013) Revista de la Academia Colombiana de Ciencias Exactas, Físicas y Naturales, 37 (144), pp. 311-325. , https://doi.org/10.18257/raccefyn.12, Andrade-C., M. G; Andresen, E., Effects of season and vegetation type on community organization of Dung Beetles in a Tropical Dry Forest (2005) Biotropica, 37 (2), pp. 291-300. , https://doi.org/10.1111/j.1744-7429.2005.00039.x; (2019), https://www.antweb.org, AntWeb (Version 8.75.3). California Academy of Science; Arroyo-Rodríguez, V., Arasa-Gisbert, R., Arce-Peña, N., Cervantes-López, M. J., Cudney-Valenzuela, S. J., Galán-Acedo, C., Hernández-Ruedas, M. A., San-José, M., Determinantes de la biodiversidad en paisajes antrópicos: Una revisión teórica (2019) La biodiversidad en un mundo cambiante: Fundamentos teóricos y metodológicos para su estudio, pp. 65-111. , C. E. Moreno (Ed), –). Universidad Autónoma del Estado de Hidalgo/Libermex; Arroyo-Rodríguez, V., Fahrig, L., Tabarelli, M., Watling, J. I., Tischendorf, L., Benchimol, M., Cazetta, E., Tscharntke, T., Designing optimal humanmodified landscapes for forest biodiversity conservation (2020) Ecology Letters, 23 (9), pp. 1404-1420. , https://doi.org/10.1111/ele.13535; Arroyo-Rodríguez, V., Rojas, C., Saldaña-Vázquez, R. A., Stoner, K. E., Landscape composition is more important than landscape configuration for phyllostomid bat assemblages in a fragmented biodiversity hotspot (2016) Biological Conservation, 198, pp. 84-92. , https://doi.org/10.1016/j.biocon.2016.03.026; Barragán, F., Moreno, C. E., Escobar, F., Halffter, G., Navarrete, D., Negative impacts of human land use on dung beetle functional diversity (2011) PLoS ONE, 6 (3), p. e17976. , https://doi.org/10.1371/journal.pone.0017976; Baselga, A., Partitioning the turnover and nestedness components of beta diversity (2010) Global Ecology and Biogeography, 19 (1), pp. 134-143. , https://doi.org/10.1111/j.1466-8238.2009.00490.x; Baselga, A., The relationship between species replacement, dissimilarity derived from nestedness, and nestedness (2012) Global Ecology and Biogeography, 21 (12), pp. 1223-1232. , https://doi.org/10.1111/j.1466-8238.2011.00756.x; Baselga, A., Leprieur, F., Comparing methods to separate components of beta diversity (2015) Methods in Ecology and Evolution, 6 (9), pp. 1069-1079. , https://doi.org/10.1111/2041-210X.12388; Baselga, A., Orme, D., Villeger, S., De Bortoli, J., Leprieur, F., (2018) betapart: Partitioning Beta Diversity into Turnover and Nestedness Components (R package version 1.5.1), , https://cran.r-project.org/package=betapart; Bernardes, E. J., Rocha, E. C., Jesus, F. G., Oliveira, M. A., Araújo, M. S., Dry Forest fragmentation in Brazilian Cerrado and its effects on communities of Ground foraging ants (2020) Florida Entomologist, 103 (3), pp. 384-391. , https://doi.org/10.1653/024.103.0311; Brown, K. S., Paleoecology and regional patterns of evolution in neotropical forest butterflies (1982) Biological Diversification in the Tropics, pp. 255-308. , G. T. Prance (Ed), –). Columbia University Press; Cadotte, M. W., Carscadden, K., Mirotchnick, N., Beyond species: functional diversity and the maintenance of ecological processes and services (2011) Journal of Applied Ecology, 48 (5), pp. 1079-1087. , https://doi.org/10.1111/j.1365-2664.2011.02048.x; Cardinale, B. J., Duffy, J. E., Gonzalez, A., Hooper, D. U., Perrings, C., Venail, P., Narwani, A., Naeem, S., Biodiversity loss and its impact on humanity (2012) Nature, 486 (7401), pp. 59-67. , https://doi.org/10.1038/nature11148; Carrié, R., Andrieu, E., Cunningham, S. A., Lentini, P. E., Loreau, M., Ouin, A., Relationships among ecological traits of wild bee communities along gradients of habitat amount and fragmentation (2017) Ecography, 40 (1), pp. 85-97. , https://doi.org/10.1111/ecog.02632; Carvajal, L., Patarroyo, J., Puentes, D., Valero, J., (2007) Caracterización florística y estructural del piedemonte llanero en el departamento del Meta, , Corporación para el Desarrollo Sostenible del Área de Manejo Especial La Macarena (Cormacarena), Universidad Distrital Francisco José de Caldas, Colombia; Casanoves, F., Pla, L., Di Rienzo, J. A., Díaz, S., FDiversity: a software package for the integrated analysis of functional diversity (2010) Methods in Ecology and Evolution, 2 (3), pp. 233-237. , https://doi.org/10.1111/j.2041-210X.2010.00082.x; Casas-Pinilla, L. C., Rpios-Málaver, I. C., Diversidad de mariposas en un paisaje de bosque seco tropical, en la Mesa de los Santos, Santander, Colombia (Lepidoptera: Papilionoidea) (2017) SHILAP Revista de Lepidopterología, 45 (177), pp. 83-108. , Mahecha-J., O., Dumar-R., J. C; Castro, F. S., Da Silva, P. G., Solar, R., Fernandes, G. W., Neves, F. S., Environmental drivers of taxonomic and functional diversity of ant communities in a tropical mountain (2020) Insect Conservation and Diversity, 13 (4), pp. 393-403. , https://doi.org/10.1111/icad.12415; Chao, A., Hsieh, T. C., Chazdon, R. L., Colwell, R. K., Gotelli, N. J., Inouye, B. D., Unveiling the species-rank abundance distribution by generalizing the Good-Turing sample coverage theory (2015) Ecology, 96 (5), pp. 1189-1201. , https://doi.org/10.1890/14-0550.1; Chao, A., Jost, L., Coverage-based rarefaction and extrapolation: standardizing samples by completeness rather than size (2012) Ecology, 93 (12), pp. 2533-2547. , https://doi.org/10.1890/11-1952.1; Clarke, K. R., Warwick, R., (2001) Change in marine communities: an approach to statistical analysis and interpretation, , (2nd Ed). PRIMER-E Ltd; Collinge, S. K., (2009) Ecology of fragmented landscapes, , Johns Hopkins University Press; Córdova-Tapia, F., Zambrano, L., La diversidad funcional en la ecología de comunidades (2015) Revista Ecosistemas, 24 (3), pp. 78-87. , https://doi.org/10.7818/RE.2014.24-3.00; Crist, T. O., Pradhan-Devare, S. V., Summerville, K. S., Spatial variation in insect community and species responses to habitat loss and plant community composition (2006) Oecologia, 147 (3), pp. 510-521. , https://doi.org/10.1007/s00442-005-0275-1; Cuezzo, F., Subfamilia Dolichoderinae (2003) Introducción a las Hormigas de la Región Neotropical, p. 398. , F. Fernández (Ed), Instituto de Investigación de Recursos Biológicos Alexander von Humboldt; Cultid, C. A., Medina, C. A., Martínez Quintero, B. G., Escobar Villa, A. F., Constantino Chuaire, L. M., Betancur Posada, N. J., (2012) Escarabajos coprófagos (Scarabaeinae) del Eje Cafetero: guía para el estudio ecológico, , (1st Ed). Wildlife Conservation Society (WCS) Colombia &amp;amp; CENICAFÉ (Federación Nacional de Cafeteros de Colombia); Cultid-Medina, C., Escobar, F., Pautas para la estimación y comparación estadística de la diversidad biológica (qD) (2019) La biodiversidad en un mundo cambiante: Fundamentos teóricos y metodológicos para su estudio, pp. 175-202. , C. E. Moreno (Ed), –). Universidad Autónoma del Estado de Hidalgo/Libermex; Cultid-Medina, C. A., Martínez-Quintero, B. G., Escobar, F., de Ulloa, P. C., Movement and population size of two dung beetle species in an Andean agricultural landscape dominated by sun-grown coffee (2015) Journal of Insect Conservation, 19 (4), pp. 617-626. , https://doi.org/10.1007/S10841-015-9784-3; Da Silva, P. G., Hernández, M., Spatial Patterns of Movement of Dung Beetle Species in a Tropical Forest Suggest a New Trap Spacing for Dung Beetle Biodiversity Studies (2015) PLoS ONE, 10 (5), p. e0126112. , https://doi.org/10.1371/journal.pone.0126112; Davies, R. W., Edwards, D. P., Edwards, F. A., Secondary tropical forests recover dung beetle functional diversity and trait composition (2020) Animal Conservation, 23 (5), pp. 617-627. , https://doi.org/10.1111/acv.12584; Davies, K. F., Margules, C. R., Lawrence, J. F., A synergistic effect puts rare, specialized species at greater risk of extinction (2004) Ecology, 85 (1), pp. 265-271. , https://doi.org/10.1890/03-0110; Debinski, D. M., Holt, R. D., A survey and overview of habitat fragmentation experiments (2000) Conservation Biology, 14 (2), pp. 342-355. , https://doi.org/10.1046/j.1523-1739.2000.98081.x; Decaëns, T., Martins, M. B., Feijoo, A., Oszwald, J., Dolédec, S., Mathieu, J., Arnaud de Sartre, X., Lavelle, P., Biodiversity loss along a gradient of deforestation in Amazonian agricultural landscapes (2018) Conservation Biology, 32 (6), pp. 1380-1391. , https://doi.org/10.1111/cobi.13206; DeVries, P. J., (1987) The butterflies of Costa Rica and their natural history. Papilionidae, Pieridae, Nymphalidae, , Princeton University Press; Dias, N. S., Zanetti, R., Santos, M. S., Louzada, J., Delabie, J., Interação de fragmentos florestais com agroecossistemas adjacentes de café e pastagem: Respostas das comunidades de formigas (Hymenoptera, Formicidae) (2008) Iheringia-Serie Zoologia, 98 (1), pp. 136-142. , https://doi.org/10.1590/S0073-47212008000100017; Díaz-García, J. M., López-Barrera, F., Pineda, E., ToledoAceves, T., Andresen, E., Comparing the success of active and passive restoration in a tropical cloud forest landscape: A multi-taxa fauna approach (2020) PLoS ONE, 15 (11), p. e0242020. , https://doi.org/10.1371/journal.pone.0242020; Dröse, W., Podgaiski, L. R., Dias, C. F., Mendonça, M. de S., Local and regional drivers of ant communities in forest-grassland ecotones in South Brazil: A taxonomic and phylogenetic approach (2019) PLoS ONE, 14 (4), p. e0215310. , https://doi.org/10.1371/journal.pone.0215310; Edmonds, W. D., Zídek, J., Taxonomy of Phanaeus revisited: Revised keys to and comments on species of the New World dung beetle genus Phanaeus MacLeay, 1819 (Coleoptera: Scarabaeidae: Scarabaeinae: Phanaeini) (2012) Insecta Mundi, 274, pp. 1-108; Edwards, F. A., Finan, J., Graham, L. K., Larsen, T. H., Wilcove, D. S., Hsu, W. W., Chey, V. K., Hamer, K. C., The impact of logging roads on dung beetle assemblages in a tropical rainforest reserve (2017) Biological Conservation, 205, pp. 85-92. , https://doi.org/10.1016/j.biocon.2016.11.011; (2016), https://www.esri.com/en-us/arcgis/products/arcgis-pro/overview, ArcGIS (Version 10.6). Environmental Systems Research Institute; Etter, A., Angela, A., Saavedra, K., Amaya, P., Arevalo, P., Cortés, J., Pacheco-Riaño, L. C., Soler, D., (2017) Lista Roja de Ecosistemas de Colombia, , https://doi.org/10.13140/RG.2.2.10861.08165, Pontificia Universidad Javeriana, Conservación Internacional; Ewers, R. M., Didham, R. K., Confounding factors in the detection of species responses to habitat fragmentation (2006) Biological Reviews of the Cambridge Philosophical Society, 81 (1), pp. 117-142. , https://doi.org/10.1017/S1464793105006949; Fahrig, L., How much habitat is enough? (2001) Biological Conservation, 100 (1), pp. 65-74. , https://doi.org/10.1016/S0006-3207(00)00208-1; Fahrig, L., Effects of habitat fragmentation on biodiversity (2003) Annual Review of Ecology, Evolution, and Systematics, 34 (1), pp. 487-515. , https://doi.org/10.1146/annurev.ecolsys.34.011802.132419; Fahrig, L., Rethinking patch size and isolation effects: the habitat amount hypothesis (2013) Journal of Biogeography, 40 (9), pp. 1649-1663. , https://doi.org/10.1111/jbi.12130; Fahrig, L., Ecological responses to habitat fragmentation per se (2017) Annual Review of Ecology, Evolution, and Systematics, 48, pp. 1-23. , https://doi.org/10.1146/annurev-ecolsys-110316-022612; Fahrig, L., Habitat fragmentation: A long and tangled tale (2019) Global Ecology and Biogeography, 28 (1), pp. 33-41. , https://doi.org/10.1111/geb.12839; Fahrig, L., Arroyo-Rodríguez, V., Bennett, J. R., BoucherLalonde, V., Cazetta, E., Currie, D. J., Eigenbrod, F., Watling, J. I., Is habitat fragmentation bad for biodiversity? (2019) Biological Conservation, 230, pp. 179-186. , https://doi.org/10.1016/j.biocon.2018.12.026; Fernández, F., (2003) Introdución a las Hormigas de la región Neotropical, , Instituto de Investigación de Recursos Biológicos Alexander von Humboldt; Fernández, F., Guerrero, R. J., Delsinne, T., (2019) Hormigas de Colombia, , Universidad Nacional de Colombia; Filgueiras, B. K. C., Melo, D. H. A., Andersen, A. N., Tabarelli, M., Leal, I. R., Cross-taxon congruence in insect responses to fragmentation of Brazilian Atlantic forest (2019) Ecological Indicators, 98, pp. 523-530. , https://doi.org/10.1016/j.ecolind.2018.11.036; Filgueiras, B. K. C., Melo, D. H. A., Leal, I. R., Tabarelli, M., Freitas, A. V. L., Iannuzzi, L., Fruit-feeding butterflies in edge-dominated habitats: community structure, species persistence and cascade effect (2016) Journal of Insect Conservation, 20 (3), pp. 539-548. , https://doi.org/10.1007/s10841-016-9888-4; Filgueiras, B. K. C., Melo, D. H. A., Uehara-Prado, M., Freitas, A. V. L., Leal, I. R., Tabarelli, M., Compensatory dynamics on the community structure of fruit-feeding butterflies across hyper-fragmented Atlantic forest habitats (2019) Ecological Indicators, 98, pp. 276-284. , https://doi.org/10.1016/j.ecolind.2018.11.005; Fischer, J., Lindenmayer, D. B., Landscape modification and habitat fragmentation: a synthesis (2007) Global Ecology and Biogeography, 16 (3), pp. 265-280. , https://doi.org/10.1111/j.1466-8238.2007.00287.x; Forister, M. L., Pelton, E. M., Black, S. H., Declines in insect abundance and diversity: we know enough to act now (2019) Conservation Science and Practice, 1, p. e80. , https://doi.org/10.1111/csp2.80; Génier, F., A revision of the Neotropical genus Ontherus Erichson (Coleoptera: Scarabaeidae, Scarabaeinae), Supplement 1 (1998) The Coleopterists Bulletin, 52 (3), pp. 270-274; Génier, F., Kohlmann, B., Revision of the neotropical dung beetle genera Scatimus Erichson and Scatrichus gen. noc. (Coleoptera: Scarabaeidae: Scarabaeinae) (2003) Fabreries, 28 (2), pp. 57-111; Gilroy, J. J., Edwards, D. P., Source-sink dynamics: a neglected problem for landscape-scale biodiversity conservation in the Tropics (2017) Current Landscape Ecology Reports, 2 (1), pp. 51-60. , https://doi.org/10.1007/s40823-017-0023-3; Giménez-Gómez, V. C., Verdú, J. R., Guerra Alonso, C. B., Zurita, G. A., Relationship between land uses and diversity of dung beetles (Coleoptera: Scarabaeinae) in the southern Atlantic forest of Argentina: which are the key factors? (2018) Biodiversity and Conservation, 27 (12), pp. 3201-3213. , https://doi.org/10.1007/s10531-018-1597-8; Gómez-Cifuentes, A., Vespa, N., Semmartín, M., Zurita, G., Canopy cover is a key factor to preserve the ecological functions of dung beetles in the southern Atlantic Forest (2020) Applied Soil Ecology, 154, p. 103652. , https://doi.org/10.1016/j.apsoil.2020.103652; González, E., Buffa, L., Defagó, M. T., Molina, S. I., Salvo, A., Valladares, G., Something is lost and something is gained: loss and replacement of species and functional groups in ant communities at fragmented forests (2018) Landscape Ecology, 33 (12), pp. 2089-2102. , https://doi.org/10.1007/s10980-018-0724-y; González, I., Déjean, S., (2021) Canonical correlation analysis (R package version 1.2), , https://cran.r-pro-ject.org/web/packages/CCA/index.html; Hayes, L., Mann, D. J., Monastyrskii, A. L., Lewis, O. T., Rapid assessments of tropical dung beetle and butterfly assemblages: contrasting trends along a forest disturbance gradient (2009) Insect Conservation and Diversity, 2 (3), pp. 194-203. , https://doi.org/10.1111/j.1752-4598.2009.00058.x; Hernández, J., Guerra Hurtado, A., Ortiz Quijano, R., Walschburger, T., Unidades biogeográficas de Colombia (1992) La Diversidad Biológica de Iberoamérica, pp. 55-105. , G. Halffter (Ed), –). Instituto de Ecología, Secretaria de Desarrollo Social, Colombia; Hernández, O. F., Sánchez, F., Lizcano, D. J., Murciélagos insectívoros aéreos en un paisaje ganadero del piedemonte llanero colombiano (2021) Biota Colombiana, 22 (1), pp. 164-183. , https://doi.org/10.21068/c2021.v22n01a11; Horváth, Z., Ptacnik, R., Vad, C. F., Chase, J. M., Habitat loss over six decades accelerates regional and local biodiversity loss via changing landscape connectance (2019) Ecology Letters, 22 (6), pp. 1019-1027. , https://doi.org/10.1111/ele.13260; Hsieh, T. C., Ma, K. H., Chao, A., iNEXT: an R package for rarefaction and extrapolation of species diversity (Hill numbers) (2016) Methods in Ecology and Evolution, 7 (12), pp. 1451-1456. , https://doi.org/10.1111/2041-210X.12613; (2011) Mapa nacional de coberturas de la tierra a escala 1:100.000, metodología Corine Land Cover adaptada para Colombia, Base de Datos en formato Geodatabase, , IDEAM (Instituto de Investigaciones de Recursos Alexander von Humboldt), SINCHI (Instituto Amazónico de Investigaciones Científicas), UAESPNN (Unidad Administrativa Especial del Sistema de Parques Nacionales Naturales), &amp; IGAC (Instituto Geográfico Agustín Codazzi). Convenio Especial de Cooperación IDEAM, IDEAM, SINCHI, UAESPNN, IGAC, Colombia; Jactel, H., Imler, J. L., Lambrechts, L., Failloux, A. B., Lebreton, J. D., Maho, Y. Le, Duplessy, J. C., Grandcolas, P., Insect decline: immediate action is needed (2021) Comptes Rendus Biologies, 343 (3), pp. 267-293. , https://doi.org/10.5802/crbiol.37; Jost, L., Entropy anddiversity (2006) Oikos, 113 (2), pp. 363-375. , https://doi.org/10.1111/j.2006.0030-1299.14714.x; Kellner, K. F., Duchamp, J. E., Swihart, R. K., Niche breadth and vertebrate sensitivity to habitat modification: signals from multiple taxa across replicated landscapes (2019) Biodiversity and Conservation, 28 (10), pp. 2647-2667. , https://doi.org/10.1007/s10531-019-01785-w; Kinzig, A. P., Pacala, S. W., Tilman, D., (2002) The functional consequences of biodiversity: empirical progress and theoretical extensions, , (Eds). Princeton University Press; Kishimoto-Yamada, K., Itioka, T., How much have we learned about seasonality in tropical insect abundance since Wolda (1988)? (2015) Entomological Science, 18 (4), pp. 407-419. , https://doi.org/10.1111/ens.12134; Lamas, G., Checklist: Part 4a. Hesperioidea-Papilio-noidea (2004) Atlas of Neotropical Lepidoptera, p. 475. , J. B. Heppner (Ed), Association for Tropical Lepidoptera, Inc. Scientific Publishers; Langevelde, F., Braamburg-Annegarn, M., Huigens, M. E., Groendijk, R., Poitevin, O., Deijk, J. R., Ellis, W. N., WallisDeVries, M. F., Declines in moth populations stress the need for conserving dark nights (2018) Global Change Biology, 24 (3), pp. 925-932. , https://doi.org/10.1111/gcb.14008, Protegidas en Colombia (Base de Datos Geográfica a Escala 1:100.000). Parques Nacionales Naturales de Colombia; Laurance, W. F., Hyperdynamism in fragmented habitats (2002) Journal of Vegetation Science, 13 (4), pp. 595-602. , https://doi.org/10.1111/j.1654-1103.2002.tb02086.x; Losey, J. E., Vaughan, M., The economic value of ecological services provided by insects (2006) BioScience, 56 (4), pp. 311-323. , https://doi.org/10.1641/0006-3568(2006)56[311:TEVOES]2.0.CO;2; Macdonald, D. W., Chiaverini, L., Bothwell, H. M., Kaszta, Ż., Ash, E., Bolongon, G., Can, Ö. E., Cushman, S. A., Predicting biodiversity richness in rapidly changing landscapes: climate, low human pressure or protection as salvation? (2020) Biodiversity and Conservation, 29 (14), pp. 4035-4057. , https://doi.org/10.1007/s10531-020-02062-x; MacKenzie, D. I., Nichols, J. D., Royle, J. A., Pollock, K. H., Bailey, L. L., Hines, J. E., (2018) Occupancy Estimation and Modeling: Inferring Patterns and Dynamics of Species Occurrence, , https://doi.org/10.1016/C2012-0-01164-7, (2nd Ed). Elsevier Academic Press; Mahecha-Jiménez, O., Dumar-Rodríguez, J. C., Pyrcz, T. W., Efecto de la fragmentación del hábitat sobre las comunidades de Lepidoptera de la tribu Pronophilini a lo largo de un gradiente altitudinal en un bosque andino en Bogotá (Colombia) (Lepidoptera: Nymphalidae, Satyrinae) (2011) SHILAP Revista de Lepidopterología, 39 (153), pp. 117-126; Mariottini, Y., De Wysiecki, M. L., Lange, C. E., Variación temporal de la riqueza, composición y densidad de acridios (Orthoptera: Acridoidea) en diferentes comunidades vegetales del Sur de la provincia de Buenos Aires (2012) Revista de la Sociedad Entomológica Argentina, 71 (3–4), pp. 275-288; Marquez, J. P., Martínez, N. H., Estructura poblacional de Morpho helenor peleides kollar, 1850 (Lepidoptera: Nymphalidae) en un paisaje de bosque seco tropical, departamento de Bolivar, Colombia (2020) Boletín Científico. Centro de Museos, 24 (2), pp. 169-189. , https://doi.org/10.17151/BCCM.2020.24.2.12; Martínez-Falcón, A. P., Zurita, G. A., Ortega-Martínez, I. J., Moreno, C. E., Populations and assemblages living on the edge: Dung beetles responses to forests-pasture ecotones (2018) PeerJ, 2018 (12), p. e6148. , https://doi.org/10.7717/peerj.6148; Latorre, J. P., Rodríguez, O. J., Corredor, L. P., Arias, D. A., (2014) Condición de las Unidades Ecobiogeograficas Continentales y Sistema Nacional de Áreas; Mason, N. W. H., Mouillot, D., Lee, W. G., Wilson, J. B., Functional richness, functional evenness and functional divergence: the primary components of functional diversity (2005) Oikos, 111 (1), pp. 112-118. , https://doi.org/10.1111/j.0030-1299.2005.13886.x; Medina, C. A., Lopera-Toro, A., Clave ilustrada para la identificación de géneros de escarabajos coprófagos (Coleoptera: Scarabaeinae) de Colombia (2000) Caldasia, 22 (2), pp. 299-315. , https://doi.org/10.1590/S1519-566X2009000600002; Melo, D. H. A., Filgueiras, B. K. C., Iserhard, C. A., Iannuzzi, L., Freitas, A. V. L., Leal, I. R., Effect of habitat loss and fragmentation on fruit-feeding butterflies in the Brazilian Atlantic Forest (2019) Canadian Journal of Zoology, 97 (7), pp. 588-596. , https://doi.org/10.1139/cjz-2018-0202; Minorta-C., V., Rangel-Ch., J. O., El clima de la Orinoquia Colombiana (2015) Colombia Diversidad Biotica XIV. La región de la Orinoquia de Colombia, pp. 207-236. , J. O. Rangel-Ch. (Ed), –). Universidad Nacional de Colombia; Mouillot, D., Mason, W. H. N., Dumay, O., Wilson, J. B., Functional regularity: A neglected aspect of functional diversity (2005) Oecologia, 142 (3), pp. 353-359. , https://doi.org/10.1007/s00442-004-1744-7; Noriega, J. A., Hortal, J., Azcárate, F. M., Berg, M. P., Bonada, N., Briones, M. J. I., Del Toro, I., Santos, A. M. C., Research trends in ecosystem services provided by insects (2018) Basic and Applied Ecology, 26, pp. 8-23. , https://doi.org/10.1016/j.baae.2017.09.006; Nunes, C. A., Braga, R. F., de Moura Resende, F., de Siqueira Neves, F., Figueira, J. E. C., Fernandes, G. W., Linking biodiversity, the environment and ecosystem functioning: ecological functions of dung beetles along a tropical elevational gradient (2018) Ecosystems, 21 (6), pp. 1244-1254. , https://doi.org/10.1007/s10021-017-0216-y; Nunes, C. A., Braga, R. F., Figueira, J. E. C., Neves, F. de S., Fernandes, G. W., Dung beetles along a tropical altitudinal gradient: environmental filtering on taxonomic and functional diversity (2016) PLoS ONE, 11 (6), p. e0157442. , https://doi.org/10.1371/journal.pone.0157442; Oksanen, J., Guillaume Blanchet, F., Kindt, R., Legendre, P., Minchin, P. R., O’Hara, R. B., Simpson, G. L., Wagner, H., (2019) Vegan: Community Ecology Package (R package version 2.5-6), , https://cran.r-project.org/package=vegan; Parikh, G., Rawtani, D., Khatri, N., Insects as an indicator for environmental pollution (2020) Environmental Claims Journal, 33 (2), pp. 161-181. , https://doi.org/10.1080/10406026.2020.1780698; Pla, L., Casanoves, F., Di Rienzo, J. A., (2012) Quantifying Functional Biodiversity, , https://doi.org/10.1007/978-94-007-2648-2, Springer; Püttker, T., Bueno, A. A., dos Santos de Barros, C., Sommer, S., Pardini, R., Immigration rates in fragmented landscapes-empirical evidence for the importance of habitat amount for species persistence (2011) PLoS ONE, 6 (11), p. e27963. , https://doi.org/10.1371/journal.pone.0027963; Püttker, T., Crouzeilles, R., Almeida-Gomes, M., Schmoeller, M., Maurenza, D., Alves-Pinto, H., Pardini, R., Prevedello, J. A., Indirect effects of habitat loss via habitat fragmentation: A cross-taxa analysis of forest-dependent species (2020) Biological Conservation, 241, p. 108368. , https://doi.org/10.1016/j.biocon.2019.108368; Queiroz, A. C. M., Rabello, A. M., Braga, D. L., Santiago, G. S., Zurlo, L. F., Philpott, S. M., Ribas, C. R., Cerrado vegetation types determine how land use impacts ant biodiversity (2020) Biodiversity and Conservation, 29 (1), pp. 2017-2034. , https://doi.org/10.1007/s10531-017-1379-8; Queiroz, A. C. M., Ribas, C. R., Canopy cover negatively affects arboreal ant species richness in a tropical open habitat (2016) Brazilian Journal of Biology, 76, pp. 864-870. , https://doi.org/10.1590/1519-6984.02015, (04); (2019) R: A Language and Environment for Statistical Computing, , https://www.r-project.org, R Foundation for Statistical Computing; Rangel-Ch., J. O., Ecosistemas de la Orinoquia Colombia (2014) Colombia. Diversidad Biótica XIV. La región de la Orinoquia de Colombia, pp. 807-847. , J. O. Rangel-Ch. (Ed), –). Universidad Nacional de Colombia; Rangel-Ch., J. O., Minorta-C., V., Los tipos de vegetación de la Orinoquia Colombiana (2015) Colombia Diversidad Biotica XIV. La región de la Orinoquia de Colombia, pp. 533-608. , J. O. Rangel-Ch. (Ed), –). Universidad Nacional de Colombia; Rivera, L. F., Botero, M., Escobar, S., Armbrecht, I., Diversidad de hormigas en sistemas ganaderos (2008) Ganadería del futuro: investigación para el desarrollo, pp. 227-243. , E. Murgueitio, C. Cuartas, &amp; J. Naranjo (Eds), –). Fundación CIPAV; Romero, M. H., Galindo, G., Otero, J., Armenteras, D., (2004) Ecosistemas de la cuenca del Orinoco colombiano, , Instituto de Investigación de Recursos Biológicos Alexander von Humboldt; Sackmann, P., Efectos de la variación temporal y los métodos de captura en la eficiencia de un muestreo de coleópteros en la Reserva Natural Loma del Medio, El Bolsón, Río Negro (2006) Revista de la Sociedad Entomológica Argentina, 65 (3–4), pp. 35-50; Sanabria-Blandón, M. C., de Ulloa, P., Hormigas cazadoras en sistemas productivos del piedemonte amazónico colombiano: diversidad y especies indicadoras (2011) Acta Amazonica, 41 (4), pp. 503-512; Sánchez-Bayo, F., Wyckhuys, K. A. G., World-wide decline of the entomofauna: A review of its drivers (2019) Biological Conservation, 232, pp. 8-27. , https://doi.org/10.1016/j.biocon.2019.01.020; Santoandré, S., Filloy, J., Zurita, G. A., Bellocq, M. I., Taxonomic and functional β-diversity of ants along tree plantation chronosequences differ between contrasting biomes (2019) Basic and Applied Ecology, 41, pp. 1-12. , https://doi.org/10.1016/j.baae.2019.08.004; Sardanyés, J., Piñero, J., Solé, R., Habitat loss-induced tipping points in metapopulations with facilitation (2019) Population Ecology, 61 (4), pp. 436-449. , https://doi.org/10.1002/1438-390X.12020; Sarmiento-Garcés, R., Amat-García, G., (2014) Escarabajos del género Dichotomius Hope 1838 (Scarabaeidae: Scarabaeinae) en Colombia, , Universidad Nacional de Colombia; Scholtz, C. H., Davis, A. L. V., Kryger, U., (2009) Evolutionary biology and conservation of dung beetles, , (1st Ed). Pensoft Publishers; Senior, R. A., Hill, J. K., González del Pliego, P., Goode, L. K., Edwards, D. P., A pantropical analysis of the impacts of forest degradation and conversion on local temperature (2017) Ecology and Evolution, 7 (19), pp. 7897-7908. , https://doi.org/10.1002/ece3.3262; Skogen, K., Helland, H., Kaltenborn, B., Concern about climate change, biodiversity loss, habitat degradation and landscape change: Embedded in different packages of environmental concern? (2018) Journal for Nature Conservation, 44, pp. 12-20. , https://doi.org/10.1016/j.jnc.2018.06.001; Spector, S., Scarabaeine dung beetles (coleoptera: Scarabaeidae: Scarabaeinae): an invertebrate focal taxon for biodiversity research and conservation (2006) The Coleopterists Bulletin, 60 (5), pp. 71-83. , https://doi.org/10.1649/0010-065x(2006)60[71:sdbcss]2.0.co;2; Stork, N. E., How many species of insects and other terrestrial arthropods are there on Earth? (2018) Annual Review of Entomology, 63 (1), pp. 31-45. , https://doi.org/10.1146/annurev-ento-020117-043348; Suárez-Parra, K. V., Cély-Reyes, G. E., Forero-Ulloa, F. E., Corine Land Cover (CLC) methodology validation for the space temporary coverage determination: Mecha creek case (Cómbita, Boyacá), Colombia (2016) Biota Colombiana, 17 (1), pp. 1-15. , https://doi.org/10.21068/C2016v17r01a01; (2019) Imagen Satelital 7-57 de Landsat, , https://glovis.usgs.gov/app; Vargas-Zapata, M. A., Martínez-Hernández, N. J., Gutiérrez-Moreno, L. C., Prince-Chacon, S., HerreraColon, V., Torres-Periñan, L. F., Species richness and abundance of Hesperioidea and Papilionoidea (Lepidoptera) in Las Delicias Natural Reserve, Santa Marta, Magdalena, Colombia (2011) Acta Biológica Colombiana, 16 (1), pp. 43-60. , https://doi.org/10.15446/abc; Vaz de Mello, F. Z., Edmonds, W. D., Ocampo, F. C., Schoolmeesters, P., A multilingual key to the genera and subgenera of the subfamily Scarabaeinae of the New World (Coleoptera: Scarabaeidae) (2011) Zoo-taxa, 2854 (2854), pp. 1-73. , https://doi.org/10.11646/zootaxa.2854.1.1; Velosa, R. I., Domínguez, K. J., Romero, Y., Composición y diversidad del banco de semillas en áreas urbanas fragmentadas de piedemonte, Villavicencio, Colombia (2018) Ingenierías USBMed, 9 (1), pp. 86-96. , https://doi.org/10.21500/20275846.3317; Villarreal, H., Álvarez, M., Córdoba, S., Escobar, F., Fagua, G., Gast, F., Mendoza, H., Umaña, A. M., (2006) Manual de métodos para el desarrollo de inventarios de biodiversidad, , (2nd Ed). Instituto de Investigación de Recursos Biológicos Alexander von Humboldt; Wagner, D. L., Insect declines in the anthropocene (2020) Annual Review of Entomology, 65, pp. 457-480. , https://doi.org/10.1146/annurev-ento-011019-025151; Warren, A. D., Davis, K. J., Stangeland, E. M., Pelham, P. J., Willmott, K. R., Grishin, N. V., (2017) Illustrated Lists of American Butterflies (North and South America), , Butterflies of America Foundation; Watling, J. I., Arroyo-Rodríguez, V., Pfeifer, M., Baeten, L., Banks-Leite, C., Cisneros, L. M., Fang, R., Fahrig, L., Support for the habitat amount hypothesis from a global synthesis of species density studies (2020) Ecology Letters, 23 (4), pp. 674-x681. , https://doi.org/10.1111/ele.13471</t>
  </si>
  <si>
    <t>Martínez, D.C.; Grupo de Investigación Biodiversidad and Conservación, Avenida Central del Norte 39-115, Boyacá, Colombia; email: martinezd.camilo@gmail.com</t>
  </si>
  <si>
    <t>2-s2.0-85136279406</t>
  </si>
  <si>
    <t>Olaya-Marín E.J., Lemus-Portillo C., Pedraza M.C.E., García O.A.C., Roa-Fuentes C.A., Salazar-Galán S., Peña M.B.</t>
  </si>
  <si>
    <t>55365054800;57850982100;57223024981;57851832900;36983373700;57312689100;57211525273;</t>
  </si>
  <si>
    <t>Differences in body size and abundance of high Andean fishes, above and below the Neusa dam, Colombia [Diferencias en el tamaño corporal y la abundancia de peces altoandinos, arriba y abajo de la represa Neusa, Colombia]</t>
  </si>
  <si>
    <t>https://www.scopus.com/inward/record.uri?eid=2-s2.0-85136248027&amp;doi=10.15517%2frev.biol.trop.2022.49776&amp;partnerID=40&amp;md5=85ea921d570dcb92f229d2732c27d409</t>
  </si>
  <si>
    <t>Vicerrectoría de Investigaciones, Universidad Manuela Beltrán, Av. Circunvalar 60-00, Bogotá, Colombia; Escuela de Ciencias Biológicas, Universidad Pedagógica y Tecnológica de Colombia, Avenida Central del Norte 39-115, Boyacá, Tunja, Colombia; Grupo de Investigación en Ingeniería de Recursos Hídricos, Universidad Nacional de Colombia, Sede Bogotá, Colombia; Grupo de Investigación de Modelación Hidrológica y Ambiental, Universitat Politècnica de València, Valencia, Spain; Facultad de Ingeniería Forestal, Universidad del Tolima, Barrio Santa Helena, Ibagué, Colombia</t>
  </si>
  <si>
    <t>Olaya-Marín, E.J., Vicerrectoría de Investigaciones, Universidad Manuela Beltrán, Av. Circunvalar 60-00, Bogotá, Colombia, Facultad de Ingeniería Forestal, Universidad del Tolima, Barrio Santa Helena, Ibagué, Colombia; Lemus-Portillo, C., Vicerrectoría de Investigaciones, Universidad Manuela Beltrán, Av. Circunvalar 60-00, Bogotá, Colombia; Pedraza, M.C.E., Vicerrectoría de Investigaciones, Universidad Manuela Beltrán, Av. Circunvalar 60-00, Bogotá, Colombia; García, O.A.C., Vicerrectoría de Investigaciones, Universidad Manuela Beltrán, Av. Circunvalar 60-00, Bogotá, Colombia; Roa-Fuentes, C.A., Escuela de Ciencias Biológicas, Universidad Pedagógica y Tecnológica de Colombia, Avenida Central del Norte 39-115, Boyacá, Tunja, Colombia; Salazar-Galán, S., Grupo de Investigación en Ingeniería de Recursos Hídricos, Universidad Nacional de Colombia, Sede Bogotá, Colombia, Grupo de Investigación de Modelación Hidrológica y Ambiental, Universitat Politècnica de València, Valencia, Spain; Peña, M.B., Facultad de Ingeniería Forestal, Universidad del Tolima, Barrio Santa Helena, Ibagué, Colombia</t>
  </si>
  <si>
    <t>Introduction: Tropical rivers are increasingly being affected by fragmentation and regulation; and, in Colombia, dams are known to endanger endemic fishes through, among others, limited migration and reduced availability of sediment-based feeding networks. However, knowledge of native ichthyofauna affected by dams in high Andean rivers is still incipient. Objective: To assess the effects of the Neusa dam on the ichthyofauna. Methods: We compared two rivers’ sections, one above and one below the dam with the Richter IHA System, we sampled three 100 m long transects in each section, every two months, between 2017 and 2019. The fishes were returned to the river after body measurements. Results: We collected 729 individuals from five families; Trichomycterus bogotense were smaller under the dam; Oncorhynchus mykiss was smaller and less abundant; and there were no differences for Grundulus bogotensis and Eremophilus mutisii. Independently of climatic factors, O. mykiss and G. bogotensis were more abundant above the dam, and E. mutisii and T. bogotense under the dam. Conclusion: The five fish species differed in how the populations differed above and under the dam, suggesting that some are benefited by the dam, while others become smaller and less abundant. © 2022, Universidad de Costa Rica. All rights reserved.</t>
  </si>
  <si>
    <t>Andean streams; endemic species; flow regulation; indicators of hydrologic alteration; reservoir</t>
  </si>
  <si>
    <t>1263-714-51250; Universidad Pedagógica y Tecnológica de Colombia, UPTC: SGI–2955 y SGI-3332; Universidad del Tolima, UT</t>
  </si>
  <si>
    <t>Este trabajo fue financiado con recursos provenientes del PATRIMONIO AUTÓNOMO FONDO NACIONAL DE FINANCIAMIEN-TO PARA LA CIENCIA, LA TECNOLOGÍA Y LA INNOVACIÓN FRANCISCO JOSÉ DE CALDAS; Proyecto de investigación “Deter-minación de los factores de hábitat físico y ecológicos que afectan la distribución de Eremophilus mutisii en el río Neusa”. Códi-go: 1263-714-51250. Investigadora principal: Esther Julia Olaya-Marín (mayo 2016-marzo 2019). De igual manera, este trabajo fue par-cialmente financiado por el proyecto C050620 de la Universidad del Tolima. Camilo Andrés Roa-Fuentes recibe apoyo de investigación de la Universidad Pedagógica y Tecnológica de Colombia, UPTC (Proyectos de investigación: SGI–2955 y SGI-3332). Los autores agradecen al Centro de Estudios en Hidrobiología de la Universidad Manuela Beltrán y a la Corpora-ción Autónoma Regional de Cundinamarca por la información hidrológica aportada.</t>
  </si>
  <si>
    <t>Aguirre, W. E., Alvarez-Mieles, G., Anaguano-Yancha, F., Burgos Moran, R., Cucalon, R. V., Escobar-Camacho, D., Jacome-Negrete, I., Zarate Hugo, E., Conservation threats and future prospects for the freshwater fishes of Ecuador: A hotspot of Neotropical fish diversity (2021) Journal of Fish Biology, 99 (4), pp. 1158-1189. , https://doi.org/10.1111/jfb.14844; Alexiades, A. V., Encalada, A. C., Distribution and habitat suitability of andean climbing catfish in the Napo River basin, Ecuador (2017) Tropical Conservation Science, 10. , https://doi.org/10.1177/1940082917709598; Anderson, E. P., Jenkins, C. N., Heilpern, S., Maldonado-Ocampo, J. A., Carvajal-Vallejos, F. M., Encalada, A. C., Rivadeneira, J. F., Tedesco, P. A., Fragmentation of Andes-to-Amazon connectivity by hydropower dams (2018) Science Advances, 4 (1), p. eaao1642. , https://doi.org/doi:10.1126/sciadv.aao1642; Angarita, H., Delgado, J., (2016) Biodiversidad, ecosis-temas de humedal y riesgo de inundación: Implica-ciones de la expansión hidroeléctrica en la cuenca del río Magdalena, , The Nature Conservancy, Colombia; Angarita, H., Wickel, A. J., Sieber, J., Chavarro, J., Maldonado-Ocampo, J. A., Delga-do, J., Purkey, D., Basin-scale impacts of hydropower development on the Mompós Depression wetlands, Colombia (2018) Hydrology and Earth System Sciences, 22 (5), pp. 2839-2865. , https://doi.org/10.5194/hess-22-2839-2018, Herrera-R. G. A; Birnie-Gauvin, K., Larsen, M. H., Nielsen, J., Aarestrup, K., 30 years of data reveal dramatic increase in abundance of brown trout following the removal of a small hydrodam (2017) Journal of Environmental Mana-gement, 204, pp. 467-471. , https://doi.org/10.1016/j.jenvman.2017.09.022; Bond, R. M., Stubblefield, A. P., Van Kirk, R. W., Sensitivity of summer stream temperatures to climate variability and riparian reforestation strategies (2015) Journal of Hydrology: Regional Studies, 4, pp. 267-279. , https://doi.org/10.1016/j.ejrh.2015.07.002; Buddendorf, W. B., Malcolm, I. A., Geris, J., Fabris, L., Millidine, K. J., Wilkinson, M. E., Soulsby, C., Spatio-temporal effects of river regulation on habitat quality for Atlantic salmon fry (2017) Ecological Indicators, 83, pp. 292-302. , https://doi.org/10.1016/j.ecolind.2017.08.006; Butchart-Kuhlmann, D., Kralisch, S., Fleischer, M., Mein-hardt, M., Brenning, A., Multicriteria decision analysis framework for hydrological decision support using environmental flow components (2018) Ecological Indicators, 93, pp. 470-480. , https://doi.org/10.1016/j.ecolind.2018.04.057; Carvajal-Quintero, J. D., Januchowski-Hartley, S. R., Maldonado-Ocampo, J. A., Jézéquel, C., Delgado, J., Tedesco, P. A., Damming Fragments Species’ Ranges and Heightens Extinction Risk (2017) Conservation Letters, 10 (6), pp. 708-716. , https://doi.org/10.1111/conl.12336; Chaparro, O., Lemus, C., Echavarría, M., Barrios, P., Olaya-Marín, E. J., (2018) La alteración del régimen hidrológico y su efecto en el ecosistema acuático: caso de estudio pez capitán de la sabana en el río Neusa, , Universidad Manuela Beltrán, Colombia; Clarkson, R., Childs, M., Schaefer, S., Tem-perature Effects of Hypolimnial-Release Dams on Early Life Stages of Colorado River Basin Big-River Fishes (2000) Copeia, 2000, pp. 402-412. , https://doi.org/10.1643/0045-8511(2000)000[0402:TEOHRD]2.0.CO;2; (2018) Reglamento Operativo para el Manejo del Sistema Hídrico del río Bogotá, , Corporación Autóno-ma Regional de Cundinamarca, Colombia; (2019) Ajuste y/o actualización del POMCA del río Bogotá, , Corporación Autónoma Regional de Cundi-namarca, Colombia; Costa, R. M. S., Martínez-Capel, F., Muñoz-Mas, R., Alca-raz-Hernández, J. D., Garófano-Gómez, V., Habitat suitability modelling at mesohabitat scale and effects of dam operation on the endangered Júcar nase, Parachondrostoma arrigonis (River Cabriel, Spain) (2012) River Research and Applications, 28 (6), pp. 740-752. , https://doi.org/https://doi.org/10.1002/rra.1598; Díaz, G., Górski, K., Heino, J., Arriagada, P., Link, O., Habit, E., The longest fragment drives fish beta diversity in fragmented river networks: Implications for river management and conservation (2021) Science of The Total Environment, 766, p. 144323. , https://doi.org/10.1016/j.scitotenv.2020.144323; Fitzgerald, D. B., Sabaj Perez, M. H., Sousa, L. M., Gonçalves, A. P., Rapp Py-Daniel, L., Lujan, N. K., Zuanon, J., Lundberg, J. G., Diversity and community structure of rapids-dwelling fishes of the Xingu River: Implications for conservation amid large-scale hydroelectric develop-ment (2018) Biological Conservation, 222, pp. 104-112. , https://doi.org/10.1016/j.biocon.2018.04.002; Fornaroli, R., Muñoz-Mas, R., Martínez-Capel, F., Fish community responses to antecedent hydrological conditions based on long-term data in Mediterranean river basins (Iberian Peninsula) (2020) Science of The Total Environment, 728, p. 138052. , https://doi.org/10.1016/j.scitotenv.2020.138052; Harper, M., Mejbel, H. S., Longert, D., Abell, R., Beard, T. D., Bennett, J. R., Carlson, S. M., Cooke, S. J., Twenty-five essential research questions to inform the protection and restoration of freshwater biodiversity (2021) Aquatic Conservation: Marine and Freshwater Ecosystems, 31 (9), pp. 2632-2653. , https://doi.org/10.1002/aqc.3634; Hertel, H., (1966) Structure, Form and Movement, , Rein-hold Publishing Corporation; Hu, W. W., Wang, G., Deng, W., Shengnan, L., The influence of dams on ecohydrological conditions in the Huaihe River basin, China (2008) Ecological Engi-neering, 33, pp. 233-241. , https://doi.org/10.1016/j.ecoleng.2008.04.003; (2013) Zonificación y codificación de unidades hidrográficas e hidrogeológicas de Colombia, , Comi-té de Comunicaciones y Publicaciones del IDEAM; Legendre, P., Gallagher, E. D., Ecologically mea-ningful transformations for ordination of species data (2001) Oecologia, 129 (2), pp. 271-280. , https://doi.org/10.1007/s004420100716; Legendre, P., Legendre, L., (2012) Numeri-cal ecology, , https://doi.org/10.1016/B978-0-444-53868-0.50001-0, Elsevier; Lozada, G., Forero, J., Ecología trófica de Trihcomycterus bogotense Eigenmann (1912), en la vereda la concepción, Municipio de Guasca, Cundinamarca (1999) Revista de la Academia Colombiana de Ciencias Exactas, Fisicas y Naturales, 23, p. 539. , https://link.gale.com/apps/doc/A498581519/IFME?u=anon~5db68ecf&amp;sid=googleScholar&amp;xid=bb0bf755; Lu, W., Lei, H., Yang, D., Tang, L., Miao, Q., Quantifying the impacts of small dam construction on hydrological alterations in the Jiulong River basin of Southeast China (2018) Journal of Hydrology, 567, pp. 382-392. , https://doi.org/10.1016/j.jhydrol.2018.10.034; MacArthur, R. H., On the relative abundance of bird species (1957) Proceedings of the National Academy of Sciences, 43 (3), p. 293. , https://doi.org/10.1073/pnas.43.3.293; Magilligan, F., Nislow, K., Changes in Hydrologic Regime by Dams (2005) Geomorphology, 71, pp. 61-78. , https://doi.org/10.1016/j.geomorph.2004.08.017; Maldonado-Ocampo, J. A., Ortega-Lara, A., Villa-Navarro, F., Prada-Pedreros, S., Rodríguez Ardila, C., Calle, J. C., (2005) Peces de los Andes de Colombia, , Instituto de Investigación de Recursos Biológicos “Alexander von Humboldt Colombia; Martinez-Toro, L., Restrepo-Santamaria, D., Valencia-Rodríguez, D., Jimenez-Segura, L., Ensam-blajes de peces en embalses altoandinos: El caso de los embalses Quebradona y Riogrande II en la cuenca Magdalena (2021) Caldasia, 44 (2). , https://doi.org/10.15446/caldasia.v44n2.93495; Mathews, R., Richter, B. D., Application of the Indicators of Hydrologic Alteration Software in Environmental Flow Setting1 (2007) JAWRA Journal of the Ame-rican Water Resources Association, 43 (6), pp. 1400-1413. , https://doi.org/10.1111/j.1752-1688.2007.00099.x; Merrit, D. M., Scott, M. L., Poff, N., Auble, G. T., Lytle, D. A., Theory, methods and tools for determining environmental flows for riparian vegetation: riparian vegetation-flow response guilds (2010) Freshwater Biology, 55 (1), pp. 206-225. , https://doi.org/10.1111/j.1365-2427.2009.02206.x; (2017) Programa nacional para la conservación de la espe-cie endémica de Colombia pez capitán de la sabana (Eremophilus mutisii), , Ministerio de Ambiente y Desarrollo Sostenible MINAMBIENTE, Colombia; Mojica, J. I., Usma, J. S., Álvarez-León, R., Lasso, C. A., (2012) Libro rojo de peces dulceacuícolas de Colombia, , Instituto de Investigación de Recursos Biológicos Alexander von Humboldt, Instituto de Ciencias Naturales de la Universidad Nacional de Colombia, WWF Colombia y Universidad de Mani-zales, Colombia; Nilsson, C., Reidy Liermann, C., Dynesius, M., Reven-ga, C., Fragmentation and Flow Regulation of the World’s Large River Systems (2005) Science (New York, N.Y.), 308, pp. 405-408. , https://doi.org/10.1126/science.1107887; O’Mara, K., Venarsky, M., Stewart-Koster, B., McGregor, G. B., Schulz, C., Kainz, M., Marshall, J., Bunn, S. E., Connectivity of fish communities in a tropical floodplain river system and predicted impacts of potential new dams (2021) Science of The Total Environment, 788, p. 147785. , https://doi.org/10.1016/j.scitotenv.2021.147785; Oksanen, J., Kindt, R., Legendre, P., O’Hara, B., Stevens, M. H. H., Oksanen, M. J., Suggests, M. A. S. S., The vegan package (2007) Community ecology pac-kage, 10 (631–637), p. 719; Olaya-Marín, E. J., Martínez-Capel, F., García-Bartual, R., Vezza, P., Modelling critical factors affecting the distribution of the vulnerable endemic Eastern Iberian barbel (Luciobarbus guiraonis) in Mediterranean rivers (2015) Mediterranean Marine Scien-ce, 17 (1), p. 264. , https://doi.org/10.12681/mms.1351; Ortega, H., Correa, V., Hidalgo, M., Necton (Peces) (2014) Métodos de colecta, identificación y análisis de comunidades biológicas: plancton, peri-fiton, bentos (macroinvertebrados) y necton (peces) en aguas continentales en Perú, pp. 46-58. , En: –). Museo de Historia Natural; Poff, N. L., A river that flows free connects up in 4D (2019) Nature, 569, pp. 201-202. , https://doi.org/10.1038/d41586-019-01393-2; Poff, N. L., Allan, J. D., Bain, M., Karr, J., Prestegaard, K., Richter, B., Sparks, R., Stromberg, J., The Natural Flow Regime: A Paradigm for River Conservation and Restoration (1997) BioScience, 47; (2020) R: A language and environment for statistical computing, , https://www.R-project.org, R Foundation for Statistical Computing. Vienna, Austria; Restrepo, J. D., Kettner, A. J., Syvitski, J. P. M., Recent deforestation causes rapid increase in river sediment load in the Colombian Andes (2015) Anthropocene, 10, pp. 13-28. , hhttps://doi.org/10.1016/j.ancene.2015.09.001; Richter, B. D., Baumgartner, J. V., Powell, J., Braun, D. P., A Method for Assessing Hydrologic Alteration within Ecosystems (1996) Conservation Biology, 10 (4), pp. 1163-1174. , https://doi.org/10.1046/j.1523-1739.1996.10041163.x; Roa-Fuentes, C. A., Prada-Pedreros, S., Álvarez-Zamora, R., Rivera Rondón, C. A., Maldonado-Ocampo, J. A., Abundancia relativa y dieta de Grundulus bogotensis (Characiformes: Characidae) en el altipla-no Cundiboyacense, Colombia (2013) Universitas Scientia-rum, 18, pp. 73-82. , https://doi.org/10.11144/javeriana.SC18-1.ardg; Rolls, R. J., Bond, N. R., Chapter 4-Environmental and Ecological Effects of Flow Alteration in Surface Water Ecosystems (2017) Water for the Environment, pp. 65-82. , https://doi.org/10.1016/B978-0-12-803907-6.00004-8, A. C. Horne, J. A. Webb, M. J. Stewardson, B. Richter, &amp; M. Acreman (Eds), –). Academic Press; Schinegger, R., Trautwein, C., Melcher, A., Schmutz, S., Multiple human pressures and their spatial patterns in European running waters (2012) Water and Environment Journal, 26 (2), pp. 261-273. , https://doi.org/10.1111/j.1747-6593.2011.00285.x; Schneider, S. C., Petrin, Z., Effects of flow regime on benthic algae and macroinvertebrates-A comparison between regulated and unregulated rivers (2017) Science of The Total Environment, 579, pp. 1059-1072. , https://doi.org/10.1016/j.scitotenv.2016.11.060; Souter, N. J., Applying the environmental flow components approach to the River Murray in South Australia (2017) Transactions of the Royal Society of South Australia, 141 (2), pp. 132-150. , https://doi.org/10.1080/03721426.2017.1381461; Sun, J., Tummers, J. S., Galib, S. M., Lucas, M. C., Fish community and abundance response to improved connectivity and more natural hydromor-phology in a post-industrial subcatchment (2022) Science of The Total Environment, 802, p. 149720. , https://doi.org/10.1016/j.scitotenv.2021.149720; (2009) Indicators of Hydrologic Alteration,” Version 7.1 User’s Manual, , The Nature Conservancy-TNC; Tockner, K., Pusch, M., Borchardt, D., Lorang, M., Multiple stressors in coupled river–flood-plain ecosystems (2010) Freshwater Biology, 55, pp. 135-151. , https://doi.org/10.1111/j.1365-2427.2009.02371.x; Tranmer, A. W., Marti, C. L., Tonina, D., Benjankar, R., Weigel, D., Vilhena, L., McGrath, C., Imberger, J., A hierarchical modelling framework for assessing phy-sical and biochemical characteristics of a regulated river (2018) Ecological Modelling, 368, pp. 78-93. , https://doi.org/10.1016/j.ecolmodel.2017.11.010; Vazzoler, A. E. A. M., (1996) Biologia da reprodução de peixes de teleósteos: teoria e prática, , EDUEM; Wang, J., Ding, C., Heino, J., Jiang, X., Tao, J., Ding, L., Su, W., He, D., What explains the variation in dam impacts on riverine macroinvertebrates? A global quantitative synthe-sis (2020) Environmental Research Letters, 15. , https://doi.org/10.1088/1748-9326/abc4fc; Ward, J. V., Tockner, K., Arscott, D. B., Claret, C., Riverine landscape diversity (2002) Freshwater Biology, 47 (4), pp. 517-539. , https://doi.org/10.1046/j.1365-2427.2002.00893.x; Webb, P. W., Sims, D., Schultz, W. W., The effects of an air/water surface on the fast-start performance of Rainbow Trout (Oncorhynchus mykiss) (1991) The Journal of Experimental Biology, 155, pp. 219-226. , https://doi.org/10.1242/jeb.155.1.219; Wohl, E., Bledsoe, B. P., Jacobson, R. B., Poff, N. L., Rathburn, S. L., Walters, D. M., Wilcox, A. C., The natural sediment regime in rivers: bro-adening the foundation for ecosystem management (2015) BioScience, 65 (4), pp. 358-371. , https://doi.org/10.1093/biosci/biv002</t>
  </si>
  <si>
    <t>Olaya-Marín, E.J.; Vicerrectoría de Investigaciones, Av. Circunvalar 60-00, Colombia; email: estherjuliaolaya@gmail.com</t>
  </si>
  <si>
    <t>2-s2.0-85136248027</t>
  </si>
  <si>
    <t>Vegas M.L.</t>
  </si>
  <si>
    <t>57219113397;</t>
  </si>
  <si>
    <t>Leaving me in complete freedom, without harassing me or bothering me: women and marital dissent an approach through the lawsuits of the Archive of the Royal Chancery of Granada (Eighteenth Century) [Dejándome en toda libertad, sin vejarme ni molestarme: mujer y disenso matrimonial, una aproximación a través de la documentación del Archivo de la Real Chancillería de Granada (siglo XVIII)]</t>
  </si>
  <si>
    <t>Vinculos de Historia</t>
  </si>
  <si>
    <t>10.18239/vdh_2022.11.20</t>
  </si>
  <si>
    <t>https://www.scopus.com/inward/record.uri?eid=2-s2.0-85136214912&amp;doi=10.18239%2fvdh_2022.11.20&amp;partnerID=40&amp;md5=6e0a2c5cd037a1255bccb67e7b2a9f0e</t>
  </si>
  <si>
    <t>Universidad de Málaga, Spain</t>
  </si>
  <si>
    <t>Vegas, M.L., Universidad de Málaga, Spain</t>
  </si>
  <si>
    <t>The Real Pragmática de Matrimonios of 1776 was an initiative on the part of the Spanish Monarchy to restore and impose parental veto or consent on their children's marriage. Beyond the reaffirmation of a patriarchal society, this legislation was a manifestation of the struggle between temporal power and the Church to control marriages, for centuries a cornerstone of family and society. In the midst of this conflict, this type of regulation multiplied the number of appeals lodged before civil courts, with the bride and groom, in some cases, even winning lawsuits in opposition to family interests. The documentation on dissent (1776-1816) tracked down in the Archive of the Royal Chancery of Granada helps us to approach this reality, and describe, by means of a case study, certain rebellious traits of the female will as an example of the incipient rise of affective individualism during the Enlightenment. © 2022 Universidad de CastillaLa Mancha, Departamento de Historia. All rights reserved.</t>
  </si>
  <si>
    <t>dissent; individualism; marriage; woman</t>
  </si>
  <si>
    <t>Baldellou Monclús, D., El honor de los padres y la libertad de los hijos: la aplicación del veto paterno a los matrimonios transgresores en la España preliberal (2014) Familias rotas. Conflictos familiares en la España del Antiguo Régimen, pp. 47-99. , en Zaragoza, Prensas de la Universidad de Zaragoza; Bel Bravo, M. A., Familia y género en la Edad Moderna: pautas para su estudio (2006) Memoria y Civilización, 9, pp. 13-49; Bernhard, J., Lefebvre, Ch, Rapp, F., (1990) Lépoque de la réforme et du Concile de Trente, , Paris, Éditions Cujas; Blanco Carrasco, P., Disensos. Conflictos de la patria potestad en la España rural moderna (2016) Studia Historica. Historia Moderna, 38 (2), pp. 107-135; Campo Guinea, M. J., Los procesos por causa matrimonial ante el tribunal eclesiástico de Pamplona en los siglos XVI y XVII (1994) Príncipe de Viana, 55-202, pp. 377-390; Candau Chacón, M. L., En torno al matrimonio: mujeres, conflictos, discursos (2012) La vida cotidiana en el mundo hispánico (siglos XVI-XVIII), pp. 97-118. , en Madrid, Abada Editores; Casey, J., La conflictividad en el seno de la familia (1996) Estudis, 22, pp. 9-25; Cervantes Cortés, J. L., Porque no tengo el ánimo de casarme: el desistimiento al matrimonio en los juicios de disenso en la Nueva Galicia a finales del siglo XVIII (2016) Historia y memoria, 12, pp. 21-52; Corada Alonso, A., La mujer y el divorcio en la justicia real ordinaria a finales del Antiguo Régimen (2017) La mujer en la balanza de la justicia (Castilla y Portugal, siglos XVII y XVIII), pp. 75-110. , en Valladolid, Castilla Ediciones; Córdoba de la Llave, R., (2006) Mujer, marginación y violencia entre la Edad Media y los tiempos modernos, , (coord), Córdoba, Universidad de Córdoba; Cowan, A., (2010) Marriage and Dowry. Oxford Bibliographies on line. Research guide, , Oxford University Press; Demerson, G., Demerson, P., (1993) Sexo, amor y matrimonio en Ibiza durante el reinado de Carlos III, , Mallorca, El Tall; Di Renzo Villata, M. G, (2016) Family law and society in Europe from the Middle Age to the Contemporary Era, , (ed), Milán, Springer; Espín López, R. M., Los pleitos de divorcio en Castilla durante la Edad Moderna (2016) Studia Historica. Historia Moderna, 38-2, pp. 167-200; Fargas Peñarrocha, M., De conflictos y acuerdos: la estrategia familiar y el juego del género en la época moderna (2011) Anuario de Hojas de Warmi, 16, pp. 1-18; Gaudemet, J., (1987) Le marige en Occident: Les moeurs et le droit, , París, Cerf; Gómez González, I., (2003) La justicia, el gobierno y sus hacedores: la Real Chancillería de Granada en el Antiguo Régimen, , Granada, Comares; de las, J. L., La organización de la justicia real ordinaria en la Corona de Castilla durante la Edad Moderna (1996) Estudis, 22, pp. 105-140. , Heras, Santos; Herranz Pinacho, M., Mujeres fuera del coro, las religiosas de las Huelgas de Valladolid en los pleitos de la Real Chancillería (2017) La mujer en la balanza de la Justicia (Castilla y Portugal, siglo XVII y XVIII), pp. 133-156. , en Valladolid, Castilla Ediciones; Jemolo, A. C., (1993) Il matrimonio nel diritto canonico. Dal Concilio di Trento al Codice del 1917, , Bologna, il Mulino; Kagan, R. L., (1991) Pleitos y pleiteantes en Castilla. 1500-1700, , Valladolid, Junta de Castilla y León; Laina Gallego, J. M., (2001) Libertad y consentimiento paterno para el matrimonio en la legislación española (de la Pragmática de Carlos III al proyecto de código civil de 1851), , Madrid, Universidad Complutense de Madrid; López-Cordón, M. V., Mujer y familia en la Edad Moderna ¿dos perspectivas complementarias? (2007) Espacios sociales, universos familiares. La familia en la historiografía española, pp. 193-218. , en Murcia, Universidad de Murcia; Lorenzo Pinar, F. J., Conflictividad social en torno a la formación del matrimonio (Zamora y Toro en el sigo XVI) (1995) Studia Historia. Historia Moderna, 13, pp. 134-154; Macías Domínguez, A. M., La conflictividad matrimonial bajo control. La intermediación de la comunidad como agente de resolución de conflictos entre casados. Sevilla, siglo XVIII (2015) Comercio y cultura en la Edad Moderna. Actas de la XIII Reunión Científica de la Fundación Española de Historia Moderna, pp. 474-486. , en Sevilla, Universidad de Sevilla; Macías Domínguez, A. M., Candau Chacón, M. L., Matrimonios y conflictos: abandono, divorcio y nulidad eclesiástica en la Andalucía Moderna (Arzobispado de Sevilla, siglo XVIII) (2016) Revista Complutense de Historia de América, 42, pp. 119-146; Macías Domínguez, A. M., Ruiz Sastre, M., (2018) Noviazgo, sexo y abandono en la Andalucía Moderna, , Huelva, Universidad de Huelva; Conflictos matrimoniales en los siglos XVII y XVIII: el caso del occidente andaluz. Una mirada de conjunto (2019) Chronica Nova, 45, pp. 107-130; Maqueda Abreu, C., Conflictos jurisdiccionales y competencias en la Castilla del siglo XVII. Un caso ilustrativo (1997) Anuario de Historia del derecho español, 67, pp. 1569-1588; Monzón Perdomo, M. E., La familia como espacio de conflicto. Los juicios por disenso matrimonial en Tenerife (2014) Anuario de estudios Atlánticos, 60, pp. 413-450; Morales Payán, M. A., Sobre la necesidad del consentimiento familiar para contraer esponsales y matrimonio: algunos supuestos prácticos en la Almería a finales del Antiguo Régimen (2009) Derecho y mujer, pp. 27-52. , en Almería, Universidad de Almería; Morgado García, A., El divorcio en Cádiz del siglo XVIII (2011) Trocadero, 1 (6-7), pp. 125-135; Ortega López, M., Violencia familiar en el pueblo de Madrid durante el siglo XVIII (2006) Cuadernos de Historia Moderna, 31, pp. 7-37; Protestas de las mujeres castellanas contra el orden patriarcal privado durante el siglo XVIII (1997) Cuadernos de Historia Moderna, 19, pp. 65-90; Ortego Agustín, M. A., (2003) Familia y matrimonio en la España del siglo XVIII. Ordenamiento jurídico y situación real de las mujeres a través de la documentación notarial, , Madrid, Universidad Complutense de Madrid; Ortego Gil, P., El arbitrio de los jueces inferiores, su alcance y limitaciones (2013) El arbitrio judicial en el Antiguo Régimen: (España e Indicas, siglos XVI-XVIII), pp. 133-220. , en Madrid, Dykinson; Pascua, M. J., Las relaciones familiares, historias de amor y conflicto (2005) Historia de las mujeres en España y América Latina, II, pp. 287-317. , de la, en Madrid, Cátedra; Violencia y familia en la España moderna (2012) Actas de la XI Reunión científica de la Fundación Española de Historia Moderna, pp. 127-157. , en Granada, Universidad de Granada; Pérez Álvarez, M. J., La actitud del tribunal eclesiástico de León en la segunda mitad del siglo XVIII (2018) Manuscrits. Revista d'Historia Moderna, 37, pp. 139-158; Pino Abad, M., Un aspecto de discriminación jurídica de las mujeres: su limitada capacidad testifical en el Antiguo Régimen (siglos XIII-XVIII) (2014) VI Congreso virtual sobre Historia de las Mujeres, , https://dialnet.unirioja.es/servlet/articulo?codigo=4947480, en (del 15 al 31 de octubre), (Consulta: 06-12-2020); Rodríguez Sánchez, A., El poder familiar: la patria potestad en el Antiguo Régimen (1994) Estructuras y formas del poder en la historia, pp. 105-116. , en Salamanca, Universidad; Ruiz Sastre, M., (2016) Mujeres y conflictos en los matrimonios de Andalucía Occidental: el Arzobispado de Sevilla durante el siglo XVII, , Huelva, Universidad de Huelva; (2018) El abandono de la palabra. Promesas incumplidas y ruptura de noviazgo en el Arzobispado sevillano durante el siglo XVII, , Madrid, Fundación Española de Historia Moderna; Ruiz Sastre, M., Candau Chacón, M. L., El noviazgo en la España moderna y la importancia de la palabra. Tradición y conflicto (2016) Studia Historica. Historia Moderna, 38-2, pp. 55-105; Sánchez-Montes, F., La familia en el Reino de Granada en la Edad Moderna (2019) Chronica Nova, 45, pp. 19-37; Simó Rodríguez, M. I., Fondos judiciales en los archivos históricos provinciales (1982) Boletín de la ANABAD, XXXIII-1 y 2, pp. 27-41; Torremocha Hernández, M., El matrimonio y las relaciones de los cónyuges en la Castilla postridentrina (en la literatura de la época) (2010) Familia, valores y representaciones, pp. 155-178. , en Murcia, Universidad de Murcia; La fragilidad femenina y el arbitrio judicial (s. XVIII). Entre la caridad y la equidad en los tribunales (2018) Tiempos Modernos, 9-36, pp. 430-453; Torremocha Hernández, M., Corada Alonso, A., (2017) La mujer en la balanza de la Justicia (Castilla y Portugal, siglos XVII y XVIII), , (coords), Valladolid, Castilla Ediciones; Van Dülmen, R., (2016) El descubrimiento del individuo, 1500-1800, , Madrid, Siglo XXI</t>
  </si>
  <si>
    <t>Vegas, M.L.; Universidad de MálagaSpain; email: milagros@uma.es</t>
  </si>
  <si>
    <t>Universidad de CastillaLa Mancha, Departamento de Historia</t>
  </si>
  <si>
    <t>Vinculos Hist.</t>
  </si>
  <si>
    <t>2-s2.0-85136214912</t>
  </si>
  <si>
    <t>Morillo-Coronado A.C., Manjarres-Hernández E.H., Reyes-Ardila W.L., Morillo-Coronado Y.</t>
  </si>
  <si>
    <t>57209509524;57217164726;57218587522;57209511943;</t>
  </si>
  <si>
    <t>Phenotypic intrapopulation variation in quinoa from the department of Boyacá, Colombia</t>
  </si>
  <si>
    <t>https://www.scopus.com/inward/record.uri?eid=2-s2.0-85136033147&amp;doi=10.31910%2frudca.v25.n1.2022.1579&amp;partnerID=40&amp;md5=3a10c84acb42735a01efcd805c956ae4</t>
  </si>
  <si>
    <t>Universidad Pedagógica y Tecnológica de Colombia, Facultad Ciencias Agropecuarias, Programa Ingeniería Agronómica, Boyacá, Tunja, Colombia; Universidad Pedagógica y Tecnológica de Colombia, Facultad de Ciencias, Boyacá, Tunja, Colombia; Corporación Colombiana de Investigación Agropecuaria, AGROSAVIA, Valle del Cauca, Palmira, Colombia</t>
  </si>
  <si>
    <t>Morillo-Coronado, A.C., Universidad Pedagógica y Tecnológica de Colombia, Facultad Ciencias Agropecuarias, Programa Ingeniería Agronómica, Boyacá, Tunja, Colombia; Manjarres-Hernández, E.H., Universidad Pedagógica y Tecnológica de Colombia, Facultad de Ciencias, Boyacá, Tunja, Colombia; Reyes-Ardila, W.L., Universidad Pedagógica y Tecnológica de Colombia, Facultad Ciencias Agropecuarias, Programa Ingeniería Agronómica, Boyacá, Tunja, Colombia; Morillo-Coronado, Y., Corporación Colombiana de Investigación Agropecuaria, AGROSAVIA, Valle del Cauca, Palmira, Colombia</t>
  </si>
  <si>
    <t>Quinoa (Chenopodium quinoa Wild.) is an Andean crop that originated from the Andes of South America, with great agronomic, industrial, pharmaceutical potential and also a great capacity to tolerate adverse environmental factors. In Colombia, more accurately in the Department of Narino, Cauca, Cundinamarca and Boyaca. Shows great genetic variation, both molecular and morphological, which organization remains poorly documented. In Boyaca, there are few studies on the morphological characterization of cultivated materials, and there is no certified planting material, with farmers planting a mixture of materials. Qualitative and quantitative descriptors and principal component and cluster analyses were used to characterize the structure of the intra-population phenotypic variation in Blanca de Jerico quinoa materials grown in the Department of Boyaca. The principal component analysis explained more than 70 % of the observed variation, with the AP, LP, DP, LHS, and AHS characteristics being more variable. The cluster analysis showed grouping by characteristics, such as AP, panicle color, and the presence of pigmented axillae. Results show that the variance in morpho-phenological traits was concentrated at the intra-population, due to high variation at the inter-individual level. A more efficient selection process should be carried out to find materials or "pure" varieties with higher yields, resistance to biotic and abiotic factors, and adaptation to local conditions, which make quinoa an economically profitable crop in the Boyaca department. © 2022 Universidad de Ciencias Aplicadas y Ambientales U.D.C.A. All right reserved.</t>
  </si>
  <si>
    <t>Andean culture; Genetic diversity; Morphological characteristics; Pseudocereal; Plant breeding</t>
  </si>
  <si>
    <t>AFIAH, S., HASSAN, W., AL KADY, A., Assessment of six quinoa (Chenopodium quinoa Willd.) genotypes for seed yield and its attributes under Toshka conditions (2018) Zagazig Journal of Agricultural Research, 45 (6), pp. 2281-2294. , https://doi.org/10.21608/zjar.2018.47761; ALANDIA, G., RODRIGUEZ, J.P., JACOBSEN, S.E., BAZILE, D., CONDORI, B., Global expansion of quinoa and challenges for the Andean region (2020) Global Food Security, 26, p. 100429. , https://doi.org/10.1016/j.gfs.2020.100429; AL-NAGGAR, A., EL-SALAM, R., BADRAN, A., BOULOS, S., EL-MOGHAZI, M., Heritability and genetic advance from selection for morphological, biochemical and anatomical traits of Chenopodium quinoa under water stress (2018) Bionature, 38 (2), pp. 66-85; ALVAREZ-FLORES, R., NGUYEN THI-TRUC, A., PEREDO-PARADA, S., JOFFRE, A., WINKEL, T., Rooting plasticity in wild and cultivated Andean Chenopodium species under soil water deficit (2018) Plant Soil, 425, pp. 479-492. , https://doi.org/10.1007/s1104-018-3588-7; DE SANTIS, G., RONGA, D., CARADONIA, F.D., AMBROSIO, T., TROISI, J., RASCIO, A., FRAGASSO, M., RINALDI, M., Evaluation of two groups of quinoa (Chenopodium quinoa Willd.) accessions with different seed colours for adaption to the Mediterranean environment (2018) Crop &amp; Pasture Science, 69 (12), pp. 1264-1275. , https://doi.org/10.1071/CP18143; DEL CASTILLO GUTIERREZ, C., WINKEL, T., Variacion fenotipica intra- e inter-poblaciones en siete poblaciones de quinua del altiplano boliviano (2014) Revista de Investigacion e Innovacion Agropecuaria y de Recursos Naturales, 1 (1), pp. 58-64; DELGADO, A., PALACIOS, J., BETANCOURT, C., Evaluacion de 16 genotipos de quinua dulce (Chenopodium quinoa Willd.) en el municipio de Iles, Narino (Colombia) (2009) Agronomia Colombiana, 27 (2), pp. 159-167; EBRAHIM, M.E.A., ABDEL-ATI, A.A., HUSSIN, S.A., ALI, S.H., EISA, S.S., Evaluation of some Chenopodium quinoa cultivars under saline soil conditions in Egypt (2018) Arab Universities Journal of Agricultural Sciences, 26 (1), pp. 337-347. , https://doi.org/10.21608/ajs.2018.14020; FAROOQ AZHAR, M., AZIZ, S., AZIZ, A., JAVAID, M., MUHAMMAD AATIF, H., WASAYA, A., AHMAD YASIR, T., WAHID BALOCH, A., Morphological features of different accessions of Chenopodium quinoa (2018) Pure and Applied Biology, 7, pp. 374-383. , https://doi.org/10.19045/bspab.2018.70046; HUSSAIN, M.I., MUSCOLO, A., AHMED, M., ASGHAR, M.A., AL-DAKHEEL, A., Agro-morphological, yield and quality traits and interrelationship with yield stability in quinoa (Chenopodium quinoa Willd.) genotypes under saline marginal environment (2020) Plants, 9 (12), pp. 1-16. , https://doi.org/10.3390/plants9121763; INFANTE, H., ALBESIANO, S., ARRIETA, L., GOMEZ, N., Morphological characterization of varieties of Chenopodium quinoa cultivated in the department of Boyaca, Colombia (2018) Rev. U.D.C.A Act. &amp; Div. Cient, 21 (2), pp. 329-339. , https://doi.org/10.31910/rudca.v21.n2.2018.977; KATWAL, T.B., BAZILE, D., First adaptation of quinoa in the Bhutanese mountain agriculture systems (2020) PLos One, 15, p. e0219804. , https://doi.org/10.1371/journal.pone.0219804; KIR, A.E., TEMEL, S., Determination of seed yield and some agronomical characteristics of different quinoa (Chenopodium quinoa Willd.) variety and populations under dry conditions of Iǧdir Plain (2016) Journal of the Institute of Science and Technology, 6 (4), pp. 145-154; MADRID, D., SALGADO, E., VERDUGO, G., OLGUIN, P., BILALIS, D., FUENTES, F., Morphological traits defining breeding criteria for coastal quinoa in Chile (2018) Notulae Botanicae Horti Agrobotanici Cluj-Napoca, 46, pp. 190-196. , https://doi.org/10.15835/nbha46110788; MALIRO, M., NJALA, A.L., Agronomic performance and strategies of promoting Quinoa (Chenopodium quinoa Willd) in Malawi (2019) International Journal of Agriculture and Natural Resources, 46 (2), pp. 82-99. , https://doi.org/10.7764/rcia.v46i2.2143; MANJARRES-HERNANDEZ, E.H., ARIAS-MORENO, D.M., MORILLO-CORONADO, A.C., OJEDA.PEREZ, Z.Z., CARDENAS-CHAPARRO, A., Phenotypic characterization of quinoa (Chenopodium quinoa Willd.) for the selection of promising materials for breeding programs (2021) Plants, 10 (7), pp. 1-16. , https://doi.org/10.3390/plants10071339; MANJARRES-HERNANDEZ, E., MORILLOCORONADO, A.C., OJEDA-PEREZ, Z., CARDENASCHAPARRO, A., ARIAS-MORENO, D., Characterization of the yield components and selection of materials for breeding programs of quinoa (Chenopodium quinoa Willd.) (2021) Euphytica, 217, pp. 1-14. , https://doi.org/10.1007/s10681-021-02837-5; MATIAS, J., RODRIGUEZ, M.J., CRUZ, V., CALVO, P., REGUERA, M., Heat stress lowers yields, alters nutrient uptake and changes seed quality in quinoa grown under Mediterranean field conditions (2021) Journal of Agronomy and Crop Science, 297 (3), pp. 481-491. , https://doi.org/10.1111/jac.12495; MONTES ROJAS, C., BURBANO-CATUCHE, G.A., MUNOZ-CERTUCHE, E.F., CALDERON-YONDA, Y., Descripcion del ciclo fenologico de cuatro ecotipos de (Chenopodium quinua willd.), en Purace - Cauca, Colombia (2018) Biotecnologia en el Sector Agropecuario y Agroindustrial, 16 (2), pp. 26-37. , https://doi.org/10.18684/bsaa.v16n2.1163; MORILLO CORONADO, A.C., MANJARRES HERNANDEZ, E.H., MORILLO CORONADO, Y., Evaluacion morfoagronomica de 19 materiales de Chenopodium quinoa en el departamento de Boyaca (2020) Scientia Agricola, 18, pp. 84-96. , https://doi.org/10.18684/bsaa.v18n1.1416; MORILLO CORONADO, A.C., MANJARRES HERNANDEZ, E., MORILLO CORONADO, Y., Phenotypic diversity of agromorphological characteristics of quinoa (Chenopodium quinoa Willd.) germplasm in Colombia (2022) Scientia Agricola, 79 (4), pp. 1-6. , https://doi.org/10.1590/1678-992X-2021-0017; NOULAS, C., TZIOUVALEKAS, M., VLACHOSTERGIOS, D., BAXEVANOS, E., KARYOTIS, T., ILIADIS, C., Adaptation, agronomic potential, and current perspectives of quinoa under Mediterranean conditions: case studies from the lowlands of central Greece (2018) Communications in soil science and plant analysis, 48 (22), pp. 2612-2629. , https://doi.org/10.1080/00103624.2017.1416129; SIEFERT, A., VIOLLE, C., CHALMANDRIER, L., ALBERT, C., TAUDIERE, A., FAJARDO, A., AARSSEN, L.W., WARDLE, D.A., A global meta-analysis of the relative extent of intraspecific trait variation in plant communities (2015) Ecology Letters, 18, pp. 1406-1419. , https://doi.org/10.1111/ele.12508; VELOZA RAMIREZ, C., ROMERO GUERRERO, G., GOMEZ PIEDRAS, J.J., Respuesta morfoagronomica y calidad en proteina de tres accesiones de quinua (Chenopodium quinoa Willd.) en la sabana norte de Bogota (2016) Rev. U.D.C.A Act. &amp; Div. Cient, 19, pp. 325-332. , https://doi.org/10.31910/rudca.v19.n2.2016.86; VERGARA, R.D.O., MARTINS, A.B.N., SOARES, V.N., CARVALHO, I.R., BARBOSA, M.H., CONTE, G.G., GADOTTI, G.I., VILLELA, F.A., Agronomic and morphological characteristics of quinoa grown in the southern region of Rio Grande do Sul State (2020) Revista Brasileira de Engenharia e Sustentabilidade, 8 (1), pp. 18-25. , https://doi.org/10.15210/rbes.v8i1.18315</t>
  </si>
  <si>
    <t>Morillo-Coronado, A.C.; Universidad Pedagógica y Tecnológica de Colombia, Boyacá, Colombia; email: ana.morillo@uptc.edu.co</t>
  </si>
  <si>
    <t>2-s2.0-85136033147</t>
  </si>
  <si>
    <t>Leon-Castro E., Blanco-Mesa F., Hussain W., Flores-Sosa M., Perez-Arellano L.A.</t>
  </si>
  <si>
    <t>57200370619;57201261741;56412522700;57217196711;57202446324;</t>
  </si>
  <si>
    <t>Cybernetics and Systems</t>
  </si>
  <si>
    <t>https://www.scopus.com/inward/record.uri?eid=2-s2.0-85135879108&amp;doi=10.1080%2f01969722.2022.2110687&amp;partnerID=40&amp;md5=7d9f32226aa2b265d95efcd8861efbab</t>
  </si>
  <si>
    <t>Faculty of Economics and Administrative Sciences, Universidad Católica de la Santísima Concepción, Concepción, Chile; Facultad de Ciencias Económicas y Administrativas, Escuela de Administración de Empresas, Universidad Pedagógica y Tecnológica de Colombia, Tunja, Colombia; Victoria University Business School, Victoria University, Melbourne, Australia; Unidad Regional Culiacan, Universidad Autónoma de Occidente, Los Mochis, Mexico</t>
  </si>
  <si>
    <t>Leon-Castro, E., Faculty of Economics and Administrative Sciences, Universidad Católica de la Santísima Concepción, Concepción, Chile; Blanco-Mesa, F., Facultad de Ciencias Económicas y Administrativas, Escuela de Administración de Empresas, Universidad Pedagógica y Tecnológica de Colombia, Tunja, Colombia; Hussain, W., Victoria University Business School, Victoria University, Melbourne, Australia; Flores-Sosa, M., Unidad Regional Culiacan, Universidad Autónoma de Occidente, Los Mochis, Mexico; Perez-Arellano, L.A., Unidad Regional Culiacan, Universidad Autónoma de Occidente, Los Mochis, Mexico</t>
  </si>
  <si>
    <t>The aim of this paper is to present the application of the OWA operator and some of its extensions in the calculation of continent and global tax revenues. The idea is to present how the analysis of an important economic indicator can vary depending on how the information is aggregated. An example was employed based on the Organization for Economic Co-operation and Development (OECD) database using 111 countries that were divided by continent, and then the global tax revenue was calculated using different aggregation operators. Different analyses can be carried out by governments and enterprises to improve decision making and fiscal politics. © 2022 Taylor &amp; Francis Group, LLC.</t>
  </si>
  <si>
    <t>decision making; OWA operator; tax revenue</t>
  </si>
  <si>
    <t>Economics; International cooperation; Mathematical operators; Taxation; Aggregation operator; Decisions makings; Economic indicators; Organization for economic co-operation and development; OWA operators; Tax revenue; Decision making</t>
  </si>
  <si>
    <t>Abdelwahed, L., More oil, more or less taxes? New evidence on the impact of resource revenue on domestic tax revenue (2020) Resources Policy, 68, p. 101747; Acosta-Ormaechea, S., Morozumi, A., The value-added tax and growth: Design matters (2021) International Tax and Public Finance, 28 (5), pp. 1211-1241; Akram, M., Khan, A., Alcantud, J.C.R., Santos‐García, G., A hybrid decision‐making framework under complex spherical fuzzy prioritized weighted aggregation operators (2021) Expert Systems, 38 (6), p. e12712; Akram, M., Yaqoob, N., Ali, G., Chammam, W., Extensions of Dombi aggregation operators for decision making under-polar fuzzy information (2020) Journal of Mathematics, 2020, pp. 1-20; Alcantud, J.C.R., Santos-García, G., Akram, M., OWA aggregation operators and multi-agent decisions with N-soft sets (2022) Expert Systems with Applications, 203, p. 117430; Awasthi, R., (2020) Determinants of property tax revenue: Lessons from empirical analysis, , Policy Research Working Paper 9399; Casanovas, M., Merigo, J.M., Fuzzy aggregation operators in decision making with Dempster–Shafer belief structure (2012) Expert Systems with Applications, 39 (8), pp. 7138-7149; Espinoza-Audelo, L.F., Leon-Castro, E., Mellado-Cid, C., Merigo, J.M., Blanco-Mesa, F., Uncertain induced prioritized aggregation operators in the analysis of the imports and exports (2021) Journal of Multiple-Valued Logic &amp; Soft Computing, 36 (6), pp. 543-568; Fama, E.F., Taxes (2021) European Financial Management, 27 (1), pp. 3-11; Farah, B., Elias, R., Chakravarty, D., Beamish, P., Host country corporate income tax rate and foreign subsidiary survival (2021) Journal of World Business, 56 (2), p. 101186; Flores-Sosa, M., Avilés-Ochoa, E., Merigó, J.M., Yager, R.R., Volatility GARCH models with the ordered weighted average (OWA) operators (2021) Information Sciences, 565, pp. 46-61; Fonseca-Cifuentes, G., León-Castro, E., Blanco-Mesa, F., Predicting the future price of a commodity using the OWMA operator: An approximation of the interest rate and inflation in the brown pastusa potato price (2021) Journal of Intelligent &amp; Fuzzy Systems, 40 (2), pp. 1971-1981; Ghanbari, A.A., Alaei, H., Meta-heuristic algorithms for resource management in crisis based on OWA approach (2021) Applied Intelligence, 51 (2), pp. 646-657; Gnangnon, S.K., Tax revenue instability and tax revenue in developed and developing countries (2022) Applied Economic Analysis, 30 (88), pp. 18-37; Goumagias, N.D., Hristu-Varsakelis, D., Saraidaris, A., A decision support model for tax revenue collection in Greece (2012) Decision Support Systems, 53 (1), pp. 76-96; Green, D., Loualiche, E., State and local government employment in the COVID-19 crisis (2021) Journal of Public Economics, 193, p. 104321; Gurdal, T., Aydin, M., Inal, V., The relationship between tax revenue, government expenditure, and economic growth in G7 countries: New evidence from time and frequency domain approaches (2021) Economic Change and Restructuring, 54 (2), pp. 305-337; Hall, J.L., Shin, G., Bartels, C.E., Measuring the effect of performance management in local economic development policy: The case of tax increment finance districts in the Dallas-Ft. Worth metroplex (2021) Local Government Studies, pp. 1-28; Hamdan, S., Rana, F., DETERMINANTS OF TAX REVENUE IN EMERGING COUNTRIES (2021) PalArch's Journal of Archaeology of Egypt/Egyptology, 18 (13), pp. 98-106; He, W., Rodríguez, R.M., Dutta, B., Martínez, L., A type-1 OWA operator for extended comparative linguistic expressions with symbolic translation (2021) Fuzzy Sets and Systems; Hussain, W., Merigó, J.M., Raza, M.R., Predictive intelligence using ANFIS‐induced OWAWA for complex stock market prediction (2022) International Journal of Intelligent Systems, 37 (8), pp. 4586-4611; Kakaulina, M.O., Projected shortfall in personal income tax revenues of regional governments in Russia due to the COVID-19 pandemic (2021) Journal of Tax Reform, 7 (1), pp. 39-54; León-Castro, E., Avilés-Ochoa, E., Merigó, J.M., Gil-Lafuente, A.M., Heavy moving averages and their application in econometric forecasting (2018) Cybernetics and Systems, 49 (1), pp. 26-43; Leon-Castro, E., Espinoza-Audelo, L.F., Aviles-Ochoa, E., Merigo, J.M., Kacprzyk, J., A new measure of volatility using induced heavy moving averages (2019) Technological and Economic Development of Economy, 25 (4), pp. 576-599; Liu, D., Zhang, R., Li, J., Tax revenue combination forecast of Hebei province based on the IOWA operator (2011) 2011 4th International Joint Conference on Computational Sciences and Optimization, pp. 516-519. , In; Lizasoain, I., Moreno, C., OWA operators defined on complete lattices (2013) Fuzzy Sets and Systems, 224, pp. 36-52; Llopis-Albert, C., Palacios-Marques, D., Applications of ordered weighted averaging (OWA) operators in environmental problems (2017) Multidisciplinary Journal for Education, Social and Technological Sciences, 4 (1), pp. 52-63; Makin, A.J., Layton, A., The global fiscal response to COVID-19: Risks and repercussions (2021) Economic Analysis and Policy, 69, pp. 340-349; Mawejje, J., Sebudde, R.K., Tax revenue potential and effort: Worldwide estimates using a new dataset (2019) Economic Analysis and Policy, 63, pp. 119-129; McDonald, B., Larson, S., Implications of the coronavirus on sales tax revenue and local government fiscal health (2020) Journal of Public and Nonprofit Affairs, 6 (3), pp. 377-400; Papadopoulou, P., Hristu-Varsakelis, D., Tax evasion as an optimal solution to a partially observable markov decision process (2019) Approximation and optimization, pp. 219-237. , Springer, and,. eds. I. Demetriou and P. Pardalos. Switzerland; Pham, T.M.L., Le, T.T., Truong, T.H.L., Tran, M.D., Determinants influencing tax compliance: The case of Vietnam (2020) The Journal of Asian Finance, Economics and Business, 7 (2), pp. 65-73; Sen Gupta, A., (2007) Determinants of tax revenue efforts in developing countries; Sheremeta, R.M., Uler, N., The impact of taxes and wasteful government spending on giving (2021) Experimental Economics, 24 (2), pp. 355-386; Taing, H.B., Chang, Y., Determinants of tax compliance intention: Focus on the theory of planned behavior (2021) International Journal of Public Administration, 44 (1), pp. 62-73; Yager, R.R., On ordered weighted averaging aggregation operators in multicriteria decisionmaking (1988) IEEE Transactions on Systems, Man, and Cybernetics, 18 (1), pp. 183-190; Yager, R.R., Heavy OWA operators (2002) Fuzzy Optimization and Decision Making, 1 (4), pp. 379-397; Yager, R.R., Filev, D.P., Induced ordered weighted averaging operators (1999) IEEE Transactions on Systems, Man and Cybernetics, Part B (Cybernetics), 29 (2), pp. 141-150; Zadeh, L.A., Fuzzy sets (1965) Information and Control, 8 (3), pp. 338-353; Zhou, S.-M., Chiclana, F., John, R.I., Garibaldi, J.M., Type-1 OWA operators for aggregating uncertain information with uncertain weights induced by type-2 linguistic quantifiers (2008) Fuzzy Sets and Systems, 159 (24), pp. 3281-3296</t>
  </si>
  <si>
    <t>Leon-Castro, E.; Faculty of Economics and Administrative Sciences, Chile; email: Chileeleon@ucsc.cl</t>
  </si>
  <si>
    <t>CYSYD</t>
  </si>
  <si>
    <t>Cybern Syst</t>
  </si>
  <si>
    <t>2-s2.0-85135879108</t>
  </si>
  <si>
    <t>Muñoz-Olano J.F., Ruiz-Zapata G.J.</t>
  </si>
  <si>
    <t>57195223322;57843146000;</t>
  </si>
  <si>
    <t>Counterfactual Thinking Made in a Relevant Choice and Negative Consequences</t>
  </si>
  <si>
    <t>Journal of Cognition and Culture</t>
  </si>
  <si>
    <t>https://www.scopus.com/inward/record.uri?eid=2-s2.0-85135865637&amp;doi=10.1163%2f15685373-12340136&amp;partnerID=40&amp;md5=a804989ca2dcac9ce76349b0d37ecb43</t>
  </si>
  <si>
    <t>Escuela de Psicología, Universidad Pedagógica y Tecnológica de Colombia, Boyacá, Tunja, Colombia; Neuropsychologist and Independent Practitioner, Neuroser de Occidente IPS, SAS, Cauca, Colombia</t>
  </si>
  <si>
    <t>Muñoz-Olano, J.F., Escuela de Psicología, Universidad Pedagógica y Tecnológica de Colombia, Boyacá, Tunja, Colombia; Ruiz-Zapata, G.J., Neuropsychologist and Independent Practitioner, Neuroser de Occidente IPS, SAS, Cauca, Colombia</t>
  </si>
  <si>
    <t>The counterfactual thinking cannot be only developed in early childhood, but it also could be a requirement for the causal reasoning. In this research a replica of German (1999) was made using counterfactual stories with Latin American kids between three and four years, demonstrating the possible main role counterfactual reasoning, by using computer animations. This was a different approach to the most recent made by Nyhout and Ganea (2020). Nonetheless, the participants of the study evidenced counterfactual reasoning to the relevant choice and the negative consequence conditions shown on the stories that represented the choices made by a starting role (McNemar, N = 40, k = 11.53, p = .001). Although some of the results were not totally conclusive under the analyzed conditions. Lastly, some possible not controlled effects are discussed from stories shown to the children, that could have motivated the counterfactual thinking. © Koninklijke Brill NV, Leiden, 2022.</t>
  </si>
  <si>
    <t>causal thinking; childhood cognition; Counterfactual thinking; imagination; negative consequence</t>
  </si>
  <si>
    <t>We want to thank to "Nuestra Señora del Carmen" School and "Jean Piaget" Kinder garden, from Popayan city, for all their support in this research.</t>
  </si>
  <si>
    <t>Au, T.K., Counterfactual reasoning (1992) Language, Interaction and Social Cognition, pp. 194-213. , G. R. Semin &amp; K. Fiedler (Eds.), Thousand Oaks, CA: Sage; Buchsbaum, D., Bridgers, S., Skolnick, W., Gopnik, A., The power of possibility: Causal learning, counterfactual reasoning and pretend play (2012) Phil. Trans. R. Soc. B., 367, pp. 2202-2212; Beck, S.R., (2007) Close Call Counterfactuals: Understanding What Almost Happened., , Poster presented at Society for Research in Child Development, Boston, USA; Beck, S.R., Carroll, D.J., Brunsdon, V., Gryg, C.K., (2011) Supporting Children's Counterfactual Thinking with Alternative Modes of Responding., 108, pp. 190-202; Beck, S.R., Robinson, E.J., Carroll, D.J., Apperly, I.A., Children's thinking about counterfactuals and future hypotheticals as possibilities (2006) Child Development, 77 (2), pp. 413-426; Código Ético del Psicólogo, Colombia (2000) Revista Latinoamericana de Psicología, 32 (1), pp. 209-225. , Comité Código Ético del Psicólogo Colombia; (2014) Comunicado Del 27 de Junio, , http://www.uptc.edu.co/export/sites/default/direccion_investigaciones/convocatorias/2015/doc/comunic_etica.pdf, Consideraciones éticas para la investigación científica, Universidad Pedagógica y Tecnológicade Colombia; Coolican, H., (1997) Métodos de Investigación y Estadística en Psicología, , Manual Moderno 2° Edición. México, D. F; Dias, M.G., Harris, P.L., The influence of the imagination on reasoning by young children (1990) British Journal of Developmental Psychology, 8, pp. 305-318; Edgington, D., Causation First: Why Causation is Prior to Counterfactuals (2011) Book: Understanding Counterfactuals, Understanding Causation Issues in Philosophy and Psychology.; Epstuse, K., Roese, N.J., The functional theory of counterfactual thinking (2008) Personality and Social Psychology Review, 12 (2), pp. 168-192; Galinsky, A.D., Moskowitz, G.B., Counterfactuals as behavioral primes: Priming the simulation heuristic and the consideration of alternatives (2000) Journal of Experimental Social Psychology, 36, pp. 357-383; Galinsky, A.D., Moskowitz, G.B., Skurnik, I.W., Counterfactuals as selfgenerated primes: The effect of prior counterfactual activation on person perception judgments (2000) Social Cognition, 18, pp. 252-280; Gavanski, I., Wells, G.L., Counterfactual processing of normal and exceptional events (1989) Journal of Experimental Social Psychology, 25, pp. 314-325; German, T.P., Children's causal reasoning: Counterfactual thinking occurs for 'negative' outcomes only (1999) Developmental Science., 2 (4), pp. 442-447; German, T.P., Nichols, S., Children's counterfactual inferences about long and short causal chains (2003) Developmental Science, 6, pp. 514-523; Gilovich, T., Wang, R.F., Regan, D., Nishina, S., Regrets of action and inaction across cultures (2003) Journal of Cross-Cultural Psychology, 34, pp. 61-71; Girotto, V., Legrenzi, P., Rizzo, A., Event controllability in counterfactual thinking (1991) Acta Psychologica, 78 (1-3), pp. 111-133; Gleicher, F., Kost, K.A., Baker, S.M., Strathman, A.J., Richman, S.A., Sherman, S.J., The role of counterfactual thinking in judgements of affect (1990) Personality and Social Psychology Bulletin, 16, pp. 284-295; Harris, P., (2000) El Funcionamiento de la Imaginación, , UK: Oxford: Blackwell Publishers Ltda; Harris, P.L., German, T.P., Mills, P.E., Children's use of counterfactual thinking in causal reasoning (1996) Cognition, 61, pp. 233-259; Hawkins, J., Pea, R.D., Glick, J., Scribner, S., Merds that laugh don't like mushrooms (1984) Evidence for Deductive Reasoning by Preschoolers., 20 (4), pp. 584-594. , http://web.stanford.edu/~roypea/RoyPDF%20folder/A22_Hawkins_etal_84.pdf; Higgins, E.T., Beyond pleasure and pain (1997) American Psychologist, 52, pp. 1280-1300; Hofstadter, D.R., (1979) Gödel, Escher, Bach., , New York: Vintage Books; Jiménez-Leal, W., Causal selection and counterfactual reasoning (2013) Revista Colombiana de Psicología., 22 (1), pp. 179-197; Kahneman, D., A perspective on judgment and choice: Mapping bounded rationality (2003) American Psychologist., 58 (9), pp. 697-720; Kahneman, D., Miller, D.T., Norm theory: Comparing reality to its alternatives (1986) Psychological Review, 93, pp. 136-153; Landman, J., Regret and elation following action and inaction: Affective responses to positive versus negative outcomes (1987) Personality and Social Psychology Bulletin, 13, pp. 524-536; Ley de Habeas Data de 2008, , http://wp.presidencia.gov.co/sitios/normativa/leyes/Documents/Juridica/Ley%201266%20de%2031%20de%20diciembre%202008.pdf, Recuperado de; Ley Número 23 de 1982 Sobre Derechos de Autor., , http://derechodeautor.gov.co/documents/10181/182597/23.pdf/a97b8750-8451-4529-ab87-bb82160dd226; MacKie, J.L., (1974) The Cement of the Universe: A Study of Causation., , Oxford: OxfordUniversity Press; MacRae, C.N., A tale of two curries: Counterfactual thinking and accident-related judgments (1992) Personality and Social Psychology Bulletin, 18, pp. 84-87; MacRae, C.N., Milne, A.B., Griffiths, R.J., Counterfactual thinking and the perception of criminal behaviour (1993) British Journal of Psychology, 84, pp. 221-226; Mandel, D.R., (2000) Causal Counterfactual Explanation: Mental Simulation and the Nexus of Causal and Counterfactual Explanation, , Defence R&amp;D. Canada - Toronto; Mandel, D.R., Lehman, D.R., Counterfactual thinking and ascriptions of cause and preventability (1996) Journal of Personality and Social Psychology, 71, pp. 450-463; Markman, K.D., McMullen, M.N., A reflection and evaluation model of comparative thinking (2003) Personality and Social Psychology Review, 7, pp. 244-267; Markman, K.D., McMullen, M.N., Elizaga, R.A., Counterfactual thinking, persistence, and performance: A test of the reflection and evaluation model (2008) Journal of Experimental Social Psychology, 44, pp. 421-428; McMullen, M.N., Affective contrast and assimilation in counterfactual thinking (1997) Journal of Experimental Social Psychology, 33, pp. 77-100; McMullen, M.N., Markman, K.D., Downward counterfactuals and motivation: The "wake-up call" and the "pangloss" effect (2000) Personality and Social Psychology Bulletin, 26, pp. 575-584; Miller, D.T., Tumbull, W., McFarland, C., Counterfactual thinking and social perception: Thinking about what might have been (1990) Advances in Experimental Social Psychology, 23, pp. 305-331. , P. Zanna (Ed.), Orlando, FL: Academic Press; Muñoz-Olano, J.F., El papel de la simulación de la experiencia en el comportamiento humano (2011) Psicogente, 14 (26), pp. 439-459. , file:///C:/Users/Lenovo/Downloads/1843-Texto%20del%20art%C3%AD_culo-1760-1-10-20170405.pdf; Nyhout, G., Ganea, P.A., What is and what never should have been: Children's causal and counterfactual judgments about the same events (2020) Journal of Experimental Psychology, p. 192; Nyhout, G., Ganea, P.A., Mature counterfactual reasoning in 4- and 5-year-olds (2019) Cognition, 183, pp. 57-66. , https://doi.org/10.1016/j.cognition.2018.10.027; Nyhout, G., Henke, L., Ganea, P.A., Children's Counterfactual Reasoning about Causally Overdetermined Events (2017) Child Development, 90 (2), pp. 610-622; Perner, J., Sprung, M., Steinkogler, B., Counterfactual conditionals and false belief: A developmental dissociation (2004) Cognitive Development, 19, pp. 179-201; Rafetseder, E., Perner, J., Counterfactual reasoning: Sharpening conceptual distinctions in developmental studies (2014) Child Development Perspectives, 8 (1), pp. 54-58. , https://doi.org/10.1111/cdep.12061; Rafetseder, E., Schwitalla, M., Perner, J., (2013) Counterfactual Reasoning: From Childhood to Adulthood., 114 (3), pp. 389-404; Rafetseder, E., Cristi-Vargas, R., Perner, J., (2011) Counterfactual Reasoning: Developing A Sense of "nearest Possible World", 81 (1); Riggs, K.J., Peterson, D.M., Robinson, E.J., Mitchell, P., Are errors in false belief tasks symptomatic of a broader difficulty with counterfactuality? (1998) Cognitive Development, 13, pp. 73-90; Robinson, E.J., Beck, S.R., What is difficult about counterfactual reasoning? (2000) Children's Reasoning and the Mind, , P. Mitchell &amp; K. J. Riggs (Eds.), Hove: Psychology Press; Roese, N.J., Counterfactual thinking (1997) Psychological Bulletin, 121 (1), pp. 133-148. , https://doi.org/10.1037/0033-2909.121.1.133; Roese, N.J., Morrison, M., The psychology of counterfactual thinking (2009) Historical Social Research., 34 (2), pp. 16-26; Sherman, S.J., McConnell, A.R., Dysfunctional implications of counterfactual thinking: When alternatives to reality fail us (1995) What Might Have Been: The Social Psychology of Counterfactual Thinking, pp. 199-231. , N. J. Roese &amp; J. M. Olson (Eds.), Mahwah, NJ: Erlbaum; Weisberg, D.S., Gopnik, A., (2013) Pretense, Counterfactuals, and Bayesian Causal Models: Why What Is Not Real Really Matters., 37, pp. 1368-1381; Wells, G.L., Gavanski, I., Mental simulation of causality (1989) Journal of Personality and Social Psychology, 56, pp. 161-169</t>
  </si>
  <si>
    <t>Muñoz-Olano, J.F.; Escuela de Psicología, Boyacá, Colombia; email: juan.munoz04@uptc.edu.co</t>
  </si>
  <si>
    <t>Brill Academic Publishers</t>
  </si>
  <si>
    <t>2-s2.0-85135865637</t>
  </si>
  <si>
    <t>Guerrero-Balaguera J.-D., Galasso L., Sierra R.L., Reorda M.S.</t>
  </si>
  <si>
    <t>56584605700;57758252600;57758252700;57188717230;</t>
  </si>
  <si>
    <t>Reliability Assessment of Neural Networks in GPUs: A Framework For Permanent Faults Injections</t>
  </si>
  <si>
    <t>IEEE International Symposium on Industrial Electronics</t>
  </si>
  <si>
    <t>2022-June</t>
  </si>
  <si>
    <t>10.1109/ISIE51582.2022.9831549</t>
  </si>
  <si>
    <t>https://www.scopus.com/inward/record.uri?eid=2-s2.0-85135825192&amp;doi=10.1109%2fISIE51582.2022.9831549&amp;partnerID=40&amp;md5=6421271bcd0439fec692e903788410fd</t>
  </si>
  <si>
    <t>Politecnico di Torino, Department of Control and Computer Engineering (DAUIN), Italy; Universidad Pedagógica y Tecnologica de Colombia (UPTC), Electronics Engineering School, Colombia</t>
  </si>
  <si>
    <t>Guerrero-Balaguera, J.-D., Politecnico di Torino, Department of Control and Computer Engineering (DAUIN), Italy; Galasso, L., Politecnico di Torino, Department of Control and Computer Engineering (DAUIN), Italy; Sierra, R.L., Universidad Pedagógica y Tecnologica de Colombia (UPTC), Electronics Engineering School, Colombia; Reorda, M.S., Politecnico di Torino, Department of Control and Computer Engineering (DAUIN), Italy</t>
  </si>
  <si>
    <t>Currently, Deep learning and especially Convolutional Neural Networks (CNNs) have become a fundamental computational approach applied in a wide range of domains, including some safety-critical applications (e.g., automotive, robotics, and healthcare equipment). Therefore, the reliability evaluation of those computational systems is mandatory. The reliability evaluation of CNNs is performed by fault injection campaigns at different levels of abstraction, from the application level down to the hardware level. Many works have focused on evaluating the reliability of neural networks in the presence of transient faults. However, the effects of permanent faults have been investigated at the application level, only, e.g., targeting the parameters of the network. This paper intends to propose a framework, resorting to a binary instrumentation tool to perform fault injection campaigns, targeting different components inside the GPU, such as the register files and the functional units. This environment allows for the first time assessing the reliability of CNNs deployed on a GPU considering the presence of permanent faults. © 2022 IEEE.</t>
  </si>
  <si>
    <t>Artificial Neural Networks; Convolutional Neural Networks; Fault Injection; Graphics Processing Units (GPUs); Reliability evaluation</t>
  </si>
  <si>
    <t>Computer graphics; Computer hardware; Convolution; Convolutional neural networks; Deep learning; Fault detection; Program processors; Reliability; Safety engineering; Software testing; Application level; Computational approach; Convolutional neural network; Fault injection; Graphic processing unit; Neural-networks; Permanent faults; Reliability assessments; Reliability Evaluation; Safety critical applications; Graphics processing unit</t>
  </si>
  <si>
    <t>Mun, H., Recycling of Adversarial Attacks on the DNN of Autonomous Cars (2021) International Conference on Information Networking, 2021, pp. 814-817. , Jan.-January; Ravindran, R., Multi-Object Detection and Tracking, Based on DNN, for Autonomous Vehicles: A Review (2021) IEEE Sensors Journal, 21 (5), pp. 5668-5677. , Mar; Hatcher, W.G., A Survey of Deep Learning: Platforms, Applications and Emerging Research Trends (2018) IEEE Access, 6, pp. 24411-24432. , Apr; Jouppi, N., Motivation for and Evaluation of the First Tensor Processing Unit (2018) IEEE Micro, 38 (3), pp. 10-19. , May; Shawahna, A., FPGA-Based accelerators of deep learning networks for learning and classification: A review (2019) IEEE Access, 7, pp. 7823-7859; NVIDIA DRIVE-Autonomous Vehicle Development Platforms | NVIDIA Developer, , https://developer.NVIDIA.com/drive, accessed Feb. 12, 2022; Du, B., About the functional test of the GPGPU scheduler (2018) 2018 IEEE 24th International Symposium on On-Line Testing and Robust System Design, IOLTS 2018, pp. 85-90. , Sep; Torres-Huitzil, C., Fault and Error Tolerance in Neural Networks: A Review (2017) IEEE Access, 5, pp. 17322-17341. , Aug; Ibrahim, Y., Soft Error Resilience of Deep Residual Networks for Object Recognition (2020) IEEE Access, 8, pp. 19490-19503; Garrett, T., George, A.D., Improving dependability of onboard deep learning with resilient tensorflow (2021) Proceedings-2021 IEEE Space Computing Conference, SCC 2021, pp. 134-142. , Aug; Adam, K., Analyzing the Resilience of Convolutional Neural Networks Implemented on GPUS: Alexnet as a Case Study (2021) International journal of electrical and computer engineering systems, 12 (2), pp. 91-103. , Jun; Ruospo, A., Investigating data representation for efficient and reliable Convolutional Neural Networks (2021) Microprocessors and Microsystems, 86, p. 104318. , Oct; Ruospo, A., A Pipelined Multi-Level Fault Injector for Deep Neural Networks (2020) 33rd IEEE International Symposium on Defect and Fault Tolerance in VLSI and Nanotechnology Systems, DFT 2020, , Oct; Condia, J.E.R., FlexGripPlus: An improved GPGPU model to support reliability analysis (2020) Microelectronics Reliability, 109, p. 113660. , Jun; Bukasa, S.K., When Fault Injection Collides with Hardware Complexity (2018) Lecture Notes in Computer Science, pp. 243-256. , 11358 LNCS Nov; Tsai, T., NVBitFI: Dynamic Fault Injection for GPUS (2021) Proceedings-51st Annual IEEE/IFIP International Conference on Dependable Systems and Networks, DSN 2021, pp. 284-291. , Jun; Hari, S.K.S., SASSIFI: An architecture-level fault injection tool for GPU application resilience evaluation (2017) ISPASS 2017-IEEE International Symposium on Performance Analysis of Systems and Software, pp. 249-258. , Jul; Redmon, J., Darknet: Open Source Neural Networks in C, , https://pjreddie.com/darknet/, accessed Feb. 14, 2022</t>
  </si>
  <si>
    <t>31st IEEE International Symposium on Industrial Electronics, ISIE 2022</t>
  </si>
  <si>
    <t>1 June 2022 through 3 June 2022</t>
  </si>
  <si>
    <t>85PTA</t>
  </si>
  <si>
    <t>IEEE Int Symp Ind Electron</t>
  </si>
  <si>
    <t>2-s2.0-85135825192</t>
  </si>
  <si>
    <t>Ca˜nadas A.M., Serna R.-J., Gaviria I.D.M.</t>
  </si>
  <si>
    <t>56303622000;56698018300;55746366700;</t>
  </si>
  <si>
    <t>Zavadskij modules over cluster-tilted algebras of type A*</t>
  </si>
  <si>
    <t>Electronic Research Archive</t>
  </si>
  <si>
    <t>https://www.scopus.com/inward/record.uri?eid=2-s2.0-85135413533&amp;doi=10.3934%2fera.2022175&amp;partnerID=40&amp;md5=0216bdb60a0dc175656c1ffb7b7b4b8f</t>
  </si>
  <si>
    <t>Departamento de Matematicas, Universidad Nacional de Colombia, Edificio Yu Takeuchi 404,Kra 30 No 45-03, Bogota, 11001000, Colombia; Escuela de Matematicas y Estadıstica, Universidad Pedagogica y Tecnologica de Colombia, Avenida Central del Norte 39-115, Tunja, 150003, Colombia</t>
  </si>
  <si>
    <t>Ca˜nadas, A.M., Departamento de Matematicas, Universidad Nacional de Colombia, Edificio Yu Takeuchi 404,Kra 30 No 45-03, Bogota, 11001000, Colombia; Serna, R.-J., Escuela de Matematicas y Estadıstica, Universidad Pedagogica y Tecnologica de Colombia, Avenida Central del Norte 39-115, Tunja, 150003, Colombia; Gaviria, I.D.M., Escuela de Matematicas y Estadıstica, Universidad Pedagogica y Tecnologica de Colombia, Avenida Central del Norte 39-115, Tunja, 150003, Colombia</t>
  </si>
  <si>
    <t>Zavadskij modules are uniserial tame modules. They arose from interactions between the poset representation theory and the classification of general orders. The main problem is to characterize Zavadskij modules over a finite-dimensional algebra A. In this setting, we prove that the indecomposable uniserial A-modules with a mast of multiplicity one in each vertex are Zavadskij modules. Since the Zavadskij property carries over to direct summands, but it is not invariant under the formation of direct sums, we give a criterion to determine when the direct sum of indecomposable Zavadskij modules is again a Zavadskij module. In addition, we use the triangulations of the n + 3-gon associated with the cluster-tilted algebra of type An to give a formula for the number of indecomposable Zavadskij modules over any cluster-tilted algebra of type An. In this case, the formula gives the dimension of the cluster-tilted algebra. As an application, we discuss some integer sequences in the OEIS (The On-Line Encyclopedia of Integer Sequences) that allow us to enumerate indecomposable Zavadskij modules. © 2022. the Author(s), licensee AIMS Press. This is an open access article distributed under the terms of the Creative Commons Attribution License (http://creativecommons.org/licenses/by/4.0)</t>
  </si>
  <si>
    <t>Algorithm of differentiation; Categorification; Cluster-tilted algebra of type a; Integer sequence; Oeis; Quiver representation; Uniserial module; Zavadskij module</t>
  </si>
  <si>
    <t>The first author has been supported by the Seminar Alexander Zavadskij on Representation of Algebras and Its Applications at Universidad Nacional de Colombia. The second and third author have been supported by Minciencias-Colombia Convocatoria fortalecimiento de vocaciones y formación en CTeI para la reactivación económica en el marco de la postpandemia 2020. No 891.</t>
  </si>
  <si>
    <t>Rump, W., Two-point differentiation for general orders (2000) J. Pure Appl. Algebra, 153, p. 171190. , https://doi.org/10.1016/S0022-4049(99)00085-7, 1; Zavadskij, A. G., Differentiation with respect to a pair ofpoints (1977) Matrix probl, pp. 115-121. , 2; Arnold, D., (2012) Abelian Groups and Representations of Finite Partially Ordered Sets, , 3. Springer Science &amp; Business Media; Rump, W., Differentiation for orders and Artinian rings (2004) Algebras Represent. Theory, 7, pp. 395-417. , https://doi.org/10.1023/B:ALGE.0000042182.98997.7c, 4; Simson, D., (1992) Linear Representations of Partially Ordered Sets and Vector Space Categories, Algebra, Logic and Applications, , 5. Gordon and Breach Science Publishers, Montreux; Zavadskii, A. G., Kiricenko, V. V., Semimaximal rings of finite type (1977) Mat. Sb. (N.S.), 103, pp. 323-345. , 6; Buan, A. B., Marsh, R., Reineke, M., Reiten, I., Todorov, G., Tilting theory andclustercombinatorics (2006) Adv. Math, 204, pp. 572-618. , https://doi.org/10.1016/j.aim.2005.06.003, 7; Caldero, P., Chapoton, F., Schiffler, R., Quivers with relations arising from clusters (An case) (2006) Trans. Am. Math. Soc, 358, pp. 1347-1364. , https://doi.org/10.1090/S0002-9947-05-03753-0, 8; Buan, A. B., Marsh, R. J., Reiten, I., Cluster-tilted algebras of finite representation type (2006) J. Algebra, 306, pp. 412-431. , https://doi.org/10.1016/j.jalgebra.2006.08.005, 9; Buan, A. B., Vatne, D. F., Derived equivalence classification for cluster-tilted algebras of type An (2008) J. Algebra, 319, pp. 2723-2738. , https://doi.org/10.1016/j.jalgebra.2008.01.007, 10; Torkildsen, H. A., Counting cluster-tilted algebras of type An (2008) Int. Electron. J. Algebra, 4, pp. 149-158. , 11; Nowak, S., Simson, D., Locally Dynkin quivers and hereditary coalgebras whose left comodules are direct sums of finite dimensional comodules (2002) Comm. Algebra, 30, pp. 455-476. , https://doi.org/10.1081/AGB-120006503, 12; Sloane, N. J. A., (1964) The on-line encyclopedia of integer sequences, , http://oeis.org, 13. published electronically at; Assem, I., Simson, D., Skowronski, A., Elements of the Representation Theory of Associative Algebras (2006) London Mathematical Society Student Texts, 65. , https://doi.org/10.1017/CBO9780511614309, 14. Cambridge University Press, Cambridge; Buan, A. B., Torkildsen, H. A., The number of elements in the mutation class of a quiver of type Dn (2009) Electron. J. Combin, 16, p. 23. , https://doi.org/10.37236/138, 15; Bastian, J., Holm, T., Ladkani, S., Towards derived equivalence classification ofthe cluster-tilted algebras of Dynkin type D (2014) J. Algebra, 410, pp. 277-332. , https://doi.org/10.1016/j.jalgebra.2014.03.034, 16; Assem, I., Trepode, S., (2018) Homological methods, representation theory, and cluster algebras, inPapers Basedon Six Mini-Courses Delivered at the 2016 CIMPA SchoolHeldatthe UniversidadNacional de Mardel Plata, , https://doi.org/10.1007/978-3-319-74585-5, 17. Mardel Plata (eds. Ibrahim Assem and Sonia Trepode) Springer, Cham; Boldt, A., Mojiri, A., On uniserial modules in the Auslander-Reiten quiver (2008) J. Algebra, 319, pp. 1825-1850. , https://doi.org/10.1016/j.jalgebra.2007.11.026, 18; Huisgen-Zimmermann, B., Thegeometryofuniserialrepresentations offinite-dimensionalalgebra. I (1998) J. Pure Appl. Algebra, 127, pp. 39-72. , https://doi.org/10.1016/S0022-4049(96)00184-3, 19; Boldt, A., (1996) Two Aspects of Finite-Dimensional Algebras: Uniserial Modules and Coxeter Polynomials, , 20. ProQuest LLC, Ann Arbor, MI, University of California, PhD Thesis; Schiffler, R., Serna, R. J., A geometric realization of socle-projective categories for posets of type A (2020) J. Pure Appl. Algebra, 224, p. 23. , https://doi.org/10.1016/j.jpaa.2020.106436, 21; Fahr, P., Ringel, C. M., A partition formula for Fibonacci numbers (2008) J. Integer Seq, 11, p. 9. , 22; Fahr, P., Ringel, C. M., Categorification of the Fibonacci numbers using representations of quivers (2012) J. Integer Seq, 15, p. 12. , https://doi.org/10.48550/arXiv.1107.1858, 23; Canadas, A. M., Espinosa, P. F. F., Gaviria, I. D. M., Categorification of some integer sequences via Kronecker modules (2016) JP J. Algebra, Number Theory Appl, 38, pp. 339-347. , http://dx.doi.org/10.17654/NT038040339, 24; Canadas, A. M., Gaviria, I. D. M., Giraldo, H., Representation of equipped posets to generate Delannoy numbers (2017) Far East J. Math. Sci, 8, pp. 1677-1695. , https://doi.org/10.17654/MS102081677, 25</t>
  </si>
  <si>
    <t>Gaviria, I.D.M.; Escuela de Matematicas y Estadıstica, Avenida Central del Norte 39-115, Colombia; email: isaias.marin@uptc.edu.co</t>
  </si>
  <si>
    <t>American Mathematical Society</t>
  </si>
  <si>
    <t>2-s2.0-85135413533</t>
  </si>
  <si>
    <t>Tovar C.A.T., Crespo A.D.P.</t>
  </si>
  <si>
    <t>57827926100;57828454200;</t>
  </si>
  <si>
    <t>La Masacre de Trujillo: an approach to "the truth" from memory [La Masacre de Trujillo: una aproximacion a "la verdad" desde la memoria]</t>
  </si>
  <si>
    <t>Fotocinema</t>
  </si>
  <si>
    <t>10.24310/Fotocinema.2022.vi25.14177</t>
  </si>
  <si>
    <t>https://www.scopus.com/inward/record.uri?eid=2-s2.0-85135296898&amp;doi=10.24310%2fFotocinema.2022.vi25.14177&amp;partnerID=40&amp;md5=89e1a7481f5d29272295ccc998047252</t>
  </si>
  <si>
    <t>Pontificia Universidad Javeriana, Cali, Colombia; Universidad de Granada, Spain</t>
  </si>
  <si>
    <t>Tovar, C.A.T., Pontificia Universidad Javeriana, Cali, Colombia; Crespo, A.D.P., Universidad de Granada, Spain</t>
  </si>
  <si>
    <t>La Masacre de Trujillo is one of the most rugged and infamous experiences of the Colombian armed conflict and also one of the case studies with begins about how to narrate the violence, alluding to words and images from the point of view of the victims, who find an opportunity in the current peacebuilding process in Colombia, also known as post-conflict or post-agreement. This article analyzes the way in which stories have been consolidated that ponder an approach to "the truth" of what happened, a matter that does not only correspond to an expectation of objectivity, but to an experience of a symbolic order in which communication processes have the ability to provide victims with a place for deliberation from and through photography. For these purposes, a compilation of photographic material has been made through which the underlying tensions between the official history and the memory of those affected are presented. © 2022 Fotocinema. All rights reserved.</t>
  </si>
  <si>
    <t>Colombia; Memory; Peace; Photography; Slaughter; Truth</t>
  </si>
  <si>
    <t>Aya, S. M., El Proceso de Paz en Colombia: dos pasos adelante, un paso atrás (2017) Estudios internacionales (Santiago), 49 (187), pp. 163-179; Borges, J. L., (1969) Elogio de la sombra, , EMECÉ Editores; Cabello-Tijerina, Paris, A., Quiñones, K., La relevancia de la perspectiva territorial y femenina en la construcción de paz en Colombia (2019) Convergencia. Revista de Ciencias Sociales, 26 (80), pp. 1-25. , https://www.redalyc.org/articulo.oa?id=10559568009; Castillo, M., Gamboa, R., La educación para la paz: una respuesta a las demandas sociales (2012) Revista electrónica Diálogos Educativos, 12 (23), pp. 117-131; (2014) Patrones" y campesinos: tierra, poder y violencia en el Valle del Cauca (1960-2012), , Centro Nacional de Memoria Histórica CNMH; (2008) Trujillo, una tragedia que no cesa, , Comisión Nacional de Reparación y Reconciliación Editorial Planeta; Foucault, M., (2010) El coraje de la verdad, , Fondo de Cultura Económica; Ghilarducci, D., Víctimas y memoria histórica. las madres de plaza de mayo y el movimiento de víctimas de crímenes de estado en Colombia (2018) Análisis Político, 31 (93), pp. 189-207. , https://doi.org/10.15446/anpol.v31n93.75624; González, F., (2016) Poder y violencia en Colombia, , Editorial Gente Nueva; Goytisolo, J., (1985) Coto vedado, , Seix Barral; Gutierrez-Sanín, F, (2020) ¿Un nuevo ciclo de guerra en Colombia?, , Editorial Debate; Hurtado-Cadavid, J., El papel de la verdad en los procesos de resubjetivación de las víctimas en Colombia (2019) Análisis Político, 32 (95), pp. 62-81. , https://doi.org/10.15446/anpol.v32n95.80830; Isaacs, J., (2010) María, , Libros Hidalgo; Jaramillo, J., (2014) Pasados y presentes de la violencia en Colombia. Estudio sobre las comisiones de investigación (1958-2011), , Editorial Pontificia Universidad Javeriana; López-Aristizábal, L., Guerrero, F., La tridimensionalidad de la víctima: un análisis del discurso en el proceso de transición colombiano (2018) Análisis Político, 31 (93), pp. 169-188. , https://doi.org/10.15446/anpol.v31n93.75623; Martín-Barbero, J., Poner este roto país a comunicar (2005) Signo y Pensamiento, 24 (46), pp. 163-169. , https://revistas.javeriana.edu.co/index.php/signoypensamiento/article/view/3667; Melamed-Visbal, J. D., Participación política de las FARC-EP y apertura democrática para la construcción de la paz en Colombia: una aproximación esquemática (2018) Izquierdas, (39), pp. 86-109. , https://dx.doi.org/10.4067/S0718-50492018000200086; Muñoz, F., (2000) La paz imperfecta, , Editorial Universidad de Granada; Pécaut, D., (2015) La experiencia de la violencia: los desafios del relato y la memoria, , La Carreta Editores; Pécaut, D., (2017) Daniel Pécaut. En busca de la nación colombiana. Conversaciones con Alberto Valencia, , Penguin Random; Reyes Mate, M., (2008) Justicia de las víctimas. Terrorismo, memoria y reconciliación, , Anthropos; Ricoeur, P., (2004) Tiempo y Narración I, , Siglo del Hombre Editores; Rodríguez-Pinzón, E., Colombia. La construcción de una narrativa de la memoria histórica como proceso político (2020) Historia Y Memoria, (21), pp. 109-135. , https://doi.org/10.19053/20275137.n21.2020.9892; Agustín, San, (2017) Confesiones. Austral. Sánchez Biosca, V. (2006). Cine y guerra civil española: del mito a la memoria, , Alianza; Traverso, E., (2007) El pasado, instrucciones de uso. Historia, memoria, política, , Marcial Pons; Urrea-Giraldo, F., Algunos factores desencadenantes del levantamiento popular en Cali (2021) En Pensar la resistencia: mayo de 2021 en Cali y Colombia, 6, pp. 167-182. , https://bit.ly/3cgzWN4, Documentos especiales CIDS Facultad de Ciencias Sociales y Económicas, Universidad del Valle; Ventura, B., (2012) La "Vía Nanclares" explicada en diez preguntas, , https://www.eldiario.es/opinion/zonacritica/via-nanclares-explicada-preguntas_129_5346671.html, (15 de mayo de). ElDiario.es; Villamizar-Herrera, D., (2020) Las guerrillas en Colombia, una historia desde los orígenes hasta los conflictos, , Debate</t>
  </si>
  <si>
    <t>Universidad de Malaga, Departamento de Historia del Arte</t>
  </si>
  <si>
    <t>2-s2.0-85135296898</t>
  </si>
  <si>
    <t>Laverde N., Pérez C.A., Casas L.D., Cortés N.A., Chávez L.E.</t>
  </si>
  <si>
    <t>57280955200;57280199300;48361141200;57823275800;57280582100;</t>
  </si>
  <si>
    <t>Cellophane strip for correction of portosystemic shunt in a canine: Case report [Banda de celofán para corrección de derivación portosistémica en un canino: Reporte de caso]</t>
  </si>
  <si>
    <t>e22907</t>
  </si>
  <si>
    <t>10.15381/RIVEP.V33I3.22907</t>
  </si>
  <si>
    <t>https://www.scopus.com/inward/record.uri?eid=2-s2.0-85135121337&amp;doi=10.15381%2fRIVEP.V33I3.22907&amp;partnerID=40&amp;md5=6e1b106c3898a36484cd254de840732c</t>
  </si>
  <si>
    <t>Fundación Universitaria Juan de Castellanos, Facultad de Ciencias Agrarias y Ambientales, Tunja, Colombia; Facultad de Ciencias Agropecuarias, Universidad Tecnológica y Pedagógica de Colombia, Tunja, Colombia</t>
  </si>
  <si>
    <t>Laverde, N., Fundación Universitaria Juan de Castellanos, Facultad de Ciencias Agrarias y Ambientales, Tunja, Colombia; Pérez, C.A., Fundación Universitaria Juan de Castellanos, Facultad de Ciencias Agrarias y Ambientales, Tunja, Colombia; Casas, L.D., Fundación Universitaria Juan de Castellanos, Facultad de Ciencias Agrarias y Ambientales, Tunja, Colombia; Cortés, N.A., Fundación Universitaria Juan de Castellanos, Facultad de Ciencias Agrarias y Ambientales, Tunja, Colombia; Chávez, L.E., Facultad de Ciencias Agropecuarias, Universidad Tecnológica y Pedagógica de Colombia, Tunja, Colombia</t>
  </si>
  <si>
    <t>A case of an 8-month-old Shih Tzu canine was referred to ASMEVET veterinary hospital in the city of Tunja, Colombia with a presumptive diagnosis of portosystemic shunt. The owner reported that the patient wanders at night, is not resting, has been vomiting, had convulsions and leaned his head against the walls. Clinical examination revealed dehydration, tachycardia, tachypnea, sialorrhea, disorientation and abdominal pain. Doppler ultrasonography was performed where the communication between the portal vein and the caudal vena cava was found. An exploratory laparotomy was performed to visualize the anomalous communication between the portal vein and the caudal vena cava, and a cellophane strip was installed around the anomalous vessel. After 60 days of surgery, blood samples were taken to measure pre and postprandial ammonium and bile acids, yielding values within normal blood ranges. © 2022 Los autores.</t>
  </si>
  <si>
    <t>canine; cellophane strip; Doppler ultrasonography; liver; portosystemic shunt</t>
  </si>
  <si>
    <t>ammonia; bile acid; abdominal pain; ammonia blood level; Article; bile acid blood level; blood sampling; clinical examination; Colombia; congenital portosystemic shunt; convulsion; dehydration; disorientation; Doppler ultrasonography; hepatic portal vein; hypersalivation; inferior cava vein; laparotomy; nonhuman; normal value; Shih Tzu; tachycardia; tachypnea; veterinary clinic; vomiting</t>
  </si>
  <si>
    <t>ammonia, 14798-03-9, 51847-23-5, 7664-41-7</t>
  </si>
  <si>
    <t>Bridger, N, Glanemann, B, Neiger, R., Comparison of postprandial and ceruletide serum bile acid stimulation in dogs (2008) J Vet Int Med, 22, pp. 873-878; Bussadori, R, Bussadori, C, Millán, L, Costilla, S, Rodríguez-Altónaga, JA, Orden, MA, Gonzalo-Orden, JM., Transvenous coil embolisation for the treatment of single congenital portosystemic shunts in six dogs (2008) Vet J, 176, pp. 221-226; G Caporali, EH, Phillips, H, Underwood, L, Selmic, LE., Risk factors for urolithiasis in dogs with congenital extrahepatic portosystemic shunts: 95 cases (1999-2013) (2015) J Am Vet Med Assoc, 246, pp. 530-536; Daniel, GB., Scintigraphic diagnosis of portosystemic shunts (2009) Vet Clin N Am-Small, 39, pp. 793-810; Devriendt, N, Serrano, G, Paepe, D, de Rooster, H., Liver function tests in dogs with congenital portosystemic shunts and their potential to determine persistent shunting after surgical attenuation (2020) Vet J, 261, p. 105478; Field, E, Scurr, DJ, Piggott, MJ, Anderson, TS, Chanoit, GP., The chemical and ultra-structural analysis of thin plastic films used for surgical attenuation of portosystemic shunts in dogs and cats (2019) Res Vet Sci, 126, pp. 192-198; Greenhalgh, SN, Dunning, MD, McKinley, TJ, Goodfellow, MR, Kelman, KR, Freitag, T, O'Neill, EJ, Comparison of survival after surgical or medical treatment in dogs with a congenital portosystemic shunt (2010) J Am Vet Med Assoc, 236, pp. 1215-1220; Karen, T, Berent, A., Hepatic vascular anomalies (2018) Veterinary surgery small animal, pp. 1852-1886. , Johnston S, Tobias K (eds). 2nded. Elsevier; Kraun, MB, Nelson, LL, Hauptman, JG, Nelson, NC., Analysis of the relationship of extrahepatic portosystemic shunt morphology with clinical variables in dogs: 53 cases (2009-2012) (2014) J Am Vet Med Assoc, 245, pp. 540-549; Or, M, Peremans, K, Martlé, V, Vandermeulen, E, Bosmans, T, Devriendt, N, de Rooster, H., Regional cerebral blood flow assessed by single photon emission computed tomography (SPECT) in dogs with congenital portosystemic shunt and hepatic encephalopathy (2017) Vet J, 220, pp. 40-42; Radlinsky, M, Fossum, T., Surgery of the liver (2019) Small animal surgery, pp. 540-570. , Cho J, Dewey C, Hayashi K, Huntingford J, et al. (eds). 5thed. Elsevier; Serrano, G, Charalambous, M, Devriendt, N, de Rooster, H, Mortier, F, Paepe, D., Treatment of congenital extrahepatic portosystemic shunts in dogs: a systematic review and metaanalysis (2019) J Vet Intern Med, 33, pp. 1865-1879; Watson, P., Diagnostic tests for the hepatobiliary system (2020) Small animal internal medicine, pp. 584-619. , Nelson K, Couto R, Couto G. (eds). 6thed. Elsevier; Weisse, C, Berent, A., Hepatic vascular anomalies (2017) Textbook of veterinary internal medicine, pp. 1639-1658. , Ettinger S, Feldman E, Còte E. (eds). 8thed. Elsevier</t>
  </si>
  <si>
    <t>Laverde, N.; Fundación Universitaria Juan de Castellanos, Colombia; email: nestorlaverde18@yahoo.es</t>
  </si>
  <si>
    <t>2-s2.0-85135121337</t>
  </si>
  <si>
    <t>Lancheros-Buitrago D.J., Bulla-Castañeda D.M., Pulido-Medellin M.O., López Buitrago H.A., Díaz-Anaya A.M., Garcia-Corredor D.J.</t>
  </si>
  <si>
    <t>57412001500;57222960876;56241968800;57411867900;55928513700;56241393600;</t>
  </si>
  <si>
    <t>Serodiagnosis and Risk Factors Associated with Infectious Agents of Reproductive Diseases in Bovines of Chiquinquirá, District of Boyacá (Colombia)</t>
  </si>
  <si>
    <t>Veterinary Medicine International</t>
  </si>
  <si>
    <t>https://www.scopus.com/inward/record.uri?eid=2-s2.0-85135114630&amp;doi=10.1155%2f2022%2f7436651&amp;partnerID=40&amp;md5=ed15a53f60793afbdfb6bd86726a3e82</t>
  </si>
  <si>
    <t>Veterinary Medicine and Zootechnology Research Group (GIDIMEVETZ), Universidad Pedagógica y Tecnológica de Colombia (UPTC), Tunja, 15003, Colombia</t>
  </si>
  <si>
    <t>Lancheros-Buitrago, D.J., Veterinary Medicine and Zootechnology Research Group (GIDIMEVETZ), Universidad Pedagógica y Tecnológica de Colombia (UPTC), Tunja, 15003, Colombia; Bulla-Castañeda, D.M., Veterinary Medicine and Zootechnology Research Group (GIDIMEVETZ), Universidad Pedagógica y Tecnológica de Colombia (UPTC), Tunja, 15003, Colombia; Pulido-Medellin, M.O., Veterinary Medicine and Zootechnology Research Group (GIDIMEVETZ), Universidad Pedagógica y Tecnológica de Colombia (UPTC), Tunja, 15003, Colombia; López Buitrago, H.A., Veterinary Medicine and Zootechnology Research Group (GIDIMEVETZ), Universidad Pedagógica y Tecnológica de Colombia (UPTC), Tunja, 15003, Colombia; Díaz-Anaya, A.M., Veterinary Medicine and Zootechnology Research Group (GIDIMEVETZ), Universidad Pedagógica y Tecnológica de Colombia (UPTC), Tunja, 15003, Colombia; Garcia-Corredor, D.J., Veterinary Medicine and Zootechnology Research Group (GIDIMEVETZ), Universidad Pedagógica y Tecnológica de Colombia (UPTC), Tunja, 15003, Colombia</t>
  </si>
  <si>
    <t>The productivity of cattle farms is affected by infectious and noninfectious factors that generate economic losses and cause reproductive failure represented by low conception rates, embryonic mortality, abortions, and fetal mummification. The infectious agents that most impact the reproductive health of the bovine species from conception to birth are bovine herpesvirus type 1 (BoHV-1) causing infectious bovine rhinotracheitis (IBR), bovine viral diarrhea virus (BVDV), bovine parainfluenza virus type 3 (PI3), Neospora caninum and Leptospira spp. The objective of this study was to diagnose the presence of BoHV-1, bovine viral diarrhea (BVD), PI3, Neospora caninum, and Leptospira spp. by serology and identify the risk factors associated with infectious agents of reproductive interest in bovines of Boyacá (Colombia). A descriptive cross-sectional study was developed, with simple random sampling, where a sample size of 601 female cattle of Holstein, Jersey, and Normande breeds of different age groups was determined. Blood samples were taken and processed using the indirect ELISA technique (SYNBIOTICS®, SERELISA® BVD p80 Ab Mono Blocking, Ingezim R.12.NC.K, PRIMACHECK VPI-3®) and the MAT test for the diagnosis of bovine leptospirosis. The data were processed with the statistical program Epi Info™. The highest apparent seroprevalence was established for infectious bovine rhinotracheitis (61.1%), followed by BVD (37.6%), PI3 (40.9%), neosporosis (51.1%), and leptospirosis (14.8%). Variables such as age &gt;4 years and Holstein breed for IBR and &gt;4 years for BVD were established risk factors. Considering our results, we suggest implementing prevention and control plans that include vaccination as a prophylactic measure and biosecurity tools that reduce the probability of contagion and transmission of pathogens. © 2022 Deisy J. Lancheros-Buitrago et al.</t>
  </si>
  <si>
    <t>age distribution; agglutination test; animal experiment; Article; blood sampling; Bovine herpesvirus 1; Bovine parainfluenza virus 3; bovine viral diarrhea; Bovine viral diarrhea virus 1; cattle breed; cross-sectional study; descriptive research; female; Holstein cattle; indirect ELISA; infectious bovine rhinotracheitis; Jersey cattle; Leptospira; leptospirosis; Neospora caninum; neosporosis; nonhuman; normande cattle; Parainfluenza virus infection; risk factor; serodiagnosis; seroprevalence</t>
  </si>
  <si>
    <t>Ingezim R.12NC.K1; PRIMACHECK VPI-3; SERELISA</t>
  </si>
  <si>
    <t>Synbiotics</t>
  </si>
  <si>
    <t>Washburn, K.E., Management of pathogens in cattle (2020) Animal Agriculture: Sustainability, , Amsterdam, Netherlands Challenges and Innovations" Elsevier Inc; Newcomer, B.W., Givens, D., Diagnosis and control of viral diseases of reproductive importance: infectious bovine rhinotracheitis and bovine viral diarrhea (2016) Veterinary Clinics of North America: Food Animal Practice, 32 (2), pp. 425-441; Gilbert, R.O., Reproductive diseases (2007) Rebhun's Diseases of Dairy Cattle, , Oxford, UK Elsevier Health Sciences; Yoo, H.S., Infectious causes of reproductive disorders in cattle (2010) Journal of Reproduction and Development, 56 (S), pp. 53-60. , 2-s2.0-77955909819; Sibhat, B., Ayelet, G., Skjerve, E., Gebremedhin, E.Z., Asmare, K., Bovine herpesvirus 1 in three major milk sheds of Ethiopia: serostatus and association with reproductive disorders in dairy cattle (2018) Preventive Veterinary Medicine, 150, pp. 126-132. , 2-s2.0-85039998214; Ruano, M.P., Burgos MacÍas, D.I., Goicochea, C.A.B., Zambrano Aguayo, M.D., Sandoval Valencia, H.P., Falconi Flores, M.A., Vera Loor, L.A., Fonseca-Rodriguez, O., Seroprevalence and risk factors of bovine leptospirosis in the province of Manabí, Ecuador (2020) Comparative Immunology, Microbiology and Infectious Diseases, 72, pp. 101527-101536; Ansari-Lari, M., Bovine neosporosis in Iran: a systematic review and meta-analysis (2020) Preventive Veterinary Medicine, 176. , 104913; González-Bautista, E.D.D., Bulla-Castañeda, D.M., Lopez-Buitrago, H.A., Díaz-Anaya, A.M., Lancheros-Buitrago, D.J., Garcia-Corredor, D.J., Torreglosa, J.C.T., Pulido-Medellín, M.O., Seroprevalence of bovine viral diarrhea virus (BVDV) in cattle from sotaquirá, Colombia (2021) Veterinary and Animal Science, 14. , 100202; Van Loo, H., Pascottini, O.B., Ribbens, S., Hooyberghs, J., Pardon, B., Opsomer, G., Retrospective study of factors associated with bovine infectious abortion and perinatal mortality (2021) Preventive Veterinary Medicine, 191, pp. 105366-105410. , 105366; Municipal De Chiquinquirá, A., (2020) Alcaldía municipal de Chiquinquirá, , https://www.chiquinquira-boyaca.gov.co/MiMunicipio/Paginas/Presentacion.aspx; Censo Agropecuario, I.C.A., (2020) Censos Pecuarios Nacional, , https://www.ica.gov.co/areas/pecuaria/servicios/epidemiologia-veterinaria/censos-2016/censo-2018; Figueiredo Marques, G., Augusto Pompei, J.C., Martini, M., Manual Veterinario de Toma y Envío de Muestras (2017) Panaftosa, 112; Thrusfield, M., (2005) Veterinary Epidemiology, , Hoboken, USA Blackwell Publishing Ltd; Ochoa, X., Orbegozo, M., Manrique-Abril, F., Pulido, M.M., Ospina, J., Seroprevalencia de rinotraqueitis infecciosa bovina en hatos lecheros de Toca - boyacá (2012) Revista MVZ Córdoba, 17 (2), pp. 2974-2982; Gálvis García, T., Bautista Amorocho, H., Vásquez, M.C., Prevalencia de anticuerpos contra diarrea viral bovina, virus sincitial bovina, rinotraqueitis infecciosa bovina, leucosis bovina, Neospora caninum, parainfluenza bovina (PI3) y paratuberculosis, en ganadería bovina de fincas ubicadas en Aguachica (2016) Revista de La Facultad de Ciencias de La Salud, 3 (1), p. 36; Vargas-Niño, A., Vargas, R.J., Parra-Martin, J.A., Vasquez, R.M.C., Gongora, O.A., Mogollon-Waltero, E.M., Serological status of IBR, BVD, leucosis", Leptospira and Neospora caninum in bovine females of the department of Santander, Colombia (2018) Revista MVZ Córdoba, 23 (2), pp. 6671-6680. , 2-s2.0-85055999248; Ortiz González, A.D., Díaz-Anaya, A.M., Pulido-Medellín, M.O., Determinación de Rinotraqueítis Infecciona Bovina (BHV-1) en el municipio de Toca, Boyacá (2019) CES Medicina Veterinaria y Zootecnia, 14 (1), pp. 18-24; Muñoz Murcia, A.L., Motta-Delgado, P.A., Herrera, W., Polania, R., Cháves, L.C., Prevalencia del virus de la rinotraqueitis infecciosa bovina en el departamento del Caquetá, Amazonia Colombiana (2020) Revista de La Facultad de Medicina Veterinaria y de Zootecnia, 67 (1), pp. 9-16; Pulido Medellín, M.O., Díaz Anaya, A.M., García Corredor, D.J., Andrade Becerra, R.J., Determinación de anticuerpos anti Neospora caninum en vacas de la provincia de Sugamuxi, Colombia (2013) Revista Mexicana De Ciencias Pecuarias, 4 (4), pp. 501-506; Motta Giraldo, J.L., Clavijo Hoyos, J.A., Waltero García, I., Abeledo, M.A., Prevalencia de anticuerpos a Brucella abortus, Leptospira sp. y Neospora caninum en hatos bovinos y bubalinos en el Departamento de Caquetá, Colombia (2014) Revista de Salud Animal, 36 (2), pp. 80-89; Cruz Carrillo, A., Moreno Figueredo, G., González Medrano, K., Martínez-Contreras, J.A., Determinación de la presencia de anticuerpos contra Neospora caninum y el Virus de Diarrea Viral Bovina y su relación con el desempeño reproductivo de hembras bovinas del municipio de Oicatá (Boyacá) (2014) CES Medicina Veterinaria y Zootecnia, 9 (2), pp. 238-247; Cardona, J., Martinez, Y., Betancur, C., Seroepidemiología de hembras bovinas naturalmente infectadas por Neospora caninum en Córdoba, Colombia", Revista U.D.C.A (2015) Actualidad &amp; Divulgación Científica, 18 (2), pp. 401-408; Moreno Figueredo, G., Benavides Ortiz, E., Guerrero, B., Cruz Carrillo, A., Asociación entre Seropositividad al Virus de la Diarrea Viral Bovina, Leptospira interrogans y Neospora caninum, y la Ocurrencia de Abortos en Fincas de Pequeños Productores del Cordón Lechero de Boyacá, Colombia (2017) Revista de Investigaciones Veterinarias del Perú, 28 (4), pp. 1002-1009. , 2-s2.0-85045854781; Pulido-Medellín, M.O., García-Corredor, D.J., Vargas-Abella, J.C., Seroprevalencia de Neospora caninum en un Hato Lechero de Boyacá, Colombia (2016) Revista de Investigaciones Veterinarias del Perú, 27 (2), pp. 355-362. , 2-s2.0-84982806132; Llano, H.A.B., Guimarães, M.S., Soares, R.M., Polo, G., Da Silva, A.C., Seroprevalence and risk factors for Neospora caninum infection in cattle from the eastern Antioquia, Colombia (2018) Veterinary and Animal Science, 6, pp. 69-74. , 2-s2.0-85059738193; Cruz-Estupiñan, S., Díaz-Anaya, A., Bulla-Castañeda, D., Garcia-Corredor, D., Pulido-Medellín, M., Medellin, P., Diagnóstico serológico de Neospora caninum en vacas del municipio de Tuta, Boyacá (2019) Revista de la Facultad de Medicina Veterinaria y de Zootecnia, 66 (3), pp. 197-207; Betancur Hurtado, C., Orrego Uribe, A., González Tous, M., Estudio seroepidemiológico del virus de parainfluenza 3 en bovinos del municipio de Montería (Colombia) con trastornos reproductivos (2010) Revista de Medicina Veterinaria, 20, pp. 63-70; Betancur-Hurtado, C., Castañeda-Ternera, J., González-Tous, M., Inmunopatología del complejo respiratorio bovino en terneros neonatos en Monteria, Colombia (2017) Revista Cientifica de La Facultad de Ciencias Veterinarias de La Universidad Del Zulia, 27 (2); Fernández, M.A., Bulla, D.M., Díaz, A.M., Pulido, M.O., Seroprevalencia y factores de riesgo del virus de parainfluenza 3 (VPI-3) en bovinos de Colombia (2021) Revista Veterinaria, 31 (2); Doria-Ramos, M., Oviedo-Socarras, T., Oviedo-Pastrana, M., Ortiz-Ortega, D., Seroprevalencia de agentes virales del Complejo Respiratorio Bovino en razas criollas del Centro de Investigación Turipaná de AGROSAVIA (2020) Revista Mexicana de Ciencias Pecuarias, 11 (3), pp. 771-782; González-Bautista, E.D., Bulla-Castañeda, D.M., Díaz-Anaya, A.M., García-Corredor, D.J., Pulido-Medellín, M.O., Determinación de anticuerpos antidiarrea viral bovina (DVB) en vacas lecheras de un municipio de Boyacá (Colombia) (2021) Revista de Medicina Veterinaria, 1 (43), pp. 117-126; Betancur Hurtado, C., Orrego Uribe, A., González Tous, M., Seroepidemiología de la leptospirosis en bovinos con trastornos reproductivos en el municipio de Montería, Colombia (2013) Revista de Medicina Veterinaria, 26, pp. 47-55; Pulido-Medellín, M., Díaz-Anaya, A., Giraldo-Forero, J., Determinación de Leptospira spp. en humanos y bovinos pertenecientes al municipio de Toca, Boyacá (2017) Veterinaria e Zootecnia, 11 (2), pp. 55-66; Ensuncho-Hoyos, C., Rodríguez-Rodríguez, V., Pérez-Doria, A., Vergara, O., Calderón-Rangel, A., Epidemiology behavior of leptospirosis in Ciénaga de Oro, Córdoba (Colombia) (2017) Tropical Animal Health and Production, 49 (7), pp. 1345-1351. , 2-s2.0-85025104762; Llanco, A.L., Suárez, A.F., Huanca, L.W., Rivera, G.H., Frecuencia y Riesgo de Infección de Leptospirosis Bovina en Dos Establos Lecheros de la Costa y Sierra Peruana (2017) Revista de Investigaciones Veterinarias del Perú, 28 (3), p. 696; Segura-Correa, J.C., Domínguez-Díaz, D., Avalos-Ramírez, R., Argaez-Sosa, J., Intraherd correlation coefficients and design effects for bovine viral diarrhoea, infectious bovine rhinotracheitis, leptospirosis and neosporosis in cow-calf system herds in North-eastern Mexico (2010) Preventive Veterinary Medicine, 96, pp. 272-275. , 2-s2.0-77956010468; Kipyego, E.S., Gitau, G., Vanleeuwen, J., Kimeli, P., Abuom, T.O., Gakuya, D., Muraya, J., Makau, D., Sero-prevalence and risk factors of infectious bovine rhinotracheitis virus (type 1) in Meru County, Kenya (2020) Preventive Veterinary Medicine, 175. , 104863; Semango, G., Hamilton, C.M., Kreppel, K., Katzer, F., Kibona, T., Lankester, F., Allan, K.J., De Glanville, W.A., The sero-epidemiology of Neospora caninum in cattle in northern Tanzania (2019) Frontiers in Veterinary Science, 6, pp. 327-411. , 2-s2.0-85073165101; Wathes, D.C., Oguejiofor, C.F., Thomas, C., Cheng, Z., Importance of viral disease in dairy cow fertility (2020) Importance of Viral Disease in Dairy Cow Fertility" Engineering, 6 (1), pp. 26-33; Gard, J., Reproductive technologies and pathogen transmission (2020) Reproductive Technologies in Animals, , Oxford, UK Elsevier Science; Ortega-Mora, L.M., Ferre, I., Del-Pozo, I., Caetano-Da-Silva, A., Collantes-Fernandez, E., Regidor-Cerrillo, J., Ugarte-Garagalza, C., Aduriz, G., Detection of Neospora caninum in semen of bulls (2003) Veterinary Parasitology, 117 (4), pp. 301-308. , 2-s2.0-0344154597; Dias, F.E.F., Aoki, S.M., Mesquita, L.G., Nunes, C.M., Garcia, J.F., Detecção de Leptospira pomona em sêmen bovino por eletroforese capilar fluorescente (2006) Brazilian Journal of Veterinary Research and Animal Science, 43 (3), pp. 394-399; Newcomer, B.W., Toohey-Kurth, K., Zhang, Y., Brodersen, B.W., Marley, M.S., Joiner, K.S., Zhang, Y., Givens, M.D., Laboratory diagnosis and transmissibility of bovine viral diarrhea virus from a bull with a persistent testicular infection (2014) Veterinary Microbiology, 170 (3-4), pp. 246-257. , 2-s2.0-84898416791; Chandrasekhar Reddy, R.V., Putla, B., Sarangi, L.N., Rana, S.K., Surendra, K.S.N.L., Ponnanna, N.M., Sharma, G.K., Shedding of bovine alphaherpesvirus-1 in bovine extended frozen semen in Indian semen stations: a longitudinal analysis (2020) Theriogenology, 157, pp. 467-471; De Barros, L.D., Bogado, A.L.G., Furlan, D., De Melo Jardim, A., Okano, W., Da Silva, L.C., Pereira, C.E.S., Garcia, J.L., Effects of Neospora caninum on reproductive parameters in dairy cows from a closed herd in Brazil (2021) Veterinary Parasitology: Regional Studies and Reports, 23, pp. 100524-102021</t>
  </si>
  <si>
    <t>Bulla-Castañeda, D.M.; Veterinary Medicine and Zootechnology Research Group (GIDIMEVETZ), Colombia; email: diana.bulla@uptc.edu.co</t>
  </si>
  <si>
    <t>Hindawi Limited</t>
  </si>
  <si>
    <t>2-s2.0-85135114630</t>
  </si>
  <si>
    <t>Montanero M., Salguero M., Lucero M.</t>
  </si>
  <si>
    <t>6508280160;57821907700;24366714500;</t>
  </si>
  <si>
    <t>Direct Anaphora in Historical Explanations. A Comparative Analysis Between Oral and Written Discourse [La anáfora directa en la explicaciones históricas. Un análisis comparativo entre el discurso oral y escrito]</t>
  </si>
  <si>
    <t>Revista Signos</t>
  </si>
  <si>
    <t>10.4067/S0718-09342022000200605</t>
  </si>
  <si>
    <t>https://www.scopus.com/inward/record.uri?eid=2-s2.0-85135096466&amp;doi=10.4067%2fS0718-09342022000200605&amp;partnerID=40&amp;md5=127bb1df8058b326e15190a5012e100e</t>
  </si>
  <si>
    <t>Universidad De Extremadura, Spain</t>
  </si>
  <si>
    <t>Montanero, M., Universidad De Extremadura, Spain; Salguero, M., Universidad De Extremadura, Spain; Lucero, M., Universidad De Extremadura, Spain</t>
  </si>
  <si>
    <t>This study focuses on the production of anaphoric devices in history teachers’ oral explanations in comparison with those in textbooks. First, a revision of the anaphora concept and its classification in the specialized literature is made. A synthesis is proposed integrating two criteria: the type of word and inference, associated to 6 types of anaphora. Second, from this classification a system of categories is constructed to compare anaphora production in a sample of 19 history texts. The results reveal a higher frequency of grammatical anaphora (pronominal) in oral discourse and, on the contrary, a greater abundance of non-equivalent conceptual anaphora in written texts. Finally, the implications of these results are discussed in relation to the cohesion of historical explanations in the classroom. © 2022. PUCV, Chile</t>
  </si>
  <si>
    <t>Anaphora; Cohesion; Educational discourse; Historical explanation; Secondary education; Textbook</t>
  </si>
  <si>
    <t>Achugar, M., Schleppegrell, M. J., Beyond connectors: The construction of cause in history textbooks (2005) Linguistic and Education, 16, pp. 298-318; Allen, J., (1995) Natural language understanding, second edition, , Redwood City: Benjamin/Cummings; Apothéloz, D., (1995) Role et fonctionnement de l'anaphore dans la dynamique textuelle, , Ginebra: Librairie Droz; Ariel, M., Referring and accessibility (1988) Journal of Linguistics, 24 (1), pp. 65-87. , Ariel, M. (1990). Acessing noun-phrase antecedents. Nueva York: Routledge; Borreguero, M., Los encapsuladores anafóricos: Una propuesta de clasificación (2018) Caplletra, 64, pp. 179-203; Britt, M. A., Rouet, J.-F., Georgi, M. C., Perfetti, C. A., Learning from history texts: From causal analysis to argument models (1994) Teaching and learning in history, pp. 47-84. , En G. Leinhardt, I. L. Beck &amp; C. Stainton (Eds), Hillsdale, NJ, US: Lawrence Erlbaum; Britton, B. K., Gulgoz, S., Using Kintsch’s computational model to improve instructional text: Effect of repairing inference calls on recalls and cognitive structure (1991) Journal of Educational Psychology, 83, pp. 329-345; Bühler, K., (1950) Teoría del lenguaje, , Madrid: Revista de Occidente; Bustos, A., (2009) La competencia retórica y el aprendizaje de la lengua escrita. ¿Se puede hablar de una competencia específica?, , Tesis doctoral, Universidad de Salamanca, Salamanca, España; Carreiras, M., Alonso, M. A., Compresión de anáforas (1999) Psicolingüística del Español, pp. 205-230. , En M. de Vega &amp; F. Cuetos (Coords), Madrid: Trotta; Coffin, C., Historical discourse: The language of time, cause and evaluation (2006) Journal of Curriculum Studies, 38 (4), pp. 413-429; Conte, M. E., Anaphoric encapsulation (1996) Belgian Journal of Linguistics, 10, pp. 1-11. , Cornish, F. (1986). Anaphoric relations in English and French. A discourse perspective. Londres: Croom Helm; Cornish, F., Garnham, A., Cowles, H. W, Fossard, M., André, V., Indirect anaphora in English and French: A cross-linguistic study of pronoun resolution (2005) Journal of Memory and Language, 52, pp. 363-376; Degand, L., Sanders, T., The impact of relational markers on expository text comprehension in L1 and L2 (2002) Reading and Writing, 15 (7-8), pp. 739-758; Donnellan, K. S., Reference and definite descriptions (1966) Philosophical Review, 75, pp. 565-577; Erkü, F., Gundel, J., The pragmatics of indirect anaphors (1987) The Pragmatic Perspective, pp. 533-545. , En J. Verschueren &amp; M. Bertuccelli-Papi (Eds), Ámsterdam: John Benjamins; Ersan, E., Akman, V., (1994) Focusing for pronoum resolution in english discourse: An implementation, , Bilkent: Bilkent University; Eysenck, M., Keane, M., (1995) Cognitive psychology, , Hove: Taylor &amp; Francis; Ferrández, A., (1998) Aproximación computacional al tratamiento de la anáfora pronominal y de tipo adjetivo mediante gramáticas de unificación de huecos, , Tesis doctoral, Universidad de Alicante, Alicante, España; Ferreira, A. C., (2018) La comprensión lectora: El papel de la competencia retorica, , Tesis doctoral, Universidad de Salamanca, Salamanca, España; García, J. R., Montanero, M., Lucero, M., Cañedo, I., Sánchez, E., Comparing rhetorical devices in history textbooks and teachers’ lessons: Implications for the development of academic language skills (2018) Linguistics and Education, 47, pp. 16-26; García Salido, M., La distinción deíxis/anáfora y su aplicación a las formas de persona del español (2011) Revista de Filología Española, XCI (1), pp. 65-88; Goldman, S. R., Rakestraw, J. A., Structural aspects of constructing meaningfrom text (2000) Handbook of reading research, pp. 311-335. , M. L. Kamil, P. B. Mosenthal, P. D. Pearson &amp; R. Barr (Eds), Hillsdale, NJ: Lawrence Erlbaum; Graesser, A., Singer, M., Trabasso, T., Constructing inferences during narrative text comprehension (1994) Psychological Review, 101, pp. 371-395; Graesser, A., McNamara, D., Louwerse, M., Cai, Z., Coh-Metrix: Analysis of text on cohesion and language (2004) Behavior Research Methods, Instruments &amp; Computers, 36, pp. 193-202; Graesser, A., Jeon, M., Yan, Y., Cai, Z., Discourse cohesion in text and tutorial dialogue (2007) Informational Design Journal, 15, pp. 199-213; Greimas, A. J., Courtés, J., (1990) Semiótica. Diccionario razonado de la teoría del lenguaje, , Madrid: Gredos; Halliday, M., (1994) Introduction to Functional Grammar, , Londres: Arnold; Halliday, M., Hasan, R., Cohesion in English. Nueva York: Longman Group. Hawkins, J. A. (1977). The pragmatics of definiteness, Part I (1976), 47, pp. 1-27. , Linguistiche Berichte; Henríquez, R., Carmona, A., Quinteros, A., Escribir historia desde las evidencias. Géneros históricos y sentido histórico en estudiantes de 8º de Educación Básica (2018) Revista Signos. Estudios de Lingüística, 96 (51), pp. 61-81; Henríquez, R., Fuentes, M., Aportes de la Lingüística a la Educación Histórica (2018) Historia y Memoria, 17, pp. 219-250; Hirst, G., Discourse-oriented anaphora resolution in natural language understanding: A review (1981) Computational Linguistics, 7 (2), pp. 85-98; Hyland, K., Applying a gloss: Exemplifying and reformulating in academic discourse (2007) Applied Linguistics, 28, pp. 266-285; Ibáñez, R., Santana, A., Cornejo, F., La dirección y la distancia en el establecimiento de la coherencia referencial durante el procesamiento de textos académicos escritos en español (2015) Revista de Lingüística Teórica y Aplicada, 53 (2). , http://dx.doi.org/10.4067/S0718-48832015000200007; Kintsch, W., (1998) Comprehension. A paradigm for cognition, , Cambridge: Cambridge University Press; Kleiber, G., (2001) L’anaphore associative, , París: Presses Universitaires de France; Lee, P. J., History teaching and Philosophy of History (1983) History and Theory, 22 (4), pp. 19-49; Lemarié, J., Eyrolle, H., Cellier, J. M., Visual signals in text comprehension: How to restore them when oralizing a text via a speech synthesis? (2006) Computers in human behavior, 22 (6), pp. 1096-1115; Linderholm, T., Everson, M. G., van den Broek, P., Mischinski, M., Crittenden, A., Samuels, J., Effects of causal text revisions on more and less-skilled readers’ comprehension of easy and difficult texts (2000) Cognition and Instruction, 18 (4), pp. 525-556; Llamas, C., Interpretación del discurso ajeno: La anáfora conceptual metafórica en la noticia periodística (2010) Revista de Investigación Lingüística, 13, pp. 107-126; Llinares, A., Morton, T., Historical explanations as situated practice in content and language integrated learning (2010) Classroom Discourse, 1 (1), pp. 46-65; López Samaniego, A., Las etiquetas discursivas: Del mantenimiento a la construcción del referente (2013) Elua, 27, pp. 167-197; Lust, B., Introduction (1986) Studies in acquisition of anaphora, I. , En B. Lust (Ed), Dordrecht: Reidel; Lyons, J., (1980) Semántica, , Barcelona: Teide; Maton, K., Making semantic waves: A key to cumulative knowledge-building (2013) Linguistics and Education, 24 (1), pp. 8-22; Matsui, T., Bridging reference and the notions of topic and focus (1993) Lingua, 90, pp. 49-68; Mederos, H., (1988) Procedimientos de cohesión en el español actual, , Santa Cruz de Tenerife: Excelentísimo Cabildo Insular de Tenerife; Megherbi, H., Ehrlich, M. F., Language impairment in less skilled comprehenders: The on-line processing of anaphoric pronouns in a listening situation (2005) Reading and Writing, 18, pp. 715-753; Montanero, M., Estrategias referenciales. Cómo mejorar la comprensión del hilo conductor en la lectura de textos expositivos (2002) Tarbiya: Revista de Investigación e Innovación Educativa, 30, pp. 31-46; Montanero, M., González, L., Ordenar textos: Una alternativa para evaluar la comprensión lectora en Primaria (2003) Cultura &amp; Educación, 15 (2), pp. 165-178; Montanero, M., Lucero, M., Causal discourse and the teaching of history. How do teachers explain historical causality? (2011) Instructional Science, 39 (2), pp. 109-136; Moss, G., Manjarrés, N., Chamorro, D., Mizuno, J., La metáfora gramatical en los textos escolares de ciencias sociales en español (2013) Onomázein, 28, pp. 88-104; Myskow, G., Surveying the historical landscape: The evaluative voice of history textbooks (2017) Functional Linguistics, 4 (7), pp. 2-15; Oakhill, J., Yuill, N., Pronoun resolution in skilled and less-skilled comprehenders: Effects of memory load and inferential complexity (1986) Language and Speech, 29 (1), pp. 25-37; Olivares, M. A., (2003) Comment ça va Dolly? Les avatars du discours de vulgarisation scientifique, , Berna: INALCO; Oteíza, T., How contemporary history is presented in Chilean middle school textbooks (2003) Discourse &amp; Society, 14 (5), pp. 639-660; Oteíza, T., Pinto, D., (2011) En(re) construcción: Discurso, identidad y nación en los manuales escolares de historia y de ciencias sociales, , (Eds) Santiago de Chile: Cuarto Propio; Oteíza, T., Henríquez, R., Pinuer, C., History classroom interactions and the transmission of the recent memory of Human Rights Violations in Chile (2015) Journal of educational media, memory, and society, 7 (2), pp. 44-67; Poesio, M., Vieira, R., Teufel, S., Resolving bridging references in unrestricted text (1997) Proceedings of ACL/ EACL workshop on Operational factors in practical, robust anaphor resolution, , Edimburgo: Association for Computacional Linguistics; Sanders, T. J. M., Noordman, L. G. M., The role of coherence relations and their linguistic markers in text processing (2000) Discourse Processes, 29, pp. 37-60; Sanders, T. J. M., Pander Maat, H. L. W., Cohesion and coherence: Linguistic approaches (2006) Encyclopedia of language and linguistics, pp. 591-595. , K. Brown (Ed), Londres, UK: Elsevier; Schwarz-Friesel, M., Consten, M., Knees, M., (2007) Anaphors in text: Cognitive, formal and applied approaches to anaphoric reference, , Ámsterdam: John Benjamins; Sinclair, J. M., Written discourse structure (1983) Techniques of Description. Spoken and Written Discourse, pp. 6-31. , En J. M. Sinclair et al. (Eds), Londres: Routledge; Uccelli, P., Barr, C. D., Dobbs, C. L., Galloway, E. P., Meneses, A., Sánchez, E., Core academic language skills (CALS): An expanded operational construct anda novel instrument to chart school-relevant language proficiency in pre and adolescent learners (2015) Applied Psycholinguistics, 36 (5), pp. 1077-1109; Van Dijk, T., Kintsch, W., (1983) Strategies of discourse comprehesion, , Nueva York: Academic Press; Van Drie, J., Van Boxtel, C., Historical reasoning: Towards a framework for analyzing students’ reasoning about the past (2018) Educational Psychology Review, 20 (2), pp. 87-110; Vidal-Abarca, E., Martínez, G., Gilabert, R., Two procedures to improve instructional text: Effects on memory and learning (2000) Journal of Educational Psychology, 96, pp. 107-116; Webber, B., A formal approach to discourse anaphora (1978), Outstanding Dissertations in Linguistics, NY: Garland Publishing; Woods, W. A., (1977) Lunar rocks in natural English: Explorations in natural language question answering, , Nueva York: Elsevier</t>
  </si>
  <si>
    <t>Montanero, M.; Universidad De ExtremaduraSpain; email: mmontane@unex.es</t>
  </si>
  <si>
    <t>Ediciones Universitarias de Valparaiso</t>
  </si>
  <si>
    <t>Rev. Signos</t>
  </si>
  <si>
    <t>2-s2.0-85135096466</t>
  </si>
  <si>
    <t>Marlén S.P., Luri S.P., Milena Z.V.S.</t>
  </si>
  <si>
    <t>57822300600;57822044100;57820761600;</t>
  </si>
  <si>
    <t>Interpretive schemes of the actors in the school. Understandings from the analysis of organizational change [Esquemas interpretativos de los actores en la escuela. Comprensiones desde el análisis del cambio organizacional]</t>
  </si>
  <si>
    <t>Revista de Ciencias Sociales</t>
  </si>
  <si>
    <t>10.31876/rcs.v28i3.38460</t>
  </si>
  <si>
    <t>https://www.scopus.com/inward/record.uri?eid=2-s2.0-85135057096&amp;doi=10.31876%2frcs.v28i3.38460&amp;partnerID=40&amp;md5=014267ca5e33d0bf3edf3864d5ec1dd0</t>
  </si>
  <si>
    <t>Universidad Pedagógica y Tecnológica de Colombia, Colombia; Universidad Santo Tomás, Tunja, Colombia</t>
  </si>
  <si>
    <t>Marlén, S.P., Universidad Pedagógica y Tecnológica de Colombia, Colombia; Luri, S.P., Universidad Santo Tomás, Tunja, Colombia; Milena, Z.V.S., Universidad Pedagógica y Tecnológica de Colombia, Colombia</t>
  </si>
  <si>
    <t>Institutionalized organizations sacrifice the fulfillment of the mission to show compliance with logics and legitimizing prescriptions in their organizational field. This research aims to understand how the interpretive schemes of the subjects in the school environment have changed, as a consequence of the pressures for quality coming from the field of education. Understandings are sought from a critical perspective of traditional organization theories, where simplifying determinisms are overcome. The methodology is qualitative, of a phenomenological nature, using as a method the multiple case study with school organizations of the basic and middle levels of public education in the city of Tunja, Colombia. The techniques used are the semi-structured interview, the focus group, the non-participant observation and the documentary analysis. The results offer empirical evidence that the organizational subjects behave properly to legitimize the school organization, although there is a lack of construction of meaning around the prescriptions of educational policies. It is concluded that the dominant arrangements in the field of education have transformed the reality of the school, promoting the attachment to rationalized myths to the detriment of autonomy to resolve demands of school environments. © Licencia de Creative Commons Atribución 4.0 Internacional (CC BY 4.0) https://creativecommons.org/licenses/by/4.0/deed.es</t>
  </si>
  <si>
    <t>Institutionalized organization; Interpretive schemes; Organizational change.; Quality of education; School</t>
  </si>
  <si>
    <t>Berger, P. L., Luckmann, T., (2003) La construcción social de la realidad, , Amorrortu editors; Borum, F., Means-end frames and the politics and myths of organizational fields (2004) Organization Studies, 25 (6), pp. 897-921. , https://doi.org/10.1177/0170840604042406; Burrell, G., Morgan, G., (2005) Sociological paradigms and organizational analysis: Elements of the sociology of corporate life, , Ashgate Publishing Limited; Cejas, M. F., Rueda, M. J., Cayo, L. E., Villa, L. C., Formación por competencias: Reto de la educación superior (2019) Revista de Ciencias Sociales (Ve), XXV (1), pp. 94-101; Chávez, K. J., Ayasta, L., Kong, I., Gonzales, J. S., Formación de competencias investigativas en los estudiantes de la Universidad Señor de Sipán en Perú (2022) Revista de Ciencias Sociales (Ve), XXVIII (1), pp. 250-260. , https://doi.org/10.31876/rcs.v28i1.37689; Creswell, J. W., (2007) Qualitative inquiry and research design: Choosing among five approaches, , Sage Publications, Inc; Cruz-Suárez, A., Prado-Román, C., Díez-Martín, F., Por qué se institucionalizan las organizaciones (2014) Revista Europea de Dirección y Economía de la Empresa, 23 (1), pp. 22-30. , https://doi.org/10.1016/j.redee.2013.09.003; De la Rosa, A., Teoría de la organización y nuevo institucionalismo en el análisis organizacional (2002) Administración y Organizaciones, 4 (8), pp. 13-44; DiMaggio, P. J., Powell, W. W., II. Retorno a la Jaula de Hierro: El isomorfismo institucional y la racionalidad colectiva en los campos organizacionales (1999) El nuevo institucionalismo en el análisis organizacional, pp. 104-125. , En W. W. Powell y P. J. DiMaggio (Comps), Fondo de Cultura Económica; (2019) Planes de desarrollo nacional, , https://www.dnp.gov.co/DNPN/Plan-Nacional-de-Desarrollo/Paginas/Planes-de-Desarrollo-anteriores.aspx, DNP; Echavarría, C. V., La escuela: Un escenario de formación y socialización para la construcción de identidad moral (2003) Revista Latinoamericana de Ciencias Sociales, Niñez y Juventud, 1 (2), pp. 1-27; Escobar, S., Las relaciones de poder desde la perspectiva juvenil: Continuidades y rupturas con el liceo (2020) Revista de Ciencias Sociales (Ve), XXVI (E-2), pp. 190-205. , https://doi.org/10.31876/rcs.v26i0.34122; Galeano, M. E., (2004) Diseño de proyectos en la investigación cualitativa, , Fondo Editorial Universidad Eafit; Gehman, J., Lounsbury, M., Greenwood, G., How Institutions Matter: From the micro foundations of institutional impacts to the macro consequences of institutional arrangements (2016) How Institutions Matter!: Research in the sociology of organizations, 48A, pp. 1-34. , M. Lounsbury (Ed), Volumen Emerald Group Publishing; Giddens, A., (2011) La constitución de la sociedad: Bases para la teoría de la estructuración, , Amorrortu Editores; Giménez, G., El problema de la generalización en los estudios de caso (2012) Cultura y Representaciones Sociales, 7 (13), pp. 40-62; Greenwood, R., Hinings, C., Undestanding radical organizational change: bringing together the old and the new institutionalism (1996) Academy of Management Review, 21 (4), pp. 1022-1054. , https://doi.org/10.2307/259163; Hernández, I. B., Lay, N., Herrera, H., Rodríguez, M., Estrategias pedagógicas para el aprendizaje y desarrollo de competencias investigativas en estudiantes universitarios (2021) Revista de Ciencias Sociales (Ve), XXVII (2), pp. 242-255. , https://doi.org/10.31876/rcs.v27i2.35911; Herrera, J. M., Las instituciones, su diseño y cambio en las organizaciones (2014) Polis, 10 (2), pp. 13-38; Jepperson, R. L., Refinamiento de la teoría institucional (1999) El nuevo institucionalismo en el análisis organizacional, pp. 193-215. , En W. W. Powell y P. J. DiMaggio (Comps), Fondo de Cultura Económica; Meyer, J., Rowan, B., I. Organizaciones institucionalizadas: La estructura formal como mito y ceremonia (1999) El nuevo institucionalismo en el análisis organizacional, pp. 79-103. , En W.W. Powell y P. J. DiMaggio (Comps), Fondo de Cultura Económica; (2019) Educación de calidad el camino para la prosperidad, , https://www.mineducacion.gov.co/cvn/1665/articles-237397_archivo_pdf; Muñoz, R., Cambio y cultura organizacionales. Una crítica teórica y un estudio de caso (2010) Sociología de la empresa: Del marco histórico a las dinámicas internas, pp. 239-262. , En S. Arcand, R. Muñoz, J. Facal y J-P. Dupuis (Eds), Siglo del Hombre Editores; North, D. C., (1990) Institutions, institutional change and economic performance, , https://doi.org/10.1017/CBO9780511808678, Cambridge University Press; (1996) La educación encierra un tesoro, informe a la UNESCO de la Comisión Internacional sobre la Educación para el siglo XXI (Compendio), , https://unesdoc.unesco.org/ark:/48223/pf0000109590_spa, Santillana Ediciones Unesco; (1979) Decreto 2277 de 1979. Por el cual se adoptan normas sobre el ejercicio de la profesión docente, , https://www.mineducacion.gov.co/1621/articles-103879_archivo_pdf.pdf; (2002) Decreto 1278 de Junio 19 de 2002. Por el cual se expide el Estatuto de Profesionalización Docente, , https://www.mineducacion.gov.co/1621/articles-86102_archivo_pdf.pdf; Selznick, P., Institutionalism “old” and “new” (1996) Administrative Science Quarterly, 41 (2), pp. 270-277. , https://doi.org/10.2307/2393719; Vértiz, M. A., Referentes teóricos para el análisis del cambio organizacional: Las tesis sobre el cambio y la síntesis de los procesos institucionales (2008) Gestión y Estrategia, (33), pp. 13-27. , https://doi.org/10.24275/uam/azc/dcsh/gye/2008n33/Vertiz; Weick, K. E., Las organizaciones educativas como sistemas flojamente acoplados (2009) Gestión y Estrategia, (36), pp. 93-110. , https://doi.org/10.24275/uam/azc/dcsh/gye/2009n36/Weick; Yin, R. K., (2009) Case study research: Design and methods, , Sage; Zucker, L. G., Institutional theories of organization (1987) Annual Reviews Sociology, 13, pp. 443-464</t>
  </si>
  <si>
    <t>Marlén, S.P.; Universidad Pedagógica y Tecnológica de ColombiaColombia; email: marlen.suarez@uptc.edu.co</t>
  </si>
  <si>
    <t>Rev. Cienc. Soc.</t>
  </si>
  <si>
    <t>2-s2.0-85135057096</t>
  </si>
  <si>
    <t>Abreu E., De la cruz R., Juajibioy J.C., Lambert W.</t>
  </si>
  <si>
    <t>8429526600;56437752300;56263625500;12789059800;</t>
  </si>
  <si>
    <t>Journal of Dynamics and Differential Equations</t>
  </si>
  <si>
    <t>https://www.scopus.com/inward/record.uri?eid=2-s2.0-85134693095&amp;doi=10.1007%2fs10884-022-10193-8&amp;partnerID=40&amp;md5=794835408c626f5e37df5821c29bd902</t>
  </si>
  <si>
    <t>Department of Applied Mathematics, University of Campinas, SP, Campinas, Brazil; Escuela de Matemáticas y Estadística, Universidad Pedagógica y Tecnológica de Colombia, Boyacá, Colombia; Address Wanderson ICT, Campus Avançado de Poços de Caldas - UNIFAL, Rodovia José Aurélio Vilela, 11999, Cidade Universitária, Poços de Caldas, Brazil</t>
  </si>
  <si>
    <t>Abreu, E., Department of Applied Mathematics, University of Campinas, SP, Campinas, Brazil; De la cruz, R., Escuela de Matemáticas y Estadística, Universidad Pedagógica y Tecnológica de Colombia, Boyacá, Colombia; Juajibioy, J.C., Escuela de Matemáticas y Estadística, Universidad Pedagógica y Tecnológica de Colombia, Boyacá, Colombia; Lambert, W., Address Wanderson ICT, Campus Avançado de Poços de Caldas - UNIFAL, Rodovia José Aurélio Vilela, 11999, Cidade Universitária, Poços de Caldas, Brazil</t>
  </si>
  <si>
    <t>In this work, we construct and analyze a new fully discrete Lagrangian-Eulerian numerical method for the treatment of dynamics of conservation laws with nonlocal flux and influence of the source term in the solution. The scheme is based on the improved concept of no-flow curves. We use the recent results of S. Blandin &amp;amp; P. Goatin (2016), [Numer. Math. 132, 217-241], to obtain a BV estimate for the new fully discrete (explicit) Lagrangian-Eulerian scheme with a rigorous analysis to prove its convergence for the entropic solution. We also derive a weak CFL-type stability condition that does not require the derivative of the nonlocal flux as is the case for classical schemes. As an application of the proposed approach, we present a combined analytical-numerical study on the interplay between local and nonlocal conservation laws motivated by dynamics of differential equations such as traffic flow and related problems. For a suitable exponential kernel ωη of class C2, we present theoretical and numerical evidence that the limit of solutions to the nonlocal equation coincides with the unique entropy-admissible solution of the scalar conservation law ρt+(ρmv(q))x=0. It should be emphasized that hypotheses on the solution were verified numerically only. In this regard, the flux function f(ρ) = ρmv(q) satisfies q(x,t)=∫xx+ηωη(x-y)ρ(y,t)dy, for an integer 1 ≤ m, where ωη is unitary (integral equals to 1) and non-increasing kernel such that ωη(s)=1(1-e-1/η2)η2e-s/η2 for every s∈ R. It turns out that we also use recent results of A. Bressan &amp;amp; W. Shen (2020), [Arch. Rational Mech. Anal., 237, 1213-1236] and A. Bressan &amp;amp; W. Shen (2021), [Communications in Mathematical Sciences 19(5) 1447 - 1450], as foundations of the Lagrangian-Eulerian approach for nonlocal conservation laws. © 2022, The Author(s), under exclusive licence to Springer Science+Business Media, LLC, part of Springer Nature.</t>
  </si>
  <si>
    <t>Applications; Kruzhkov entropy solution; Lagrangian-Eulerian approach; No-flow curves; Nonlocal conservation laws</t>
  </si>
  <si>
    <t>Fundação de Amparo à Pesquisa do Estado de São Paulo, FAPESP</t>
  </si>
  <si>
    <t>Abreu, E., Matos, V., Pérez, J., Rodríguez-Bermúdez, P., A Class of Lagrangian-Eulerian Shock-Capturing Schemes for First-Order Hyperbolic Problems with Forcing Terms (2021) J. Sci. Comput., 86, p. 14; Abreu, E., Díaz, C., Galvis, J., Pérez, J., On the Conservation Properties in Multiple Scale Coupling and Simulation for Darcy Flow with Hyperbolic-Transport in Complex Flows (2020) Multiscale Modeling &amp; Simul., 18 (4), pp. 1375-1408; Abreu, E., Pérez, J., A fast, robust and simple Lagrangian-Eulerian solver for balance laws and applications (2019) Comput. Math. Appl., 77 (9), pp. 2310-2336; Abreu, E., Lambert, W., Pérez, J., Santo, A., A new finite volume approach for transport models and related applications with balancing source terms (2017) Math. Comput. Simul., 137, pp. 2-28; Abreu, E., Lambert, W., Pérez, J., Santo, A., (2018) Theory, Numerics, Applications, pp. 223-230. , (Eds. Alberto Bressan, Marta Lewicka, Dehua Wang, Yuxi Zheng), on June 25–29; Abreu, E., François, J., Lambert, W., Pérez, J., A Class of Positive Semi-discrete Lagrangian-Eulerian Schemes for Multidimensional Systems of Hyperbolic Conservation Laws (2022) J. Sci. Comput., 90, p. 40; Abreu, E., François, J., Lambert, W., Pérez, J., A semi-discrete Lagrangian-Eulerian scheme for hyperbolic-transport models (2022) J. Comput. Appl. Math., 406; Abreu, E., Colombeau, M., Panov, E.Y., Weak asymptotic methods for scalar equations and systems (2016) J. Math. Anal. Appl., 444, pp. 1203-1232; Abreu, E., Colombeau, M., Panov, E.Y., Approximation of entropy solutions to degenerate nonlinear parabolic equations (2017) Z. Angew. Math. Phys., 68, p. 133; Abreu, E., Ferreira, L.C.F., Delgado, J.G.G., Pérez, J., On a 1D model with nonlocal interactions and mass concentrations: an analytical-numerical approach (2022) Nonlinearity, 35, pp. 1734-1772; Aquino, J., Francisco, A.S., Pereira, F., Jordem Pereira, T., Amaral Souto, H.P., A Lagrangian strategy for the numerical simulation of radionuclide transport problems (2010) Prog. Nucl. Energy, 52, pp. 282-291; Aggarwal, A., Colombo, R., Goatin, P., Nonlocal systems of conservation laws in several space dimensions (2015) SIAM J. Numer. Anal., 53 (2), pp. 963-983; Amadori, D., Shen, W., An integro-differential conservation law arising in a model of granular flow (2012) J. Hyperbol. Differ. Equ., 9 (1), pp. 105-131; Amorim, P., Colombo, R.M., Teixeira, A., A numerical approach to scalar nonlocal conservation laws (2015) ESAIM Math. Model. Numer. Anal., 49 (1), pp. 19-37; Betancourt, F., Bürger, R., Karlsen, K.H., Tory, E.M., On nonlocal conservation laws modelling sedimentation (2011) Nonlinearity, 24 (3), pp. 855-885; Blandin, S., Goatin, P., Well-posedness of a conservation law with non-local flux arising in traffic flow modeling (2016) Numer. Math., 132, pp. 217-241; Bressan, A., (2000) Hyperbolic Systems of Conservation Laws, Oxford Lecture Series in Mathematics and Its Applications, 20. , Oxford; Bressan, A., Shen, W., On traffic flow with nolocal flux: a relaxation representation (2020) Arch. Ration. Mech. Anal., 237, pp. 1213-1236; Bressan, A., Shen, W., Entropy admissibility of the limit solution for a nonlocal model of traffic flow (2021) Commun. Math. Sci., 19 (5), pp. 1447-1450; Chalons, C., Goatin, P., Villada, L.M., High-order numerical schemes for one-dimensional nonlocal conservation laws (2018) SIAM J. Sci. Comput., 40 (1), pp. A288-A305; Chiarello, F.A., Goatin, P., Rossi, E., Stability estimates for non-local scalar conservation laws (2019) Nonlinear Anal. Real World Appl., 45, pp. 668-687; Chiarello, F.A., Goatin, P., Villada, L.M., Lagrangian-antidiffusive remap schemes for non-local multi-class traffic flow models (2020) Comput. Appl. Math., 39 (2), pp. 1-22; Coclite, G.M., Coron, J.-M., de Nitti, N., Keimer, A., Pflug, L., (2022) A General Result on The Approximation of Local Conservation Laws by Nonlocal Conservation Laws: The Singular Limit Problem for Exponential Kernels, , Arxiv preprint arXiv, Access date July; Colombo, M., Crippa, G., Spinolo, L.V., On the singular local limit for conservation laws with nonlocal fluxes (2019) Arch. Ration. Mech. Anal., 233, pp. 1131-1167; Colombo, R.M., Garavello, M., Lécureux-Mercier, M., A class of nonlocal models for pedestrian traffic (2012) Math. Models Methods Appl. Sci., 22 (4), p. 1150023. , 34; Colombo, R.M., Herty, M., Mercier, M., Control of the continuity equation with a non local flow (2011) ESAIM: Control Optim. Calc. Var., 17 (2), pp. 353-379; Colombo, R.M., Lécureux-Mercier, M., Nonlocal Crowd Dynamics Models for Several Populations (2012) Acta Math. Sci. Ser. B Engl. Ed., 32 (1), pp. 177-196; Crippa, G., Lécureux-Mercier, M., Existence and uniqueness of measure solutions for a system of continuity equations with non-local flow (2013) NoDEA Nonlinear Differ. Equ. Appl., 20 (3), pp. 523-537; Evans, L.C., (2010) Partial differential equations, 19. , American Mathematical Soc, Providence, Rhode Island; François, J.R., (2021) A Multidimensional Semi-Discrete Lagrangian-Eulerian Scheme for Scalar and Systems of Hyperbolic Conservation Laws with a Positivity Principle, , Thesis, University of Campinas (Unicamp) - Institute of Mathematics, Statistics and Scientific Computing (IMECC), Brazil; De Lellis, C., Otto, F., Westdickenberg, M., Minimal entropy for Burgers equation (2004) Quart. Appl. Math., 62, pp. 687-700; Douglas, J., Jr., Pereira, F., Yeh, L.M., A locally conservative Eulerian-Lagrangian numerical method and its application to nonlinear transport in porous media (2000) Comput. Geosci., 4 (1), pp. 1-40; Douglas, J., Pereira, F., Yeh, L.M., A Locally Conservative Eulerian-Lagrangian Method for Flow in a Porous Medium of a Mixture of Two Components Having Different Densities (2000) Numerical Treatment of Multiphase Flows in Porous Media. Lecture Notes in Physics, 552. , Chen Z, Ewing RE, Shi ZC, (eds), Springer, Berlin, Heidelberg; Douglas, J., Jr., Huang, C.-S., A Locally Conservative Eulerian-Lagrangian Finite Difference Method for a Parabolic Equation BIT Numerical Mathematics (2001) BIT Numer. Math., 41 (3), pp. 480-489; Friedrich, J., Kolb, O., Göttlich, S., A Godunov type scheme for a class of lwr traffic flow models with non-local flux (2018) Netw. Heterog. Media, 13, p. 531; Harten, A., High Resolution Schemes for Hyperbolic Conservation Laws (1983) J. Comput. Phys., 49, pp. 357-393; Huang, C.-S., Arbogast, T., Hung, C.-H., A semi-Lagrangian finite difference WENO scheme for scalar nonlinear conservation laws (2016) J. Comput. Phys., 322, pp. 559-585; Lighthill, M.J., Whitham, G.B., On kinematic waves. II. A theory of traffic flow on long crowded roads (1955) Proc. Roy. Soc. London. Ser. A., 229, pp. 317-345; Keimer, A., Pflug, L., Existence, uniqueness and regularity results on nonlocal balance laws (2017) J. Differ. Equ., 263 (7), pp. 4023-4069; Keimer, A., Pflug, L., On approximation of local conservation laws by nonlocal conservation laws (2019) J. Math. Anal. Appl., 475 (2), pp. 1927-1955; Keimer, A., Pflug, L., Spinola, M., Existence, uniqueness and regularity of multi-dimensional nonlocal balance laws with damping (2018) J. Math. Anal. Appl., 466 (1), pp. 18-55; Keimer, A., Pflug, L., Spinola, M., Nonlocal scalar conservation laws on bounded domains and applications in traffic flow (2018) SIAM J. Math. Anal., 50 (6), pp. 6271-6306; Liu, X.-D., Lax, P., Positive schemes for solving multi-dimensional hyperbolic systems of conservation laws (1996) J. Comput. Fluid Dyn., 5 (2), pp. 133-156; Liu, X.-D., Lax, P., Positivie schemes for solving multi-dimensional hyperbolic systems of conservation laws II (2003) J. Comput. Phys., 187, pp. 428-440; Neuman, S.P., Tartakovsky, D.M., Perspective on theories of non-Fickian transport in heterogeneous media (2009) Adv. Water Resour., 32 (5), pp. 670-680; Panov, E.Y., Uniqueness of the solution of the Cauchy problem for first order quasilinear equation with one admissible strictly convex entropy (Russian) Mat. Zametki 55, 116–129 (1994). translation in (1994) Math. Notes, 55, pp. 517-525; Perez, J., Lagrangian-Eulerian approximation methods for balance laws and hyperbolic conservation laws (2015) Ph.D. Thesis, , Institute of Mathematics, Statistics and Scientific Computing (IMECC), Brazil; Piccoli, B., Tosin, A., Time-evolving measures and macroscopic modeling of pedestrian flow (2011) Arch. Ration. Mech. Anal., 199, pp. 707-738; Piccoli, B., Rossi, F., Transport equation with nonlocal velocity in Wasserstein spaces: Convergence of numerical schemes (2013) Acta Appl. Math., 124 (1), pp. 73-105; Pflug, L., (2018) One-Dimensional Nonlocal Balance Laws - Modeling and Simulation, , Ph.D. Thesis, Germany; Richards, P.I., Shock waves on the highway (1956) Oper. Res., 4, pp. 42-51; Santo, A.M.E., Conservative numerical formulations for approximating hyperbolic models with source terms and related transport models (2017) Ph.D. Thesis, , Institute of Mathematics, Statistics and Scientific Computing (IMECC), Brazil; Silvestre, L., Vicol, V., On a transport equation with nonlocal drift (2016) Trans. Am. Math. Soc., 368 (9), pp. 6159-6188</t>
  </si>
  <si>
    <t>Abreu, E.; Department of Applied Mathematics, SP, Brazil; email: eabreu@ime.unicamp.br</t>
  </si>
  <si>
    <t>2-s2.0-85134693095</t>
  </si>
  <si>
    <t>Gasca-Álvarez H.J., Costa-Neto E.M.</t>
  </si>
  <si>
    <t>35799469000;6603412752;</t>
  </si>
  <si>
    <t>Journal of Insects as Food and Feed</t>
  </si>
  <si>
    <t>https://www.scopus.com/inward/record.uri?eid=2-s2.0-85134421777&amp;doi=10.3920%2fJIFF2021.0148&amp;partnerID=40&amp;md5=7fa44f2a5384ce3e75763e8f17296c85</t>
  </si>
  <si>
    <t>Instituto Amazónico de Investigaciones Científicas SINCHI, Sede de Enlace,Calle 20 no. 5-44, Bogotá, Colombia; Programa de Biología, Universidad Pedagógica y Tecnológica de Colombia, Avenida Central del Norte 39-115,Sede Central – Tunja, Boyacá, Colombia; Programa de Investigación, Corporación Sentido Natural, Bogotá, Colombia; Feira de Santana State University, Department of Biology, Laboratory of Ethnobiology, Av. Transnordestina, Bahia, s/n Novo Horizonte,CEP 44036-900, Feira de Santana, Brazil</t>
  </si>
  <si>
    <t>Gasca-Álvarez, H.J., Instituto Amazónico de Investigaciones Científicas SINCHI, Sede de Enlace,Calle 20 no. 5-44, Bogotá, Colombia, Programa de Biología, Universidad Pedagógica y Tecnológica de Colombia, Avenida Central del Norte 39-115,Sede Central – Tunja, Boyacá, Colombia, Programa de Investigación, Corporación Sentido Natural, Bogotá, Colombia; Costa-Neto, E.M., Feira de Santana State University, Department of Biology, Laboratory of Ethnobiology, Av. Transnordestina, Bahia, s/n Novo Horizonte,CEP 44036-900, Feira de Santana, Brazil</t>
  </si>
  <si>
    <t>Insects have been used worldwide as a source of food, and edible species are eaten both as immature (eggs, larvae, pupae, and nymphs) and in some cases as adults. In this regard, several scholars and researchers seek to promote an alternative entomological trend and highlight the potential of insects as a high-quality nutritional option. The consumption of various edible species contributes to the nutritional health of indigenous, rural peoples, as well as those individuals who live in urban areas and use this kind of food resource, in accordance with insects’ seasonal abundance. Colombia, due to its sociocultural origin, stands out as one of the Latin American countries that have the habit of consuming insects by presenting both biological and ethnic diversity. However, the use and diversity of edible insects in the country have been little studied. This review summarises the current status related to the knowledge of insects as food resources, with emphasis on ethnic groups established in the country. In Colombia, 69 edible insect species are currently reported, distributed in 49 genera, 27 families and 10 orders, and ingested by approximately 13 ethnic groups belonging principally to the Amazon and Caribbean regions. Guidelines and protocols are provided to establish research priorities in the study and use of edible insects in Colombia. In this way, the proposal of a general framework for the study and conservation of edible insect species, integrating a bioecological, socio-economic and institutional approach, will provide new perspectives for food security in this era of world food scarcity, and can play an interdisciplinary role (forestry, traditional medicine, agriculture, livestock) in mitigating the current global food crisis. © 2021. Wageningen Academic Publishers</t>
  </si>
  <si>
    <t>Entomophagy; Ethnic groups; Ethnoentomology; Indigenous people; Traditional knowledge</t>
  </si>
  <si>
    <t>Entomology and Nematology Department, Institute of Food and Agricultural Sciences; Universidad Nacional de Colombia, UNAL; Kementerian Sains, Teknologi dan Inovasi, MOSTI; Universidad Nacional Autónoma de México, UNAM</t>
  </si>
  <si>
    <t>We thank Jose Manuel Pino Moreno (Instituto de Biología, Universidad Nacional Autónoma de México) and Fernándo Fernández (Instituto de Ciencias Naturales, Universidad Nacional de Colombia) for providing important literature, and Professor Emeritus Howard Frank (Entomology and Nematology Department, University of Florida) for reviewing the English of the manuscript. This research is part of the project ‘Diversity of insects as a food source for the indigenous communities of the Amazonian East’, developed by Instituto Amazónico de Investigaciones Científicas SINCHI, and supported by the Postdoctoral Internship Program of the Ministry of Science, Technology and Innovation – MINCIENCIAS (Number 848 of 2019). We also thank three anonymous reviewers for their comments and suggestions that helped us to improve the manuscript.</t>
  </si>
  <si>
    <t>Amat-García, G., Gasca, H.J., Amat-García, E., (2005) Guía para la cría de escarabajos, p. 80. , Fundación Natura Universidad Nacional de Colombia, Bogotá, Colombia; Arango, N., Chaves, M.E., Feinsinger, M., (2002) Guía metodológica para la enseñanza de Ecología en el patio de la escuela (EEPE), p. 92. , National Audubon Society, New York, NY, USA; Arango-Gutiérrez, G.P., Breve reseña histórica de la entomofagía en Colombia (2011) Antropoentomofagia: Insetos na alimentação humana, pp. 171-199. , Costa-Neto, E.M. (ed). UEFS Editora, Feria de Santana, Brasil; Arango-Gutiérrez, G.P., Vergara-Ruiz, R.A., Mejía-Vélez, H., Compositional, microbiological and protein digestibility analysis of the larva meal of Hermetia illuscens L. (Diptera: Stratiomyiidae) at Angelópolis-Antioquia, Colombia (2004) Revista de la Facultad Nacional de Agronomía, 57, pp. 2491-2500; Banjo, A.D., Lawal, O.A., Songonuga, E.A., The nutritional value of fourteen species of edible insects in Southwestern Nigeria (2006) African Journal of Biotechnology, 5 (3), pp. 298-301; Becerra, M.T., (2003) Lineamientos para el manejo sostenible de sistema de aprovechamiento comercial de recursos naturales in situ, p. 186. , Instituto de Investigación de Recursos Biológicos Alexander von Humboldt, Bogotá, Colombia; Beltrán-Rangel, J.S., (2019) Caracterización nutricional de las especies de hormiga culona (Atta laevigata) el gusano mojojoy (Ancognatha scarabaeoides) y la de grillo común (Acheta domestica), en el departamento de Santander, para su implementación en preparaciones gastronómicas, , https://repository.unab.edu.co/handle/20.500.12749/11816, BSc-thesis, Facultad Ciencias Sociales, Humanidades y Artes, Universidad Autónoma de Bucaramanga, Santander, Colombia; Bermúdez-Serrano, I.M., Challenges and opportunities for the development of an edible insect food industry in Latin America (2020) Journal of Insects as Food and Feed, 6 (5), pp. 537-556; Bernard, T., Womeni, H.M., Entomophagy: insects as food (2017) Insect physiology and ecology, pp. 233-253. , Shields, (ed) IntechOpen, London, UK; Blake, E.A., Wagner, M.R., Collection and consumption of pandora moth, Coloradia pandora lindseyi (Lepidoptera: Saturniidae), larvae by Owens Valley and Mono Lake Paiutes (1987) Bulletin of the Entomological Society of America, 33, pp. 23-27; Bukkens, S.G.F., The nutritional value of edible insects (1997) Ecology Food and Nutrition, 36, pp. 287-319; Cabrera, G., Nates-Parra, G., Uso de las abejas por comunidades indígenas: Los Nukak y las abejas sin aguijón (1999) Encuentro IUSSI Bolivariana (3, 1999, Bogotá), pp. 59-70. , Memorias. Universidad Nacional de Colombia y Fondo FEN, Bogotá, Colombia; Castro, E., Território, Biodiversidade e saberes de populações tradicionais (2000) Etnoconservação: novos rumos para a proteção da natureza nos trópicos, pp. 165-182. , Diegues, A.C. (ed) Hucitec, São Paulo, Brazil; Cerda, H., Martínez, R., Briceño, N., Pizzoferrato, L., Hermoso, D., Paoletti, M., Cría, análisis nutricional y sensorial del picudo del cocotero Rhynchophorus palmarum (Coleoptera: Curculionidae), insecto de la dieta tradicional indígena amazónica (1999) Ecotrópicos, 12 (1), pp. 25-32; Costa-Neto, E.M., (2002) Manual de etnoentomología, p. 104. , Manuales y Tesis SEA. Sociedad Entomológica Aragonesa, Zaragoza, España; Costa-Neto, E.M., Insetos como fontes de alimentos para o homem: valoração de recursos considerados repugnantes (2003) Interciencia, 28 (3), pp. 136-140; Costa-Neto, E.M., Anthropo-entomophagy in Latin America: an overview of the importance of edible insects to local communities (2015) Journal of Insects as Food and Feed, 1 (1), pp. 17-23; Costa-Neto, E.M., Santos-Fita, F., Serrano-González, R., La investigación etnoentomológica y la conservación de la biodiversidad (2012) Boletín de la Sociedad Entomológica Aragonesa, 51, pp. 367-369; Cristancho-Sánchez, S.V., Barragán-Fonseca, K.B., Análisis del sistema de aprovechamiento del gusano mojojoy (Rynchophorus palmarum) (Coleoptera: Curculionidae) en el municipio de Leticia-Amazon, Colombia (2011) Etnozoología: un enfoque binacional México-Colombia, pp. 131-199. , Monroy-Martínez, R., García-Flores, A., Pino-Moreno, J.M. and Monroy-Ortiz, R. (eds). Universidad Autónoma del Estado de Morelos, Centro de Investigaciones Biológicas, Cuernavaca, México; Daniels, R.J.R., Vencatesan, J., Traditional ecological knowledge and sustainable use of natural resources (1995) Current Science, 69, pp. 569-570; DeFoliart, G.R., (2002) The human use of insects as a food resource: a bibliographic account in progress, , University of Wisconsin, Madison, WI, USA; (2019) Información de los Grupos Étnicos, Censo 2018, , https://www.dane.gov.co/index.php/estadisticas-por-tema/demografia-y-poblacion/grupos-etnicos/informacion-te, DANE, Colombia; Dossey, A., Morales-Ramos, J., Guadalupe, R., (2016) Insects as sustainable food ingredients: production, processing and food applications, p. 402. , 1st edition, Academic Press, Cambridge, MA, USA; Dufour, D.L., Insects as food: a case study from Northern Amazon (1987) American Anthropologist, 89, pp. 383-397; Fairhead, J., Leach, M., Termites, society and ecology: perspectives from West Africa (1999) Cultural and spiritual values of biodiversity, pp. 235-242. , Posey, D.A. (ed) United Nations Environment Programme, London, United Kingdom; Falchetti, A.M., La ofrenda y la semilla: notas sobre el simbolismo del oro entre los Uwa (1997) Boletín Museo Del Oro, 43, pp. 3-37; Gahukar, R.T., Entomophagy and human food security (2011) International Journal of Tropical Insect Science, 31 (3), pp. 129-144; Gasca-Álvarez, H.J., El significado de los escarabajos (Coleoptera: Scarabaeoidea) en una comunidad Uitoto de Leticia, Amazon (Colombia): una exploración preliminar a su conocimiento etnoentomológico (2005) Boletín de la Sociedad Entomológica Aragonesa, 36, pp. 309-315; Gómez, B., Castro, A., Junghans, C., Montoya, L.R., Villalobos, F.J., Ethnoecology of white grubs (Coleoptera: Melolonthidae) among the Tzeltal Maya of Chiapas (2000) Journal of Ethnobiology, 20, pp. 43-59; Gómez, R., Evaluación de la factibilidad de la cría de mariposas y coleópteros como alternativa de aprovechamiento sostenible para la regeneración del bosque en territorios dedicados a la siembra de cultivos ilícitos y como fuente de ingresos económicos a comunidades de campesinos e indígenas de la Amazonía Colombiana (2003), https://www.entomologia.net/charla9.htm, Segunda reunión Entomológica 2003; Granados, C., Acevedo, D., Guzmán, L.E., Tostado y harina de la hormiga Atta laevigata (2013) Biotecnología en el Sector Agropecuario y Agroindustria, 11, pp. 68-74; Guiné, R.P.F., Correia, P., Coelho, C., Costa, C.A., The role of edible insects to mitigate challenges for sustainability (2021) Open Agriculture, 6, pp. 24-36; Guzmán-Mendoza, R., Calzontzi-Marín, J., Salas-Araiza, M.D., Martínez-Yáñez, R., La riqueza biológica de los insectos: análisis de su importancia multidimensional (2016) Acta Zoológica Mexicana, 32 (3), pp. 370-379; Halloran, A., Flore, R., Vantomme, P., Roos, N., (2018) Edible insects in sustainable food systems, p. 468. , Springer, Cham, Switzerland; Jara, F., La miel y el aguijón, taxonomía zoológica y etnobiología como elementos en la definición de las nociones de género entre los Andoke (Amazonía Colombiana) (1996) Journal de la Societé des Americanistes, 82, pp. 209-258; Johnson, D.V., The contribution of edible forest insects to human nutrition and to forest management: current status and future potential (2010) Forest insects as food: humans bite back. Proceedings of a workshop on Asia-Pacific resources and their potential for development, , http://www.fao.org/docrep/012/i1380e/i1380e00.pdf, Durst, D.B., Johnson, D.V., Leslie, R.N. and Shono, K. (eds) 19-21 February 2008, Chiang Mai, Thailand; Jongema, Y., (2017) List of edible insects of the world, , http://tinyurl.com/mestm6p, Wageningen University &amp; Research, Wageningen, the Netherlands; Kim, T.K., Yong, H.I., Kim, Y.B., Kim, H.W., Choi, Y.S., Edible insects as a protein source: a review of public perception, processing technology, and research trends (2019) Food Science of Animal Resources, 39, pp. 521-540; Mariod, A.A., (2020) African edible insects as alternative source of food, oil, protein and bioactive components, p. 310. , Springer, Cham, Switzerland; Mitsuhashi, J., (2017) Edible insects of the world, p. 221. , CRC Press, Boca Raton, FL, USA; Molina, J., Si fueran de comer no serían tantos (2015) Hipótesis, 18, pp. 31-41; Mozhui, L., Kakati, L.N., Changkija, S., A study on the use of insects as food in seven tribal communities in Nagaland, Northeast India (2017) Journal of Human Ecology, 60 (1), pp. 42-54; Osorno Muñoz, M., Atuesta Dimian, N., Jaramillo Hurtado, L.F., Sua Tunjano, S., Barona Colmenares, A., Roncancio Duque, N., (2014) La despensa de Tiquié. Diagnóstico y manejo comunitario de la fauna de consumo en la Guayana Colombiana, p. 140. , Instituto Amazónico de Investigaciones Científicas Sinchi. Ministerio de Ambiente y Desarrollo Sostenible, Bogotá, Colombia; Pal, P., Roy, S., Edible insects: future of human food – a review (2014) International Letters of Natural Sciences, 26, pp. 1-11; Pardo de Santana, M., Macía, M.J., Biodiversity: the benefits of traditional knowledge (2015) Nature, 518 (7540), pp. 487-488; Pino-Moreno, J.M., Ganguly, A., Determination of fatty acid content in some edible insects of Mexico (2016) Journal of Insects as Food and Feed, 2 (1), pp. 37-42; Ponce-Reyes, R., Lessard, B.D., (2021) Edible insects – a roadmap for the strategic growth of an emerging Australian industry, p. 57. , CSIRO, Canberra, Australia; Ramírez-Gutiérrez, N.F., (2009) Plan de negocios para la creación de una empresa productora y distribuidora de productos broast en insectos aptos para el consumo humano, , https://repository.javeriana.edu.co/handle/10554/9236, BSc-thesis, Facultad de Ciencias Económicas y Administrativas, Pontificia Universidad Javeriana, Bogotá, Colombia; Ramos-Elorduy, J., Pino-Moreno, J.M., El consumo de insectos entre los Aztecas (1996) Conquista y comida. Consecuencias del encuentro de dos mundos, pp. 89-101. , Long, J (ed) Universidad Nacional Autónomo de México, México; Ramos-Elorduy, J., Insects: a hopeful food source (2005) Ecological implications of minilivestock; role of rodents, frogs, snails, and insects for sustainable development, pp. 263-291. , Paoletti, M.G. (ed) Science Publishers, Enfield, NH, USA; Ramos-Elorduy, J., Anthropo-entomophagy: cultures, evolution and sustainability (2009) Entomological Research, 39, pp. 271-288; Reyes-Mora, A., Insectos utilizados como alimento y su relación con la mitología en la comunidad Murui de San José del Encanto, Amazon, Colombia (2011) Antropoentomofagia: insetos na alimentação humana, , Costa-Neto, E.M. (ed) UEFS Editora, Feria de Santana, Brasil; Reyes-Prado, H., Pino-Moreno, J.M., Insects used as foodstuff by indigenous groups in Morelos, Mexico (2020) Journal of Insects as Food and Feed, 6 (5), pp. 499-505; Rivas-Abadia, X., Pazos, S.C., Castillo-Castillo, S.K., Pachón, H., Alimentos autóctonos de las comunidades indígenas y afrodescendientes de Colombia (2010) Archivos Latinoamericanos de Nutrición, 60 (3), pp. 211-219; Ruddle, K., The human use of insects: examples from the Yukpa (1973) Biotrópica, 5 (2), pp. 94-101; Schardong, I.S., Freiberg, J.A., Santana, N., Pereira dos Santos, A., Richards, N.S., Brazilian consumers’ perception of edible insects (2019) Ciência Rural, 49 (10), p. e20180960; Scudder, G.H., The importance of insects (2009) Insect biodiversity: science and society, pp. 7-32. , Foottit, R. and Adler, P.H. (eds). Wiley-Blackwell, Chichester, UK; Selaledi, L., Hassan, Z., Manyelo, T.G., Mabelebele, M., Insects’ production, consumption, policy, and sustainability: what have we learned from the indigenous knowledge systems? (2021) Insects, 12 (5), p. 432; Seni, A., Edible insects: future prospects for dietary regimen (2017) International Journal of Current Microbiology and Applied Sciences, 6 (8), pp. 1302-1314; Sogari, G., Mora, C., Menozzi, D., (2019) Edible insects in the food sector methods, current applications and perspectives, p. 128. , Springer, Cham, Switzerland; Somnasong, P., Moreno, G., Chusil, K., Indigenous knowledge of wild food hunting and gathering in North-East Thailand (1998) Food Nutrition Bulletin, 19, pp. 359-365; Sotomayor, H.A., Mahecha-Rubio, D., Franky-Calvo, C.E., Cabrera-Becerra, G., Trorres-Legízamo, M.L., La nutrición de los Nukak una sociedad amazónica en proceso de contacto (1998) Maguare, 13, pp. 117-142; Tobolkova, B., Edible insects-the future of a healthy diet? (2019) Novel Techniques in Nutrition and Food Science, 4 (2), pp. 326-328; Valderrama, R., Artropodósis en Colombia. Una visión histórica. Primera parte (1998), p. 51. , Memorias XXV Congreso Sociedad Colombiana de Entomologia SOCOLEN. Cali, Colombia; Valderrama, R., Artropodósis en Colombia. Una visión histórica (1999), p. 65. , Segunda parte. Memorias XXVI Congreso Sociedad Colombiana de Entomologia SOCOLEN. Bogotá, Colombia; Van Huis, A., Van Itterbeeck, J., Klunder, H., Mertens, E., Halloran, A., Muir, G., Vantomme, P., (2013) Edible insects: future prospects for food and feed security, p. 187. , http://www.fao.org/docrep/018/i3253e/i3253e.pdf, FAO Forestry Paper no. 171. FAO, Rome, Italy; Wilson, E.O., (1999) The diversity of life, p. 440. , W.W. Norton &amp; Company, Inc., New York, NY, USA; Xiaoming, C., Ying, F., Hong, Z., Review of the nutrition value of edible insects (2010) Forest insects as food: humans bite back. Proceedings of a workshop on Asia-Pacific resources and their potential for development, pp. 85-92. , http://www.fao.org/docrep/012/i1380e/i1380e00.pdf, Durst, D.B., Johnson, D.V., Leslie, R.N. and Shono, K. (eds) 19-21 February 2008, Chiang Mai, Thailand; Yen, A.L., Edible insects and other invertebrates in Australia: future prospects (2010) Forest insects as food: humans bite back. Proceedings of a workshop on Asia-Pacific resources and their potential for development, pp. 65-83. , http://www.fao.org/docrep/012/i1380e/i1380e00.pdf, Durst, D.B., Johnson, D.V., Leslie, R. N. and Shono, K. (eds). 19-21 February 2008, Chiang Mai, Thailand; Yen, A.L., Insects as food and feed in the Asia Pacific region: current perspectives and future directions (2015) Journal of Insects as Food and Feed, 2 (1), pp. 33-55</t>
  </si>
  <si>
    <t>Gasca-Álvarez, H.J.; Instituto Amazónico de Investigaciones Científicas SINCHI, Sede de Enlace,Calle 20 no. 5-44, Colombia; email: scarab7@gmail.com</t>
  </si>
  <si>
    <t>Wageningen Academic Publishers</t>
  </si>
  <si>
    <t>2-s2.0-85134421777</t>
  </si>
  <si>
    <t>Castañeda C., Martínez J.J., Mesa A.</t>
  </si>
  <si>
    <t>55319381400;7404312604;57809256800;</t>
  </si>
  <si>
    <t>Esterification of levulinic acid via catalytic and photocatalytic processes using fluorinated titanium dioxide materials [Esterificación de ácido levulínico mediante procesos catalíticos y fotocatalíticos empleando dióxido de titanio fluorado]</t>
  </si>
  <si>
    <t>Revista Facultad de Ingenieria</t>
  </si>
  <si>
    <t>https://www.scopus.com/inward/record.uri?eid=2-s2.0-85134370618&amp;doi=10.17533%2fudea.redin.20210531&amp;partnerID=40&amp;md5=2f73bd903daff0853975079991a293eb</t>
  </si>
  <si>
    <t>Escuela de Ciencias Química, Universidad Pedagógica y Tecnológica de Colombia, Sede Central Tunja, Boyacá, Avenida Central del Norte 39-115,A. A. 1094, Boyacá, Colombia</t>
  </si>
  <si>
    <t>Castañeda, C., Escuela de Ciencias Química, Universidad Pedagógica y Tecnológica de Colombia, Sede Central Tunja, Boyacá, Avenida Central del Norte 39-115,A. A. 1094, Boyacá, Colombia; Martínez, J.J., Escuela de Ciencias Química, Universidad Pedagógica y Tecnológica de Colombia, Sede Central Tunja, Boyacá, Avenida Central del Norte 39-115,A. A. 1094, Boyacá, Colombia; Mesa, A., Escuela de Ciencias Química, Universidad Pedagógica y Tecnológica de Colombia, Sede Central Tunja, Boyacá, Avenida Central del Norte 39-115,A. A. 1094, Boyacá, Colombia</t>
  </si>
  <si>
    <t>This study evaluated the synthesis, characterization, and activity of fluorinated titanium dioxide materials (TiO2 − F1% and TiO2 − F5%) in-situ modified by the sol-gel method in the esterification reaction of levulinic acid conducted by catalytic and photocatalytic processes. The physicochemical properties of the materials were determined by X-ray diffraction, UV–Vis diffuse reflectance spectroscopy, thermal analysis, and pyridine adsorption. It was found that the inclusion of fluoride anion causes a decrease in the levulinic acid conversion by photocatalytic reaction; however, in the catalytic activation, a slight increase in the conversion using the fluoride materials was observed. Finally, the reaction in the presence of halogenated solvents (CCl4) by photolysis reaction favors a conversion of 100% in 1h. © 2022. Revista Facultad de Ingenieria. All Rights Reserved.</t>
  </si>
  <si>
    <t>Catalysis; Esterification; Levulinic acid; Photocatalysis; Tio2 − f</t>
  </si>
  <si>
    <t>SGI 3344</t>
  </si>
  <si>
    <t>This work was supported by Vicerrectoría de Investigación y Extensión, Universidad Pedagógica y Tecnológica de Colombia by the project SGI 3344.</t>
  </si>
  <si>
    <t xml:space="preserve">Li, X., Simultaneous catalytic esterification of carboxylic acids and acetalisation of aldehydes in a fast pyrolysis bio-oil from mallee biomass (2011) Fuel, 90. , [1] Jul; Rodríguez, A., Brijado, M., Rache, L., Silva, L., Esteves, L., Reacciones comunes de Furfural en procesos escalables de Biomasa Residual (2020) Ciencia en Desarrollo, 11. , [2] Jan; Thapa, I., Efficient green catalysis for the conversion of fructose to levulinic acid (2017) Applied Catalysis A: General, 539. , [3] Jun. 5; Bart, H., Reidetschlager, J., Schatka, K., Lehmann, A., Kinetics of esterification of levulinic acid with n-butanol by homogeneous catalysis (1994) Ind. Eng. Chem. Res, 33. , [4] Jan. 1; Lilja, J., Esterification of different acids over heterogeneous and homogeneous catalysts and correlation with the Taft equation (2002) Journal of Molecular Catalysis A: Chemical, 182-183. , [5] May. 31; Dharne, S., Bokade, V., Esterification of levulinic acid to n-butyl levulinate over heteropolyacid supported on acid-treated clay (2011) Journal of Natural Gas Chemistry, 20. , [6] Jan; Sankar, S., Babu, V., Chada, R., Raju, D., Rama, S., Clean synthesis of alkyl levulinates from levulinic acid over one pot synthesized WO3-SBA-16 catalyst (2017) Journal of Molecular Catalysis A: Chemical, 426. , [7] Jan; Negahdar, L., Al-Shaal, M., Holzhäuser, F., Palkovits, R., Kinetic analysis of the catalytic hydrogenation of alkyl levulinates to γ-valerolactone (2017) Chemical Engineering Science, 158. , [8] Feb. 2; Silva, M., Lemos, A., Lima, F., Mendes, A., Hernandez, M., Heterogeneous Catalysts Based on H3PW12O40 Heteropolyacid for Free Fatty Acids Esterification (2011) Intech Open, , [9] Nov. 9; Mesa, M., Degradación fotocatalítica de Fenol, Catecol e Hidroquinona sobre nanomateriales Au-ZnO (2020) Revista Facultad de Ingeniería Universidad de Antioquia, 94. , [10]; Verma, P., Kaur, K., Kumar, R., PalToor, A., Esterification of acetic acid to methyl acetate using activated TiO2 under UV light irradiation at ambient temperature (2017) Journal of Photochemistry and Photobiology A: Chemistry, 336. , [11] Mar. 1; Cardoso, M., Posteral, A., Kopp, A., Pérez, C., Application of hydrothermally produced TiO2 nanotubes in photocatalytic esterification of oleic acid (2016) Materials Science and Engineering: B, 206. , [12] Apr; Corro, G., Pal, U., Telleza, N., Biodiesel production from Jatropha curcas crude oil using ZnO/SiO2 photocatalyst for free fatty acids esterification (2013) Applied Catalysis B: Environmental, 129. , [13] Jan. 17; Wen, J., Photocatalysis fundamentals and surface modification of TiO2 nanomaterials (2015) Chinese Journal of Catalysis, 36. , [14] Dec; Murcia, J., Methylene blue degradation over M-TiO2 photocatalysts (M= Au or Pt) (2017) Ciencia en Desarrollo, 8. , [15] Jan; Kőrösi, L., Structural properties and photocatalytic behaviour of phosphate-modified nanocrystalline titania films (2007) Applied Catalysis B: Environmental, 77. , [16] Nov. 30; Yang, K., Dai, Y., Huang, B., Whangbo, M., Density Functional Characterization of the Band Edges, the Band Gap States, and the Preferred Doping Sites of Halogen-Doped TiO2 (2008) Chemistry of Materials, 20. , [17] Sept. 26; Yu, J., Yu, Ho, Jiang, and Zhang, “Effects of F-Doping on the Photocatalytic Activity and Microstructures of Nanocrystalline TiO2 Powders (2002) Chemistry of Materials, 14 (9). , [18]; Yu, J., Wang, W., Cheng, B., Su, B., Enhancement of Photocatalytic Activity of Mesporous TiO2 Powders by Hydrothermal Surface Fluorination Treatment (2009) The Journal of Physical Chemistry C, 113 (16). , [19]; Murcia, J., Hidalgo, M., Navío, J., Araña, J., Rodríguez, J., Study of the phenol photocatalytic degradation over TiO2 modified by sulfation, fluorination, and platinum nanoparticles photodeposition (2015) Applied Catalysis B: Environmental, 179. , [20] Dec; Guzmán, V., Ortega, Y., Salinas, J., López, A., Collins, V., TiO2 Films Synthesis over Polypropylene by Sol-Gel Assisted with Hydrothermal Treatment for the Photocatalytic Propane Degradation (2014) Green and Sustainable Chemistry, 4 (3). , [21]; Murugan, K., Rao, T., Narashima, G., Gandhi, A., Murty, B., Effect of dehydration rate on non-hydrolytic TiO2 thin film processing: Structure, optical and photocatalytic performance studies (2011) Materials Chemistry and Physics, 129. , [22] Oct. 3; Kiyomi, L., Monteiro, R., Sanches, N., Dias, L., Sala, O., TiO2 with a high sulfate content—thermogravimetric analysis, determination of acid sites by infrared spectroscopy and catalytic activity (2003) Catalysis Today, 85. , [23] Sep. 30; Li, S., Protonated titanate nanotubes as a highly active catalyst for the synthesis of renewable diesel and jet fuel range alkanes (2015) Applied Catalysis B: Environmental, 170-171. , [24] Jul; Nandiwale, K., Bokade, V., Esterification of Renewable Levulinic Acid to nButyl Levulinate over Modified HZSM5 (2015) Chem. Eng. Technol, 38. , [25] Jan. 27; Al-Shaal, M., Catalytic upgrading of α-angelica lactone to levulinic acid esters under mild conditions over heterogeneous catalysts (2015) Catal. Sci. Technol, 5. , [26] Jul. 15; Ru, J., Hsu, C., Jain, M., Efficient photolytic esterification of carboxylic acids with alcohols in perhalogenated methane (2004) Tetrahedron Letters, 45. , [27] Jun; [28]; </t>
  </si>
  <si>
    <t>Castañeda, C.; Escuela de Ciencias Química, Avenida Central del Norte 39-115,A. A. 1094, Colombia; email: claudia.castaneda.mar@gmail.com</t>
  </si>
  <si>
    <t>Rev. Fac. Ing.</t>
  </si>
  <si>
    <t>2-s2.0-85134370618</t>
  </si>
  <si>
    <t>Lagos-Burbano T.C., Lagos-Santander L.K., Duarte-Alvarado D.E., Garcia-Alzate J.</t>
  </si>
  <si>
    <t>56664513400;57221689717;57221688411;57807227700;</t>
  </si>
  <si>
    <t>Induced mutagenesis in Solanum betaceum Cav. plants by the use of diethyl sulphate (DES) [Mutagénesis inducida en plantas de Solanum betaceum Cav. mediante el uso de dietil sulfato (DES)]</t>
  </si>
  <si>
    <t>e1956</t>
  </si>
  <si>
    <t>10.31910/rudca.v25.n1.2022.1956</t>
  </si>
  <si>
    <t>https://www.scopus.com/inward/record.uri?eid=2-s2.0-85134321944&amp;doi=10.31910%2frudca.v25.n1.2022.1956&amp;partnerID=40&amp;md5=d5a2366b6c9345714a26ee0bc5304561</t>
  </si>
  <si>
    <t>Universidad de Nariño, Facultad de Ciencias Agrícolas, Grupo de Investigación en Producción de Frutales Andinos GPFA, San Juan de Pasto, Narino, Colombia</t>
  </si>
  <si>
    <t>Lagos-Burbano, T.C., Universidad de Nariño, Facultad de Ciencias Agrícolas, Grupo de Investigación en Producción de Frutales Andinos GPFA, San Juan de Pasto, Narino, Colombia; Lagos-Santander, L.K., Universidad de Nariño, Facultad de Ciencias Agrícolas, Grupo de Investigación en Producción de Frutales Andinos GPFA, San Juan de Pasto, Narino, Colombia; Duarte-Alvarado, D.E., Universidad de Nariño, Facultad de Ciencias Agrícolas, Grupo de Investigación en Producción de Frutales Andinos GPFA, San Juan de Pasto, Narino, Colombia; Garcia-Alzate, J., Universidad de Nariño, Facultad de Ciencias Agrícolas, Grupo de Investigación en Producción de Frutales Andinos GPFA, San Juan de Pasto, Narino, Colombia</t>
  </si>
  <si>
    <t>The raw material for plant breeding is genetic variability, which is low in species in the process of domestication that have not been subjected to selection, as is the case with Solanum betaceum. One of the technologies to increase genetic variability is mutagenesis induction. The objective was to evaluate, through RAMs markers, the molecular variations present in S. betaceum seedlings from seeds previously subjected to different concentrations of the mutant agent diethyl sulfate (DES). The polymorphic loci ranged from 87.5 to 100%, number of effective alleles (Ne) between 1.0 and 1.99. The most polymorphic loci were observed in TG, AG, ACA, and CGA, which showed a mean unbiased heterosis between 0.34 and 0.51 with an average of 0.44, which allows establishing that these markers are useful to obtain greater discrimination between mutants in S. betaceum. Genetic distances ranged from 0.30 to 1.0. The 81.28% of these records were between 0.60 and 0.90. This reveals a low level of changes due to DES. These small changes contribute to enriching the genetic variability of the DES-treated sample. The RAMs markers were useful for detecting changes between plants from DES treated seeds and normal plants. Genetic variability between DES treatments was higher than non-DES treatments. Genetic similarities were low between treated and untreated plants and were high among untreated plants. The changes produced by DES were of low magnitude, however, they produced changes in the levels of genetic variability. © 2022 Published by Scientific Scholar on behalf of Journal of Clinical Imaging Science</t>
  </si>
  <si>
    <t>Mutagenesis; Polymorphic loci; Ramdom amplified microsatellite; Tree tomato; Unbiased heterozygosity</t>
  </si>
  <si>
    <t>Universidad de Nariño</t>
  </si>
  <si>
    <t>Al sistema de investigaciones de la Vicerrectoría de Investigaciones e Interacción Social (VIIS), de la Universidad de Nariño, por haber financiado esta investigación. Conflicto de intereses: el manuscrito fue preparado y revisado con la participación de todos los autores, quienes declaramos que no existe de conflicto de intereses que ponga en riesgo la validez de los resultados presentados. Financiación: esta investigación fue financiada por el Sistema de Investigaciones de la Vicerrectoría de Investigaciones e Interacción Social de la Universidad de Nariño.</t>
  </si>
  <si>
    <t>ACOSTA-QUEZADA, P.G., RIOFRÍO-CUENCA, T., ROJAS, J., VILANOVA, S., PLAZAS, M., PROHENS, J., Phenological growth stages of tree tomato (Solanum betaceum Cav.), an emerging fruit crop, according to the basic and extended BBCH scales (2016) Scientia Horticulturae, 199, pp. 216-223. , https://doi.org/10.1016/j.scienta.2015.12.045; BEN TAMARZIZT, H., BEN MUSTAPHA, S., BARAKET, G., ABDALLAH, D., SALHI-HANNACHI, A., Assessment of genetic diversity and relationships among wild and cultivated Tunisian plums (Prunus spp) using random amplified microsatellite polymorphism markers (2015) Genetics and Molecular Research, 14 (1), pp. 1942-1956. , https://doi.org/10.4238/2015.march.20.4; BHAGWAT, B., DUNCAN, E.J., Mutation breeding of banana cv. Highgate (Musa spp., AAA Group) for tolerance to Fusarium oxysporum f. sp. cubense using chemical mutagens (1997) Scientia Horticulturae, 73 (1), pp. 11-22. , https://doi.org/10.1016/S0304-4238(97)00141-6; DELGADO-ALVARADO, E.A., ALMARAZ-ABARCA, N., ESCAMIROSA-TINOCO, C., URIBE-SOTO, J.N., ÁVILA-REYES, J., TORRES-RICARIO, R., CHAÍDEZAYALA, A.I., Potential of random amplified microsatellites (RAMS) to typify and discriminate varieties of Physalis ixocarpa Brot. ex Hornem (2018) Emirates Journal of Food and Agriculture, 30 (5), pp. 396-403. , https://doi.org/10.9755/ejfa.2018.v30.i5.1684; DÍAZ GRANADA, L., CANTO SÁENZ, M., ALEGRE ORIHUELA, J., CAMERENA MAYTA, F., JULCA OTINIANO, A., Sostenibilidad social de los subsistemas productivos de tomate de árbol (Solanum betaceum Cav) en el Cantón Guachapala, Provincia de Azuay - Ecuador (2017) Ecología Aplicada, 16 (2), pp. 99-104. , https://dx.doi.org/10.21704/rea.v16i2.1013; DICE, L.R., Measures of the amount of ecologic association between species (1945) Ecology, 26 (3), pp. 297-302. , https://doi.org/10.2307/1932409; DONINI, P., SONNINO, A., Induced mutation in plant breeding: Current status and future outlook (1998) Somaclonal variation and induced mutations in crop improvement. current plant science and biotechnology in Agriculture, 32, pp. 255-291. , En: Jain, S.M.; Brar, D.S.; Ahloowalia, B.S. (eds). Springer; ESTRADA SALAZAR, E.I., VALLEJO CABRERA, F.A., RAMÍREZ, H., ESPITIA CAMACHO, M.M., (2010) Genética Vegetal, p. 460. , Universidad Nacional de Colombia (Palmira); GANDHI, E.S., SRI DEVI, A., MULLAINATHAN, L., The effect of ethyl methane sulphonate and diethyl sulphate on chilli (Capsicum annuum L.) in M1 generation (2014) International Letters of Natural Sciences, 10, pp. 18-23. , https://doi.org/10.18052/www.scipress.com/ILNS.10.18; HART, G., The Occurrence of Multiple UPGMA Phenograms (1983) Numerical taxonomy. NATO ASI Series, 1, pp. 254-258. , https://doi.org/10.1007/978-3-642-69024-2_30, En: Felsenstein, J. (ed). Springer (Berlin, Heidelberg); LAGOS-SANTANDER, L., VALLEJO, F.A., LAGOSBURBANO, T.C., DUARTE-ALVARADO, D.E., Correlaciones genotípicas, fenotípicas y ambientales, y análisis de sendero en tomate de árbol (Cyphomandra betacea Cav. Sendt.) (2013) Acta Agronómica, 62 (3), pp. 215-222; LOBO ARIAS, M., Recursos genéticos y mejoramiento de frutales andinos: una visión conceptual (2006) Ciencia &amp; Tecnología Agropecuaria, 7 (2), pp. 40-54. , https://doi.org/10.21930/rcta.vol7_num2_art:68; MAGALLÁN HERNÁNDEZ, D., MARTÍNEZ, M., HERNÁNDEZ SANDOVAL, L., KEN OYAMA, Y., Estructura genética de poblaciones de Eriocaulon Bilobatum (Eriocaulaceae): una especie amenazada de humedales temporales (2009) Boletín de la Sociedad Botánica de México, 85, pp. 81-88; MORILLO, C., MORILLO, Y., MUÑOZ, F., VÁSQUEZ, A., ZAMORANO, A., Caracterización molecular con microsatélites aleatorios rams de la colección de mora, Rubus spp., de la Universidad Nacional de Colombia sede Palmira (2005) Acta Agronómica, 54 (2), pp. 15-24. , A.C.; F.J.; H.A; MORILLO, C., MORILLO, A.C., MUÑOZ, F., BALLESTEROS, P., GONZÁLEZ, A., Molecular characterization of 93 genotypes of cocoa (Theobroma cacao L.) with random amplified microsatellites RAMs (2014) Agronomía Colombiana, 32 (3), pp. 315-325. , https://doi.org/10.15446/agron.colomb.v32n3.46879, Y.; J.E.; W; MORILLO CORONADO, A.C., MORILLO CORONADO, Y., PINZÓN SANDOVAL, E.H., Caracterización con RAMs de la colección de durazno (Prunus persica L. Batsch) existente en la Universidad Pedagógica y Tecnológica de Colombia (2014) Acta Agronómica, 63 (4), pp. 367-376; MORILLO PAZ, A.T., VILLOTA CERÓN, D.E., LAGOSBURBANO, T.C., ORDÓÑEZ JURADO, H.R., Caracterización morfológica y molecular de 18 introducciones de uchuva Physalis peruviana L. de la colección de la Universidad de Nariño (2011) Revista Facultad Nacional de Agronomía Medellín, 64 (2), pp. 6043-6053; MUDIBU, J., NKONGOLO, K.K.C., MEHES-SMITH, M., KALONJI-MBUYI, A., Genetic analysis of a soybean genetic pool using ISSR marker: effect of gamma radiation on genetic variability (2011) International Journal of Plant Breeding and Genetics, 5 (3), pp. 235-245. , http://dx.doi.org/10.3923/ijpbg.2011.235.245; MUÑOZ, F., LOBO, M., MEDINA, C.I., CAICEDO ARANA, Á., MORILLO CORONADO, Y., Caracterización molecular de genotipos de plátano del Banco de Germoplasma de Corpoica Palmira, con uso de marcadores RAMs (2012) Acta Agronómica, 61 (5), pp. 28-29. , J.E; MUÑOZ FLÓREZ, J.E., MORILLO CORONADO, A.C., MORILLO CORONADO, Y., Microsatélites amplificados al azar (RAM) en estudios de diversidad genética vegetal (2008) Acta Agronómica, 57 (4), pp. 219-226; MURASHIGE, T., SKOOG, F., A revised medium for rapid growth and bio assays with tobacco tissue cultures (1962) Physiologia Plantarum, 15 (3), pp. 473-497. , https://doi.org/10.1111/j.1399-3054.1962.tb08052.x; NEI, M., Analysis of gene diversity in subdivided populations (1973) Proceedings of the National Academy of Sciences, 70 (12), pp. 3321-3326. , https://doi.org/10.1073/pnas.70.12.3321; PEAKALL, R., SMOUSE, P.E., Genalex 6: genetic analysis in Excel. Population genetic software for teaching and research (2006) Molecular Ecology Notes, 6 (1), pp. 288-295. , https://doi.org/10.1111/j.1471-8286.2005.01155.x; PEÑAFIEL, L., ARAHANA, B., TORRES, P., DE, L., Evaluación de la variabilidad genética del tomate de árbol (Solanum betaceum Cav.) en los cultivos de tres provincias del Ecuador por medio de marcadores microsatélites (2009) Avances en Ciencias e Ingeniería, 1 (1), pp. 69-74. , https://doi.org/10.18272/aci.v1i1.13, N.; V.S.; M; PRINA, L., LANDAU, A., PACHECO, M.G., HOPP, H., Mutagénesis, TILLING y EcoTILLING. Parte II: Métodos para generar y analizar diversidad, Capítulo 4 (2010) Biotecnología y Mejoramiento Vegetal II, pp. 217-228. , En: Levitus G.; Echenique, Rubinstein, C.; Hopp, E.; Mroginski, L. (Eds). Instituto Nacional de Tecnología Agropecuaria INTA, Consejo Argentino para la Información y Desarrollo de la Biotecnología ArgenBio (Argentina); RAMÍREZ, F., KALLARACKAL, J., Tree tomato (Solanum betaceum Cav.) reproductive physiology: A review (2019) Scientia Horticulturae, 248, pp. 206-215. , https://doi.org/10.1016/j.scienta.2019.01.019; (2021) Reporte: Área, Producción y Rendimiento Nacional por Cultivo, , https://www.agronet.gov.co/estadistica/Paginas/home.aspx?cod=1, Estadísticas agrícolas: tomate de árbol. Disponible desde Internet en: (con acceso 03/04/2021); ROHLF, F.J., (1988) NTSYSpc Numerical taxonomy and multivariate analysis system version 2.2: getting started guide, , Applied Biostatistics Inc (New York). 43p; RUGELES-SILVA, P.A., POSSO-TERRANOVA, A.M., LONDOÑO, X., BARRERA-MARÍN, M., MUÑOZ-FLÓREZ, J.E., Caracterización molecular de Guadua angustifolia Kunth mediante marcadores moleculares RAMs (2012) Acta Agronómica, 61 (4), pp. 325-330; WRIGHT, S., (1978) Evolution and the genetics of populations, variability within and among natural populations, 4, p. 590. , University of Chicago Press (Chicago); ZIETKIEWICZ, E., RAFALSKI, A., LABUDA, D., Genome fingerprinting by Simple Sequence Repeat (SSR)anchored Polymerase Chain Reaction Amplification (1994) Genomics, 20 (2), pp. 176-183. , https://doi.org/10.1006/geno.1994.1151</t>
  </si>
  <si>
    <t>Duarte-Alvarado, D.E.; Universidad de Nariño, San Juan de Pasto, Colombia; email: deduartea@unal.edu.co</t>
  </si>
  <si>
    <t>2-s2.0-85134321944</t>
  </si>
  <si>
    <t>López González de Orduña H.</t>
  </si>
  <si>
    <t>57803756900;</t>
  </si>
  <si>
    <t>Mourning and Autofiction. General Reflections and a Reading of Camas gemelas (2020) by Paola Caballero Daza [Luto e autoficção. Reflexões gerais e uma leitura de Camas gemelas (2020) por Paola Caballero Daza] [Duelo y autoficción. Reflexiones generales y una lectura de Camas gemelas (2020) de Paola Caballero Daza*]</t>
  </si>
  <si>
    <t>e13967</t>
  </si>
  <si>
    <t>10.19053/01218530.N43.2022.13967</t>
  </si>
  <si>
    <t>https://www.scopus.com/inward/record.uri?eid=2-s2.0-85134268862&amp;doi=10.19053%2f01218530.N43.2022.13967&amp;partnerID=40&amp;md5=5c3158f48a4d681e9d7da2cf753dde01</t>
  </si>
  <si>
    <t>Universidad Nacional Autónoma de México, Mexico</t>
  </si>
  <si>
    <t>López González de Orduña, H., Universidad Nacional Autónoma de México, Mexico</t>
  </si>
  <si>
    <t>This paper displays a reflection about autofiction as a literary genre and mourning as an important topic in literature. On the other hand, it shows a study of the novel by Colombian author Paola Caballero Daza Camas gemelas (2020) from a feminist, reparative and affective perspective. In this novel autofiction is a recurring topic. It is concluded that autofiction emerges to deal with an impossible mourning beyond the traditional social framework. © 2022, Universidad Pedagogica y Tecnologica de Colombia. All rights reserved.</t>
  </si>
  <si>
    <t>affects; autofiction; Colombian literature; feminist literary critique; memory; mourning; Paola Caballero</t>
  </si>
  <si>
    <t>Abad Faciolince, Héctor, (2006) El olvido que seremos, , Barcelona, Seix Barral, Impreso; Aguilar, Andrea, Yo, ficción (2014) El País, , https://elpais.com/cultura/2014/09/04/babelia/1409831257_600136.html, 5 de septiembre de Web. 12 de febrero de 2022; Alberca, Manuel, (2007) El pacto ambiguo. De la novela autobiográfica a la autoficción, , Madrid, Biblioteca Nueva, Impreso; Anderson, Linda, (2006) Autobiography, , Londres, Routledge, Impreso; Anderson, Ben, Affective atmospheres (2009) Emotion, Space and Society, 2, pp. 77-81. , https://doi.org/10.1016/j.emospa.2009.08.005, Im-preso; Arfuch, Leonor, La autobiografía como (mal de) archivo (2008) Crítica cultural entre política y poética, pp. 144-157. , Ciudad de México, Fondo de Cultura Económica, Im-preso; Barthes, Roland, (1975) Roland Barthes par Roland Barthes, , París, Seuil, Impreso; Bonnett, Piedad, (2013) Lo que no tiene nombre, , Bogotá, Alfaguara, Impreso; Boym, Svetlana, (2001) The Future of Nostalgia, , Nueva York, Basic Books, Impreso; Caballero Daza, Paola, (2020) Camas gemelas, , Bogotá, Cajón de sastre, Impreso; Caballé, Anna, (1995) Narcisos de tinta. Ensayos sobre literatura autobiográfica en lengua castella-na (siglos XIX y XX), , Málaga, Megazul, Impreso; Casas, Ana, (2014) El yo fabulado. Nuevas aproximaciones críticas a la autoficción, , https://doi.org/10.31819/9783954878154, coord. Madrid y Frankfurt, Iberoamericana-Vervuert, Impreso; Castells, Manuel, (2000) The Rise of the Network Society, , Oxford, Blackwell, Impreso; Catelli, Nora, (2007) En la era de la intimidad. El espacio autobiográfico, , Rosario, Beatriz Viterbo, Impreso; Cosslett, Tess, Lury, Celia, Summerfield, Penny, (2000) Feminism and Autobiography. Texts, Theories, Methods, , eds. Londres, Routledge, Impreso; De Man, Paul, Autobiography as de-facement (1979) Modern Language Notes, 94, pp. 919-930. , https://doi.org/10.2307/2906560, Impreso; Derrida, Jacques, (1984) Otobiographies. L’enseignement de Nietzsche et la politique du nombre propre, , París, Galilée, Impreso; Diaconu, Diana, (2013) Fernando Vallejo y la autoficción. Coordenadas de un nuevo género narra-tivo, , Bogotá, Universidad Nacional de Colombia, Impreso; Doubrovsky, Serge, (1977) Fils, , París, Galilée, Impreso; Eakin, Paul John, (1985) Fictions in Autobiography. Studies in the Art of Self Invention, , Princeton, Princeton University Press, Impreso; Fish, Stanley, (1982) Is There a Text in this Class? The authority of Interpretative Communities, , Cambridge, Harvard University Press, Impreso; Foucault, Michel, (1990) Tecnologías del yo. Y otros textos afines, , Barcelona, Paidós, Impreso; Franco, Jean, (1994) Las conspiradoras. La representación de la mujer en México, , Ciudad de Mé-xico, FCE, Impreso; Freud, Sigmund, Duelo y melancolía (1917) Obras completas, XIV, pp. 241-256. , En Buenos Aires, Amo-rrortu, /1993, Impreso; Gilmore, Leigh, (1994) Autobiographics: A Feminist Theory of Women’s Self-Representation, , Itha-ca, Cornell University Press, Impreso; Giorgi, Gabriel, Cuerpo (2009) Diccionario de estudios culturales latinoamericanos, pp. 67-71. , Coordinado por Mónica Szurmuk y Robert McKee Irwin. Ciudad de México, Instituto Mora-Si-glo XXI, Impreso; Álvarez, José Manuel, La autoficción hispánica en el siglo XXI (2015) Pasaven-to, 3 (1). , https://dialnet.unirioja.es/ejem-plar/413122, González coord. Web. 3 de mayo de 2022; Gusdorf, Georges, Condiciones y límites de la autobiografía (1991) En La autobiografía y sus problemas teóricos. Suplementos de Anthropos, 29, pp. 9-18. , Impreso; Herbert, Julián, (2011) Canción de tumba, , Barcelona, Random House Mondadori, Impreso; Hodgkin, Katherine, Radstone, Susannah, (2003) Contested Pasts. The Politics of Memory, , https://doi.org/10.4324/9780203391471, Nueva York y Londres, Routledge, Impreso; Lejeune, Philippe, (1975) Le pacte autobiographique, , París, Seuil, Impreso; Link, Daniel, (2009) Fantasmas. Imaginación y sociedad, , Buenos Aires, Eterna Cadencia, Impreso; López, Helena, Memoria”. Conceptos clave en los estudios de género (2018) Coordinado por Hor-tensia Moreno y Eva Alcántara, 2, pp. 183-193. , Ciudad de México, Universidad Nacional Autónoma de México, CIEG, Impreso; López, Helena, Memoria filial y afectividad en Canción de tumba (2011) de Julián Herbert (2019) Inflexio-nes, 4, pp. 37-45. , http://inflexiones.unam.mx/ojs/index.php/inflexiones/issue/view/11/showToc, Web. 18 de abril de 2022; Macón, Cecilia, Solana, Mariela, Vacarezza, Nayla, Introduction: Feeling Our Way Through Latin America (2021) Affect, Gender and Sexuality in Latin America, pp. 1-15. , https://doi.org/10.1007/978-3-030-59369-8_1, Cham, Palgrave Macmillan, Impreso; Marcus, Laura, (1994) Auto/biographical Discourses. Theory, Criticism, Practice, , Manchester, Manchester University Press, Impreso; Mitchell, Kaye, ‘This is not a memoir’: Feminist Writings from Life (2020) The New Feminist Literary Studies, pp. 208-221. , https://doi.org/10.1017/9781108599504.016, Editado por Jennifer Cooke. Cambridge, Cambridge University Press, Impreso; Molloy, Sylvia, La narrativa autobiográfica (2006) Historia de la literatura hispanoamericana. El siglo XX, pp. 460-701. , Editado por Roberto González Echevarría y Enrique Pupo-Walker. Ma-drid, Gredos, Impreso; Nash, Mark, Reality in the age of aesthetics (2008) Frieze, 114. , https://www.frieze.com/article/reality-age-aesthetics, Web. 17 de abril de 2022; Nietzsche, Friedrich, (1874) Sobre la utilidad y el prejuicio de la historia para la vida, , Madrid, Bi-blioteca Nueva, 1999. Impreso; Olney, James, (1972) Metaphors of Self: The Meaning of Autobiography, , Princeton, Princeton University Press, Impreso; Piña, Cristina, La incidencia de la posmodernidad en las formas actuales de narrar (2013) Cua-dernos del CILHA, 14 (2), pp. 16-34. , Impreso; Pozuelo Yvancos, José María, (2006) De la autobiografía. Teoría y estilos, , Barcelona, Crítica, Impreso; Rivera Garza, Cristina, El proyecto autobiográfico de Knausgård. Contra la ficción (2013) Re-vista de la Universidad de México, 114, pp. 19-27. , https://www.revistadelauniversidad.mx/articles/27584010-6a87-4aae-9e84-96515faa1298/el-proyecto-autobiografico-de-knausgard-contra-la-ficcion, Web. 12 de febrero de 2022; Rivera Garza, Cristina, (2021) El invencible verano de Liliana, , México, Literatura Random House, Impreso; Rodríguez, Dominique, Un dolor en el corazón que se clava como una espina (2021) El Tiempo, , https://www.eltiempo.com/cultura/musica-y-libros/un-dolor-en-el-corazon-que-se-clava-como-una-espina-561326, 18 de enero de Web. 12 de febrero de 2022; Romera Castillo, José, Escritura autobiográfica hispanoamericana aparecida en España en los últimos años (1995) Homenatge a Amelia García-Valdecasas, pp. 727-740. , Editado por Ferrán Car-bó et al. Valencia, Universidad de Valencia, Impreso; Sarlo, Beatriz, (2006) Tiempo pasado. Cultura de la memoria y giro subjetivo. Una discusión, , Ciudad de México, Siglo XXI, Impreso; Schmitt, Arnaud, Making the Case for Self-narration Against Autofiction (2016) The Routledge Auto|Biography Studies Reader, pp. 331-335. , Editado por Ricia Anne Chansky y Emily Hipchen. Londres, Routledge, Impreso; Sedgwick, Eve Kosofsky, (2003) Touching Feeling. Affect, Pedagogy, Performativity, , https://doi.org/10.2307/j.ctv11smq37, Durham, Duke University Press, Impreso; Segal, Lynne, Who do you think you are? Feminist Memoir Writing (2009) New Formations, 67, pp. 120-133. , https://doi.org/10.3898/newf.67.11.2009, Impreso; Sibilia, Paula, (2008) La intimidad como espectáculo, , Ciudad de México, Fondo de Cultura Económica, Impreso; Smith, Sidonie, Watson, Julia, (2001) Reading Autobiography: A Guide for Intepreting Life Nar-ratives, , https://doi.org/10.5749/minnesota/9780816669851.001.0001, Mineápolis, University of Minnesota Press, Impreso; Steedman, Carolyn, (1986) Landscape for a Good Woman, , Londres, Virago, Impreso; Taylor, Charles, (1989) Sources of the Self. The Making of the Modern Identity, , Cambridge, Harvard University Press, Impreso; Warner, Michael, (2012) Público, públicos, contrapúblicos, , Ciudad de México, Fondo de Cultura Económica, Impreso; Conversación entre Paola Caballero y Piedad Bonnett sobre Camas ge-melas, editado por Cajón de sastre https://pt-br.facebook.com/Wilborada1047/videos/conversa-ci%C3%B3n-entre-paola-caballero-y-piedad-bonnett-sobre-camas-gemelas-edita-do-/471045487587759/, Facebook, compartido por Wilborada 1047, 6 de marzo de 2021</t>
  </si>
  <si>
    <t>López González de Orduña, H.; Universidad Nacional Autónoma de MéxicoMexico; email: helena_lopez@cieg.unam.mx</t>
  </si>
  <si>
    <t>2-s2.0-85134268862</t>
  </si>
  <si>
    <t>Guarín D.</t>
  </si>
  <si>
    <t>57803243900;</t>
  </si>
  <si>
    <t>Plateaus, Multiplicities, and Interconnections in Distant Star: Between Complexity and Rhizomes [Platôs, multiplicidades e interconexões em Estrela distante: entre a complexidade e o rizomático] [Mesetas, multiplicidades e interconexiones en Estrella distante: entre la complejidad y lo rizomático*]</t>
  </si>
  <si>
    <t>e13909</t>
  </si>
  <si>
    <t>10.19053/01218530.N43.2022.13909</t>
  </si>
  <si>
    <t>https://www.scopus.com/inward/record.uri?eid=2-s2.0-85134233464&amp;doi=10.19053%2f01218530.N43.2022.13909&amp;partnerID=40&amp;md5=e93318ad99a87e31627956dd1acce8ca</t>
  </si>
  <si>
    <t>Temple University, United States</t>
  </si>
  <si>
    <t>Guarín, D., Temple University, United States</t>
  </si>
  <si>
    <t>This article analyzes the narrative structure of the novel Distant Star, by Roberto Bolaño, from the theory of complexity and the philosophical concept of Rhizome. The stories of the novel are understood as plateaus that are connected like rhizomes or that interact in a complex system to give meaning to the work. The text begins with a synthesis of the story, then relates the concepts of complexity and rhizome, and finally presents the plateaus and interconnections created by Bolaño in the novel. It is concluded that Distant Star can be read in a linear way, following the trail of the antagonist; or in a rhizomic way, without beginning or end, but with a variety of pla-teaus, intertextualities and stories that are slightly connected. Wieder becomes a point without end, and like the novel, a rhizome in the universe of Bolaño’s work. © 2022, Universidad Pedagogica y Tecnologica de Colombia. All rights reserved.</t>
  </si>
  <si>
    <t>complexity; Distant Star; intertextualities; rhizome; Roberto Bolaño</t>
  </si>
  <si>
    <t>Aladino, Edison, Pedro Páramo o el libro como rizoma (2015) Poligramas, 41, pp. 111-121. , https://doi.org/10.25100/poligramas.v0i41.4409, Web. 28 de marzo de 2022; Al-Hoorie, Ali H., Hiver, Phil, (2020) Research methods for complexity theory in applied linguis-tics, , Bristol (Inglaterra), Multilingual Matters, Impreso; Areco, Macarena, ¿Civilización o barbarie? Imaginaciones espaciales rizomáticas y abisma-les de Europa y Latinoamérica en la obra de Roberto Bolaño (2018) Estudios Filológicos, 61, pp. 175-186. , https://doi.org/10.4067/S0071-17132018000100175, Web. 28 de abril de 2020; Barthes, Roland, (1981) Camera Lucida. Reflections on photograpy, , Traducido por Richard Howard. New York, Hill y Wang, Impreso; Beasley-Murray, Jon, (2010) Posthegemony: Political theory and Latin America, , https://doi.org/10.5749/minneso-ta/9780816647149.001.0001, Minneapolis, University of Minnesota Press, Impreso; Benmiloud, Karim, La génesis del monstruo en Estrella Distante (2013) Mitologías hoy, 7 (1), pp. 101-111. , https://doi.org/10.5565/rev/mito-logias.131, Web. 6 de abril de 2020; Blommaert, Jan, (2013) Ethnography, superdiversity and linguistic landscapes: Chronicles of complexity, , https://doi.org/10.21832/9781783090419, Bristol (Inglaterra), Multilingual Matters, Impreso; Bolaño, Roberto, (1996) Estrella distante, , Barcelona, Anagrama, Impreso; Bolaño, Roberto, (1997) Llamadas telefónicas, , Barcelona, Anagrama, Impreso; Bolaño, Roberto, (2000) Nocturno de Chile, , Barcelona, Anagrama, Impreso; Bolaño, Roberto, (2005) La literatura nazi en América, , Barcelona, Seix Barral, Impreso; Bolaño, Roberto, (2011) Los sinsabores del verdadero policía, , Barcelona, Anagrama, Impreso; Bolaño, Roberto, (2016) El espíritu de la ciencia-ficción, , Santiago de Chile, Alfaguara, Impreso; Bolognese, Chiara, Roberto Bolaño y Raúl Zurita: referencias cruzadas (2010) Anales de Litera-tura Chilena, 14, pp. 259-272. , Impreso; Braithwaite, Andrés, (2006) Bolaño por sí mismo. Entrevistas escogidas, , (ed). Santiago de Chile, Ediciones Universidad Diego Portales, Impreso; Burkette, Allison, Kretzschmar, William A., (2018) Exploring linguistic science: Language use, complexity, and interaction, , https://doi.org/10.1017/9781108344326, Cambridge, Cambridge University Press, Impre-so; Byrne, David, (1998) Complexity theory and the Social Sciences: An introduction, , Londres, Routle-dge, Impreso; Carlsen, Lila McDowell, Absurdity and Utopia in Roberto Bolaño’s Estrella distante and ‘Sensini’ (2014) Confluencia, 30 (1), pp. 138-151. , https://doi.org/10.1353/cnf.2014.0003, Web. 4 de junio de 2020; Córdoba, Antonio, (De)Mythologizing the disabled: Chilean freaks in Roberto Bolaño’s El Tercer Reich and Estrella distante (2018) Hispanic Issues On-Line (HIOL), 20, pp. 77-96. , https://doi.org/10.17613/d3f7-4384, Web. 4 de abril de 2020; Deleuze, Gilles, (1988) Spinoza: Practical philosophy, , Traducido por Robert Hurley. San Francisco, City Lights Books, Impreso; Deleuze, Gilles, (1981) Positions. Traducido por Alan Bass, , Chicago, The University of Chicago Press, Impreso; Deleuze, Gilles, Guattari, Félix, (1978) Kafka: por una literatura menor, , Traducido por Jorge Aguilar Mora. México, Ediciones Era, Impreso; Deleuze, Gilles, Guattari, Félix, (1983) Anti-Oedipus: Capitalism and schizophrenia, , Traducido por Robert Hurley, Mark Seem y Helen Lane. Minneapolis, University of Minnesota Press, Impreso; Deleuze, Gilles, Guattari, Félix, (2004) Mil mesetas: capitalismo y esquizofrenia, , Traducido por José Vázquez Pérez, 6ª ed. Va-lencia, Pre-textos, Impreso; Descartes, René, (1996) Reglas para la dirección del espíritu, , Traducido por Juan Manuel Nava-rro-Cordón. Madrid, Alianza Editorial, Impreso; Echevarría, Ignacio, (2007) Desvíos. Un recorrido crítico por la reciente narrativa Latinoamerica-na, , Santiago (Chile), Universidad Diego Portales; Gutiérrez-Mouat, Ricardo, (2016) Understanding Roberto Bolaño, , Columbia, University of South Carolina Press, Impreso; Hoyos, Héctor, (2015) Beyond Bolaño: The global Latin American novel, , https://doi.org/10.7312/colum-bia/9780231168427.001.0001, New York, Columbia University Press, Impreso; Johnson, Neil, (2009) Simply complexity: A clear guide to complexity theory, , Londres, Oneworld Publications, Impreso; Larsen-Freeman, Diane, Complexity theory: The lessons continue (2017) Complexity theory and language development: In celebration of Diane Larsen-Freeman, pp. 11-50. , https://doi.org/10.1075/lllt.48.02lar, Editado por Lour-des Ortega y Zhao Hong Han. Amsterdam, John Benjamins Publishing Company, Impreso; López, Olga, Circuitos de la imagen-cristal. La imagen-cristal de Pedro Páramo (2018) Las artes de Gilles Deleuze. Procesos artísticos, creaciones y experimentaciones, pp. 81-96. , Editado por Paolo Vignola. Guayaquil, Universidad de las Artes, Impreso; Lynd, Juliet, The politics of performance and the performance of narrative in Roberto Bola-ño’s Estrella distante (2011) Chasqui, 40 (1), pp. 170-188. , https://www.proquest.com/docview/899256566, Web. 4 de abril de 2020; Maier, Gonzalo, Fuera de foco: ironía y fotografía en Estrella distante, de Roberto Bolaño (2016) Neophilologus, 100 (2), pp. 213-227. , https://doi.org/10.1007/s11061-015-9454-4, Web. 4 de abril de 2020; Maldonado Castañeda, Carlos Eduardo, (2009) Complejidad: revolución científica y teórica, , editor. Editorial Universidad del Rosario, Impreso; Mitchell, Melanie, (2009) Complexity. A guided tour, , New York, Oxford University Press, Impreso; Morin, Edgar, (2005) Complexité restreinte, complexité générale. Traducido por Pep Lobera. Colo-quio Intelligence de la complexité: épistémologie et pragmatique, , Cerisy-La-Salle, 26 de junio de Impreso; Morin, Edgar, (2008) On Complexity, , New York, Hampton Press, Impreso; Oliver, María Paz, Digresión y subversión del género policial en Estrella distante de Roberto Bolaño (2012) Acta Literaria, 44, pp. 35-51. , https://doi.org/10.4067/S0717-68482012000100003, Web. 4 de abril de 2020; Oliver, María Paz, (2016) El arte de irse por las ramas: la digresión en la novela latinoamericana contemporánea, , Boston, Brill-Rodopi, Impreso; Parham, Karen, Deleuze &amp; Guattari’s friendly concepts (2021) Philosophy Now, 144, pp. 28-30. , https://philosophynow.org/issues/144/Deleuze_and_Guat-taris_Friendly_Concepts, junio/julio; Rivera-Taupier, Miguel, Aspectos góticos y policiales de Estrella Distante (2017) Bulletin of Hispanic Studies, 94 (2), pp. 229-240. , https://doi.org/10.3828/bhs.2017.15, Web. 31 de marzo de 2020; Prado, Sánchez, Ignacio, M., The persistence of the transcultural: A Latin American theory of the novel from the national-popular to the global (2020) New Literary History, 51 (2), pp. 347-374. , https://doi.org/10.1353/nlh.2020.0022, Web. 24 de marzo de 2022; Shellhorse, Adam Joseph, (2017) Anti-Literature: The politics and limits of representation in modern Brazil and Argentina, , https://doi.org/10.2307/j.ctt1r69xs2, Pittsburgh, University of Pittsburgh Press, Impreso; Simunovic Díaz, Horacio, Estrella distante: crimen y poesía (2006) Acta Literaria, 33, pp. 9-25. , https://doi.org/10.4067/S0717-68482006000200002, Web. 31 de marzo de 2020; Steiner, George, (1976) Extraterritorial: Papers on literature &amp; the language revolution, , New York, Atheneum, Impreso; Tranquillo, Joe, (2019) An introduction to complex systems: Making sense of a changing world, , https://doi.org/10.1007/978-3-030-02589-2, Sui-za, Springer, Impreso; Soto, Armando Octavio, El personaje aniquilado en Estrella distante de Roberto Bolaño (2014) Cuadernos Americanos, 4 (150), pp. 133-153. , http://www.cialc.unam.mx/cuadamer/textos/ca150-133.pdf, Velázquez Web. 04 de julio de 2020; Vertovec, Steven, Super-diversity and its implications (2007) Ethnic and Racial Stu-dies, 30 (6), pp. 1024-1054. , https://doi.org/10.1080/01419870701599465, Web. 27 de abril de 2021; Volpi, Jorge, Bolaño, epidemia (2008) Revista de la Universidad de México, 49, pp. 77-84. , marzo Impreso; Zavala, Oswaldo, (2015) La modernidad insufrible: Roberto Bolaño en los límites de la literatura latinoamericana contemporánea, , Chapel Hill (Estados Unidos), University of North Carolina Press, Impreso</t>
  </si>
  <si>
    <t>Guarín, D.; Temple UniversityUnited States; email: guarin@temple.edu</t>
  </si>
  <si>
    <t>2-s2.0-85134233464</t>
  </si>
  <si>
    <t>Blanco-Zuñiga C.R., Chacón-Rojas Z.X., Villarraga-Castillo J.S., Guevara-Suarez H.E., Casteblanco-Castro Y.N., Rojas-Arias N.</t>
  </si>
  <si>
    <t>57250158200;57802502600;57802968400;57802502700;57803086700;57216489274;</t>
  </si>
  <si>
    <t>Treatment of Acid Drainage from Coal Mines Produced in the Boyacá Region, Colombia, using an Anaerobic Wetland with an Upward Flow [Tratamiento de drenajes ácidos de minas de carbón producidas en la región de Boyacá, Colombia, mediante el uso de un Humedal Anaerobio con flujo ascendente]</t>
  </si>
  <si>
    <t>Ingenieria y Universidad</t>
  </si>
  <si>
    <t>10.11144/javeriana.iued26.tadc</t>
  </si>
  <si>
    <t>https://www.scopus.com/inward/record.uri?eid=2-s2.0-85134165905&amp;doi=10.11144%2fjaveriana.iued26.tadc&amp;partnerID=40&amp;md5=aed79fd44f4e5fc5d4d566af55f02fdb</t>
  </si>
  <si>
    <t>Universidad Pedagógica y Tecnológica de Colombia, Colombia; Federal University of São Carlos, São Carlos, Brazil</t>
  </si>
  <si>
    <t>Blanco-Zuñiga, C.R., Universidad Pedagógica y Tecnológica de Colombia, Colombia; Chacón-Rojas, Z.X., Universidad Pedagógica y Tecnológica de Colombia, Colombia; Villarraga-Castillo, J.S., Universidad Pedagógica y Tecnológica de Colombia, Colombia; Guevara-Suarez, H.E., Universidad Pedagógica y Tecnológica de Colombia, Colombia; Casteblanco-Castro, Y.N., Universidad Pedagógica y Tecnológica de Colombia, Colombia; Rojas-Arias, N., Universidad Pedagógica y Tecnológica de Colombia, Colombia, Federal University of São Carlos, São Carlos, Brazil</t>
  </si>
  <si>
    <t>Coal mining represents one of the primary economic incomes in the department of Boyacá, Colombia. However, the acid mine drainage (AMD) generated has a tremendous environmental impact in the area due to the presence of sulfate ions (SO4-2), heavy metals, and low pH This article studies the behavior in the content of Fe and sulfates in AMD samples when treated within an artificial anaerobic vertical flow wetland, analyzing the concentration of these elementsand the content of dissolved oxygen (DO) and pH at different time intervals. The treatment of a MAD from the department of Boyacá was carried out using a bioreactor prototype with an organic substrate to provide the necessary conditions for the development of sulfate-reducing bacteria. Measurements were made with hydraulic retention times between 24 to 120 hours, monitoring the changes in the content of total Fe, SO4-2, pH, and DO. The data obtained show a reduction for total Fe of 88.3%, established at 5.61g∙m-2∙day-1, and for SO4-2 of 34.3% with 9.35g∙m-2∙day-1; reaching a maximum removal degree of 52.32% at 120h for sulfates and 92% for Fe, where the maximum removal peak is achieved, reducing the Fe removal rate for longer times. The reduction in the concentration of Fe is related to the reduction of DO and regulation of the pH, in addition to favoring the reduction of sulfate ions through the formation of the mineralogical phases pyrite and siderite. These data show that the anoxic conditions of the organic environment are maintained, for which a subsequent aeration stage is suggested. © 2022, Pontificia Universidad Javeriana. All rights reserved.</t>
  </si>
  <si>
    <t>Acid Mine Drainage (AMD); Anaerobic Wetland; Hydraulic Retention Time; Organic Substrate; Sulfate-reducing bacteria (SRB)</t>
  </si>
  <si>
    <t>Bacteria; Carbon; Dissolved oxygen; Drainage; Environmental impact; Heavy metals; Pyrites; Redox reactions; Sulfur compounds; Acid mine drainage; Acid mine-drainage; Anaerobics; Anerobic wetland; Hydraulic retention; Hydraulic retention time; Organic substrate; Retention time; Sulphate reducing bacteria; Sulphate-reducing bacteria; Wetlands</t>
  </si>
  <si>
    <t>The authors wish to thank the Department of Environmental Engineering of the Universidad Pedagógica y Tecnológica de Colombia and the Cooperativa Agrominera multiactiva de Paipa Ltda. (Cooagromin) collection center of Paipa-Boyacá, Colombia, for providing the materials and resources necessary for the proper development of this research. One of the authors (NRA) thanks these institutions for their invitation to contribute to this research.</t>
  </si>
  <si>
    <t>Acosta-Bueno, D. M., (2016) Impactos ambientales de la minería de carbón y su relación con los problemas de salud de la población del municipio de Samacá (boyacá), según reportes ASIS 2005-2011, , https://repository.udistrital.edu.co/handle/11349/4130, tesis especialización, Facultad de Ciencias de la Educación, Universidad Distrital Francisco José de Caldas, Bogotá Available; UPME, C., (2017) Plan nacional de desarrollo minero con horizonte a 2025: Minería responsable con el territorio, , Ministerio de Minas y Energías, Bogotá, Colombia; Garzón, R. H., Minería del carbón en Boyacá: entre la informalidad minera, la crisis de un sector y su potencial para el desarrollo (2014) Rev. Zero, 33 (2). , https://zero.uexternado.edu.co/mineria-del-carbon-en-boyaca-entre-la-informalidad-minera-la-crisis-de-un-sector-y-su-potencial-para-el-desarrollo/, [Online]. Available; Agudelo Calderón, C. A., García-Ubaqie, J. C., Robledo Martínez, R., García-Ubaque, C. A., Quiroz-Arcentales, L., Evaluación de condiciones ambientales: aire, agua y suelos en áreas de actividad minera en Boyacá, Colombia (2016) Rev. Salud Pública, 18 (1), pp. 50-60. , https://doi.org/10.15446/rsap.v18n1.55384, Apr. [Online]; Pozo-Antonio, J. S., Puente-Luna, I., López, S. L., Ríos, M. V., Tratamiento microbiano de aguas ácidas resultantes de la actividad minera: Una revisión (2017) Tecnol. y Ciencias del Agua, 8 (3), pp. 75-91. , https://doi.org/10.24850/j-tyca-2017-03-05, [Online]; Park, I., A review of recent strategies for acid mine drainage prevention and mine tailings recycling (2019) Chemosphere, 219, pp. 588-606. , https://doi.org/10.1016/j.chemosphere.2018.11.053, March; Boyles, A. L., Systematic review of community health impacts of mountaintop removal mining (2017) Environ. Int, 107, pp. 163-172. , Oct; Moodley, I., Sheridan, C. M., Kappelmeyer, U., Akcil, A., Environmentally sustainable acid mine drainage remediation: Research developments with a focus on waste/by-products (2018) Miner. Eng, 126, pp. 207-220. , https://doi.org/10.1016/j.mineng.2017.08.008, Sep. [Online]; Bertassello, L. E., Rao, P. S. C., Park, J., Jawitz, J. W., Botter, G., Stochastic modeling of wetland-groundwater systems (2018) Adv. Water Resour, 112, pp. 214-223. , https://doi.org/10.1016/j.advwatres.2017.12.007, Feb; Skousen, J., Review of Passive Systems for Acid Mine Drainage Treatment (2017) Mine Water Environ, 36 (1), pp. 133-153. , https://doi.org/10.1007/s10230-016-0417-1, Mar. [Online]; Santos Jallath, J. E., Romero, F. M., Iturbe Argüelles, R., Cervantes Macedo, A., Goslinga Arenas, J., Acid drainage neutralization and trace metals removal by a two-step system with carbonated rocks, Estado de Mexico, Mexico (2018) Environ. Earth Sci, 77 (3), p. 86. , https://doi.org/10.1007/s12665-018-7248-2, Feb. [Online]; Forigua Quicasán, D., Fonseca Forero, N., Vasquez, O. Y., Prevención de drenajes ácidos de mina utilizando compost de champiñón como enmienda orgánica (2017) Rev. Colomb. Biotecnol, 19 (1), pp. 92-100. , https://doi.org/10.15446/rev.colomb.biote.v19n1.58904, [Online]; Pérez, N., Schwarz, A., Urrutia, H., Tratamiento del drenaje ácido de minas: estudio de reducción de sulfato en mezclas orgánicas (2017) Tecnol. y Ciencias del Agua, 8 (1), pp. 53-64. , https://doi.org/10.24850/j-tyca-2017-01-04, [Online]; Shimp, J. F., Beneficial effects of plants in the remediation of soil and groundwater contaminated with organic materials (1993) Environ. Sci. Technol, 23 (1), pp. 41-77. , https://doi.org/10.1080/10643389309388441, [Online]; Schnoor, J. L., (1997) Phytoremediation. Ground-Water Remediation Technologies Analysis Center Technology Evaluation Report TE-98-01; Pat-Espadas, A. M., Portales, R. L., Amabilis-Sosa, L. E., Gómez, G., Vidal, G., Review of constructed wetlands for acid mine drainage treatment (2018) Water (Switzerland), 10 (11), pp. 1-25. , https://doi.org/10.3390/w10111685, [Online]; Türker, O. C., Böcük, H., Yakar, A., The phytoremediation ability of a polyculture constructed wetland to treat boron from mine effluent (2013) J. Hazard. Mater, 252, pp. 132-141. , https://doi.org/10.1016/j.jhazmat.2013.02.032, 253, May [Online]; Oertli, J. J., Grgurevic, E., Effect of pH on the Absorption of Boron by Excised Barley Roots (1975) Agron. J, 67 (2), pp. 278-280. , https://doi.org/10.2134/agronj1975.00021962006700020028x, Mar. [Online]; Batty, L. C., Younger, P. L., Growth of Phragmites australis (Cav.) Trin ex. Steudel in mine water treatment wetlands: effects of metal and nutrient uptake (2004) Environ. Pollut, 132 (1), pp. 85-93. , https://doi.org/10.1016/j.envpol.2004.03.022, Nov. [Online]; Leung, H. M., Monitoring and assessment of heavy metal contamination in a constructed wetland in Shaoguan (Guangdong Province, China): bioaccumulation of Pb, Zn, Cu and Cd in aquatic and terrestrial components (2017) Environ. Sci. Pollut. Res, 24 (10), pp. 9079-9088. , https://doi.org/10.1007/s11356-016-6756-4, Apr. [Online]; Eger, P., Wetland Treatment for Trace Metal Removal from Mine Drainage: The Importance of Aerobic and Anaerobic Processes (1994) Water Sci. Technol, 29 (4), pp. 249-256. , https://doi.org/10.2166/wst.1994.0203, Feb. [Online]; Ordonez, A., Loredo, J., Pendas, F., A Successive Alkalinity Producing System (Saps) As Operational Unit in a Hybrid Passive Treatment System for Acid Mine Drainage (1999) Mine, Water Environ. Sevilla, 2, pp. 576-580. , http://mwen.info/docs/imwa_1999/IMWA1999_Ordonez_575.pdf, [Online]. Available; López Pamo, E., Aduvire, O., Barettino, D., Tratamientos pasivos de drenajes ácidos de mina: Estado actual y perspectivas de futuro (2002) Bol. Geol. y Min, 113 (1), pp. 3-21. , http://revistas.igme.es/Boletin/2002/113_1_2002/4-ARTICULOTRATAMIENTOS.pdf, [Online]. Available; Stein, O. R., Borden-Stewart, D. J., Hook, P. B., Jones, W. L., Seasonal influence on sulfate reduction and zinc sequestration in subsurface treatment wetlands (2007) Water Res, 41 (15), pp. 3440-3448. , https://doi.org/10.1016/j.watres.2007.04.023, Aug. [Online]; Dufresne, K., Neculita, C., Brisson, J., Genty, T., Metal Retention Mechanisms in Pilot-Scale Constructed Wetlands Receiving Acid Mine Drainage (2015) 10th Int. Conf. Acid Rock Drain. IMWA Annu. Conf, pp. 1-6. , https://www.imwa.info/docs/imwa_2015/IMWA2015_Dufresne_145.pdf, Available; Brisson, J., Chazarenc, F., Maximizing pollutant removal in constructed wetlands: Should we pay more attention to macrophyte species selection? (2009) Sci. Total Environ, 407 (13), pp. 3923-3930. , https://doi.org/10.1016/j.scitotenv.2008.05.047, Jun. [Online]; Min, X., Chai, L., Zhang, C., Takasaki, Y., Okura, T., Control of metal toxicity, effluent COD and regeneration of gel beads by immobilized sulfate-reducing bacteria (2008) Chemosphere, 72 (7), pp. 1086-1091. , https://doi.org/10.1016/j.chemosphere.2008.04.001, [Online]; He, H., Veneklaas, E. J., Kuo, J., Lambers, H., Physiological and ecological significance of biomineralization in plants (2014) Trends Plant Sci, 19 (3), pp. 166-174. , https://doi.org/10.1016/j.tplants.2013.11.002, Mar. [Online]; Tejada-Tovar, C., Villabona-Ortiz, Á., Garcés-Jaraba, L., Adsorción de metales pesados en aguas residuales usando materiales de origen biológico Adsorption of heavy metals in waste water using biological materials (2015) Tecnológicas, 18 (34), pp. 123-7799. , https://docplayer.es/amp/23411784-Adsorcion-de-metales-pesados-en-aguas-residuales-usando-materiales-de-origen-biologico.html, Available; Johnson, D. B., Hallberg, K. B., Acid mine drainage remediation options: A review (2005) Sci. Total Environ, 338 (1-2), pp. 3-14. , https://doi.org/10.1016/j.scitotenv.2004.09.002, SPEC. ISS., [Online]; Neculita, C.-M., Zagury, G. J., Bussière, B., Passive Treatment of Acid Mine Drainage in Bioreactors using Sulfate-Reducing Bacteria (2007) J. Environ. Qual, 36 (1), pp. 1-16. , https://doi.org/10.2134/jeq2006.0066, Jan. [Online]; Uçar, D., Sequential Precipitation of Heavy Metals Using Sulfide-Laden Bioreactor Effluent in a pH Controlled System (2017) Miner. Process. Extr. Metall. Rev, 38 (3), pp. 162-167. , https://doi.org/10.1080/08827508.2017.1281131, May [Online]; Magowo, W. E., Sheridan, C., Rumbold, K., Global Co-occurrence of Acid Mine Drainage and Organic Rich Industrial and Domestic Effluent: Biological sulfate reduction as a co-treatment-option (2020) J. Water Process Eng, 38, p. 101650. , https://doi.org/10.1016/j.jwpe.2020.101650, Dec. [Online]; Vasquez, Y., Escobar, M. C., Neculita, C. M., Arbeli, Z., Roldan, F., Biochemical passive reactors for treatment of acid mine drainage: Effect of hydraulic retention time on changes in efficiency, composition of reactive mixture, and microbial activity (2016) Chemosphere, 153, pp. 244-253. , https://doi.org/10.1016/j.chemosphere.2016.03.052, Jun. [Online]; Kepler, D., McCleary, E., Passive aluminum treatment successes (1997) Proc. 18th West Virginia Surf. Mine Drain. Task Force Symp; Rose, A. W., Long-term performance of vertical flow ponds-An update (2006) 7th Int. Conf. Acid Rock Drain. 2006, ICARD-Also Serves as 23rd Annu. Meet. Am. Soc. Min. Reclam, 2, pp. 1704-1716. , https://doi.org/10.21000/jasmr06021704, [Online]; Neculia, C., Zagury, G. J., Bussière, B., Passive treatment of acid mine drainage in bioreactors using sulfate-reducing bacteria (2007) J. Environ. Qual, 36, pp. 1-16. , https://doi.org/10.2134/jeq2006-0066; Demchak, J., Morrow, T., Skousen, J., Treatment of acid mine drainage by four vertical flow wetlands in Pennsylvania (2001) Geochemistry Explor. Environ. Anal, 1 (1), pp. 71-80. , https://doi.org/10.1144/geochem.1.1.71, [Online]; Sobolewski, A., Metal species indicate the potential of constructed wetlands for long-term treatment of metal mine drainage (1996) Ecol. Eng, 6 (4), pp. 259-271. , https://doi.org/10.1016/0925-8574(95)00062-3, Jun. [Online]; Younger, P. L., The longevity of minewater pollution: a basis for decision-making (1997) Sci. Total Environ, 194, pp. 457-466. , https://doi.org/10.1016/S0048-9697(96)05383-1, 195, Feb. [Online]; Younger, P. L., Design, construcion and initial operation of full-scale compost-based passive systems for treatment of coal mine drainage and spoil leachate in the UK (1998) IMWA Symp. Johannesbg, pp. 413-424; Ahmad Farid, M. A., A holistic treatment system for palm oil mill effluent by incorporating the anaerobic-aerobic-wetland sequential system and a convective sludge dryer (2019) Chem. Eng. J, 369, pp. 195-204. , https://doi.org/10.1016/j.cej.2019.03.033, March, [Online]; Chen, Y., Wen, Y., Zhou, Q., Huang, J., Vymazal, J., Kuschk, P., Sulfate removal and sulfur transformation in constructed wetlands: The roles of filling material and plant biomass (2016) Water Res, 102, pp. 572-581. , https://doi.org/10.1016/j.watres.2016.07.001, Oct. [Online]; Hao, O. J., Chen, J. M., Huang, L., Buglass, R. L., Sulfate‐reducing bacteria (1996) Crit. Rev. Environ. Sci. Technol, 26 (2), pp. 155-187. , https://doi.org/10.1080/10643389609388489, May [Online]; Gyure, R., Microbial sulfate reduction in acidic (pH 3) strip-mine lakes (1990) FEMS Microbiol. Lett, 73 (3), pp. 193-201. , https://doi.org/10.1016/0378-1097(90)90730-E, Apr. [Online]; Fortin, D., Beveridge, T. J., Microbial sulfate reduction within sulfidic mine tailings: Formation of diagenetic Fe sulfides (1997) Geomicrobiol. J, 14 (1), pp. 1-21. , https://doi.org/10.1080/01490459709378030, Jan. [Online]; Oncel, M. S., Muhcu, A., Demirbas, E., Kobya, M., A comparative study of chemical precipitation and electrocoagulation for treatment of coal acid drainage wastewater (2013) J. Environ. Chem. Eng, 1 (4), pp. 989-995. , https://doi.org/10.1016/j.jece.2013.08.008, Dec. [Online]; Kushkevych, I., Kováč, J., Vítězová, M., Vítěz, T., Bartoš, M., The diversity of sulfate-reducing bacteria in the seven bioreactors (2018) Arch. Microbiol, 200 (6), pp. 945-950. , https://doi.org/10.1007/s00203-018-1510-6, Aug. [Online]; Magowo, W. E., Sheridan, C., Rumbold, K., Bioremediation of acid mine drainage using Fischer-Tropsch waste water as a feedstock for dissimilatory sulfate reduction (2020) J. Water Process Eng, 35, p. 101229. , https://doi.org/10.1016/j.jwpe.2020.101229, Jun. [Online]; Denis, L., Grzeskowiak, H., Trias, D., Delaux, D., Accelerated Life Testing (2017) Reliability of High-Power Mechatronic Systems, 2, pp. 1-56. , Elsevier; Bwapwa, J. K., Jaiyeola, A. T., Chetty, R., Bioremediation of acid mine drainage using algae strains: A review (2017) South African J. Chem. Eng, 24, pp. 62-70. , https://doi.org/10.1016/j.sajce.2017.06.005, June, [Online]; Singh, S., Chakraborty, S., Performance of organic substrate amended constructed wetland treating acid mine drainage (AMD) of North-Eastern India (2020) J. Hazard. Mater, 397, p. 122719. , https://doi.org/10.1016/j.jhazmat.2020.122719, Oct. [Online]; Vasquez, Y., Effect of hydraulic retention time on microbial community in biochemical passive reactors during treatment of acid mine drainage (2017) Bioresour. Technol, 247, pp. 624-632. , https://doi.org/10.1016/j.biortech.2017.09.144, Jan. [Online]; Barreto, C. M., Sidestream superoxygenation for wastewater treatment: Oxygen transfer in clean water and mixed liquor (2018) J. Environ. Manage, 219, pp. 125-137. , https://doi.org/10.1016/j.jenvman.2018.04.035, [Online]; Torres, A., Quintero, J., Atehortúa, L., Determination of the specific oxygen uptake rate in microorganisms including electrode time response (2018) Rev. Fac. Ing. Univ. Antioquia, 43, pp. 33-41. , https://revistas.udea.edu.co/index.php/ingenieria/article/view/18626, Available; Rojas Romero, J. A., (2010) Tratamiento de aguas residuales. Teoría y principios de diseño, , 3rd ed. Bogotá. Colombia: Escuela Colombiana de Ingeniería; Marchand, L., Mench, M., Jacob, D. L., Otte, M. L., Metal and metalloid removal in constructed wetlands, with emphasis on the importance of plants and standardized measurements: A review (2010) Environ. Pollut, 158 (12), pp. 3447-3461. , https://doi.org/10.1016/j.envpol.2010.08.018, Dec. [Online]</t>
  </si>
  <si>
    <t>Blanco-Zuñiga, C.R.; Universidad Pedagógica y Tecnológica de ColombiaColombia; email: cesar.blanco@uptc.edu.co</t>
  </si>
  <si>
    <t>Ing. Univers.</t>
  </si>
  <si>
    <t>2-s2.0-85134165905</t>
  </si>
  <si>
    <t>Poveda-Sotelo Y., Bermúdez-Cella M.A., Gil-Leguizamón P.</t>
  </si>
  <si>
    <t>57798315500;57798083100;56218005400;</t>
  </si>
  <si>
    <t>Evaluation of supervised classification methods for the estimation of spatiotemporal changes in the Merchán and Telecom paramos, Colombia [Evaluación de métodos de clasificación supervisada para la estimación de cambios espacio-temporales de cobertura en los páramos de Merchán y Telecom, Cordillera Oriental de Colombia]</t>
  </si>
  <si>
    <t>Boletin de Geologia</t>
  </si>
  <si>
    <t>https://www.scopus.com/inward/record.uri?eid=2-s2.0-85134070817&amp;doi=10.18273%2frevbol.v44n2-2022002&amp;partnerID=40&amp;md5=258021eec954c4e9c54b532403bb1b61</t>
  </si>
  <si>
    <t>Maestría en Ciencias de la Tierra, Universidad Pedagógica y Tecnológica de Colombia, Sogamoso, Colombia; Escuela de Ingeniería Geológica, Universidad Pedagógica y Tecnológica de Colombia, Sogamoso, Colombia; Escuela de Ingeniería Ambiental, Universidad Pedagógica y Tecnológica de Colombia, Tunja, Colombia</t>
  </si>
  <si>
    <t>Poveda-Sotelo, Y., Maestría en Ciencias de la Tierra, Universidad Pedagógica y Tecnológica de Colombia, Sogamoso, Colombia; Bermúdez-Cella, M.A., Escuela de Ingeniería Geológica, Universidad Pedagógica y Tecnológica de Colombia, Sogamoso, Colombia; Gil-Leguizamón, P., Escuela de Ingeniería Ambiental, Universidad Pedagógica y Tecnológica de Colombia, Tunja, Colombia</t>
  </si>
  <si>
    <t>In recent years there has been significant progress in Geographic Information Systems (GIS) and the development of supervised classification methods, but until now these had not been used to accurately calculate the surface extent of paramos in sectors of the Eastern Cordillera of Colombia. Furthermore, these methods had not been used to estimate the distance between the boundaries of these moors and major geological features. For this reason, in the present research, five different supervised classification methods were evaluated, with the purpose of determining which of them has a higher resolution in order to reproduce the extension and surface distribution of the paramos of Merchán and Telecom in Saboyá, Boyacá, belonging to the Merchán - Iguaque complex in the Eastern Cordillera of Colombia. For this purpose, satellite images of the study area by Landsat 8 for the year 2018 were chosen and classified into some algorithms based on Machine Learning (SVM, RF, DT, BC and ANN). To establish the accuracy and reliability of the classification data of the terrain features, the Kappa Index was calculated, which allowed determining that the most accurate method for this case was Random Forest. In addition, since the boundaries of the moorlands coincide with geological structures or contacts between formations, the distance between the edge of the moorlands and these features was estimated. The results obtained in this research are considered as an important input for future multitemporal analysis as in landscape metrics, which serve as a tool for the development and decision making in the management of natural resources, biodiversity, provision of ecosystem services, as in the land use planning for the municipality of Saboyá-Boyacá. © 2022. Boletin de Geologia. All Rights Reserved.</t>
  </si>
  <si>
    <t>Kappa index; Machine learning; Paramo; Remote sensing; Supervised classification</t>
  </si>
  <si>
    <t>Aly, A.A., Al-Omran, A.M., Sallam, A.S., Al-Wabel, M.I., Al-Shayaa, M.S., Vegetation cover change detection and assessment in arid environment using multi-temporal remote sensing images and ecosystem management approach (2016) Solid Earth, 7 (2), pp. 713-725. , https://doi.org/10.5194/se-7-713-2016; Arellano, H., Rangel, J.O., Patrones en la distribución de la vegetación en áreas de páramo de Colombia: heterogeneidad y dependencia espacial (2008) Caldasia, 30 (2), pp. 355-411; Ayala-Izurieta, J., Márquez, C., García, V., Recalde-Moreno, C., Rodríguez-Llerena, M., Damián-Carrión, D., Land Cover Classification in an Ecuadorian Mountain Geosystem Using a Random Forest Classifier, Spectral Vegetation Indices, and Ancillary Geographic Data (2017) Geosciences, 7 (2). , https://doi.org/10.3390/geosciences7020034; Becerra-Serial, R.M., Czibener, D., Nabel, P.E., Teledetección y redes neuronales aplicadas al mapeo de coberturas del suelo de la cuenca del Matanza-Riachuelo, Buenos Aires, Argentina (2009) Revista Geográfica, 146, pp. 125-152; Belgiu, M., Drăguţ, L., Random forest in remote sensing: A review of applications and future directions (2016) ISPRS Journal of Photogrammetry and Remote Sensing, 114, pp. 24-31. , https://doi.org/10.1016/j.isprsjprs.2016.01.011; Borràs, J., Delegido, J., Pezzola, A., Pereira, M., Morassi, G., Camps-Valls, G., Clasificación de usos del suelo a partir de imágenes Sentinel-2 (2017) Revista de Teledetección, 48, pp. 55-66. , https://doi.org/10.4995/raet.2017.7133; Bravo-Morales, N.F., (2020) Teledetección y procesamiento de imágenes satelitales, , GEOMATICA AMBIENTAL S.R.L; Cervantes-Canales, J., (2009) Clasificación de grandes conjuntos de datos vía máquinas de vectores soporte y aplicaciones en sistemas biológicos, , Tesis de PhD, Instituto Politécnico Nacional, México; Chuvieco, E., Fundamentos de teledetección espacial (1995) Teledetección ambiental. La observación de la Tierra desde el Espacio, , RIALP, S.A. Chuvieco, E. (2002). Ariel, S.A; Cleef, A.M., Influencia humana en los páramos (2008) Panorama y perspectivas sobre la gestión ambiental de los ecosistemas de páramo: memorias, pp. 26-33. , En: J.P. Castañeda (ed). Procuraduría Delegada para Asunto Ambientales y Agrarios; Cortés-Duque, J., Sarmiento-Pinzón, C., (2013) Visión socioecosistémica de los páramos y la alta montaña colombiana: memorias del proceso de definición de criterios para la delimitación de páramos, , Instituto de Investigación de Recursos Biológicos Alexander von Humboldt; De’Ath, G., Fabricius, K.E., Classification and regression trees: A powerful yet simple technique for ecological data analysis (2000) Ecology, 81 (11), pp. 3178-3192. , https://doi.org/10.1890/0012-9658(2000)081[3178:CARTAP]2.0.CO;2; De León-Mata, G.D., Pinedo-Álvarez, A., Martínez-Guerrero, J.H., Aplicación de sensores remotos en el análisis de la fragmentación del paisaje en Cuchillas de la Zarca, México (2014) Investigaciones Geográficas, 84, pp. 42-53. , https://doi.org/10.14350/rig.36568; Di Somma, A., Ferrari, V., Ramos-de-Las-Heras, N., El uso del suelo y el análisis multitemporal– Modificaciones del tejido urbano en la Provincia de Roma (Italia) (2010) Colóquio Ibérico de Geografia, XII. , Porto, Italia; dos Santos, D.I., Araújo, É., Pagani, P.C., Pagani, C.H., de Araújo, M.E., Negrão, M., Análise multitemporal de uso e ocupação do solo do núcleo inicial do projeto integrado de colonização Paulo de Assis Ribeiro no município de Colorado do Oeste - RO (2015) Caderno de Geografia, 25 (43), pp. 34-51. , https://doi.org/10.5752/p.2318-2962.2015v25n43p34; Espejo, O., (2016) Desarrollo de una metodología para estimación de la deforestación mediante el análisis multitemporal de imágenes multiespectrales en un entorno de análisis basado en objetos geográficos (GEOBIA), , Tesis de Maestría. Universidad Distrital Francisco José de Caldas, Colombia; Fragoso-Campón, L., Quirós, E., Sentinel Toolbox Application (SNAP) aplicado a la clasificación supervisada de imágenes PNOA (2019) VXIII Congreso de la Asociación Española de Teledetección, , Cáceres, España; Friedl, M.A., Brodley, C.E., Decision tree classification of land cover from remotely sensed data (1997) Remote Sensing of Environment, 61 (3), pp. 399-409. , https://doi.org/10.1016/S0034-4257(97)00049-7; Fuquen, J.A., Osorno, J.F., (2005) Geología de la plancha 190-Chiquinquirá, p. 272. , Inform I 1794, INGEOMINAS; Garavito-Rincón, L.N., Los páramos en Colombia, un ecosistema en riesgo (2015) Ingeniare, 19, pp. 127-136; Gonzáles, L., Rodríguez, J., Prototipo de software para la clasificación de datos mediante el método bayesiano TAN - “udTAN (2006) Vínculos, 3 (1), pp. 35-54; González, A.R., Nuevas percepciones del territorio, espacio social y el tiempo. Un estudio desde los conceptos tradicionales (o clásicos) hasta su concepción en el siglo XXI (Facultad de Humanidades, Artes y Ciencias Sociales) (2011), VI Jornadas de Jóvenes Investigadores. Buenos Aires. Argentina; (2010) Leyenda Nacional de Coberturas de la Tierra. Metodología CORINE Land Cover adaptada para Colombia Escala 1:100.000, , Instituto de Hidrología, Meteorología y Estudios Ambientales. Bogotá; (2011) Aportes del IDEAM para la definición y aplicación de la Estructura Ecológica Nacional. Proceso metodológico y aplicación para la definición de la estructura ecológica nacional: énfasis en servicios ecosistémicos Escala 1:500.000, , Bogotá. Instituto de Hidrología, Meteorología y Estudios Ambientales; Jaramillo, L.V., Antunes, A.F., Detección de cambios en la cobertura vegetal mediante interpretación de imágenes Landsat por redes neuronales artificiales (RNA). Caso de estudio: Región Amazónica Ecuatoriana (2018) Revista de Teledetección, 51, pp. 33-46. , https://doi.org/10.4995/raet.2018.8995; Lanzarini, L.C., Redes Neuronales Artificiales. Un Enfoque Práctico (2004) Journal of Computer Science and Technology, 4 (2), pp. 122-123; Llactayo, W., Salcedo, K., Victoria, E., (2014) Protocolo de evaluación de la exactitud temática del mapa de deforestación, , Dirección General de Ordenamiento Territorial (DGOT). Perú; Llanos-Hernández, L., El concepto del territorio y la investigación en las ciencias sociales (2010) Agricultura, Sociedad y Desarrollo, 7 (3), pp. 207-220; Lozada, J.R., Situación actual y perspectivas del manejo de recursos forestales en Venezuela (2007) Revista Forestal Venezolana, 51 (1), pp. 195-218; Manna, S., Mondal, P.P., Mukhopadhyay, A., Akhand, A., Hazra, S., Mitra, D., Vegetation cover change analysis from multi-temporal satellite data in Jharkhali Island, Sundarbans, India (2013) Indian Journal of Geo-Marine Sciences, 42 (3), pp. 331-342; Morales-Rivas, M., Otero-García, J., Van-der-Hammen, T., Torres-Perdigón, A., Cadena-Vargas, C., Pedraza-Peñaloza, C., Rodríguez-Eraso, N., Cárdenas-Valencia, L., (2007) Atlas de páramos de Colombia, , Instituto de Investigación de Recursos Biológicos Alexander von Humboldt; Moya-Fuero, A., (2012) Detección automática de nuevas construcciones a partir de ortofotos del Instituto Cartográfico Valenciano, , Tesis de Maestría, Universidad de Valencia, España; Muñoz-Guerrero, D., Rodríguez-Montenegro, M., Romero-Hernández, M., Análisis multitemporal de cambios de uso del suelo y coberturas, en la microcuenca las minas, corregimiento de la laguna, Municipio de Pasto, departamento de Nariño (2009) Revista de Ciencias Agrícolas, 26 (1), pp. 11-24; Murillo-Castañeda, R.A., (2018) Implementación del método máquinas de soporte vectorial en bases de datos espaciales para análisis de clasificación supervisada en imágenes de sensores remotos, , Tesis de Maestría, Universidad Distrital Francisco José de Caldas, Bogotá, Colombia; Padrón, J., Tendencias epistemológicas de la investigación científica en el siglo XXI (2007) Cinta de Moebio, 28, pp. 1-28; Paredes-Inilupu, D., (2020) Data Science con R. Análisis de datos y algoritmos de predicción conR, , Editorial Leanpub; Parra, F., (2017) Estadística y Machine Learning con R: Ejercicios resueltos con R, , Editorial Académica Española; Riquelme, J.C., Ruiz, R., Gilbert, K., Minería de datos: conceptos y tendencias (2006) Inteligencia Artificial, 10 (29), pp. 11-18; Sánchez-Pellicer, T., Martín-Alcón, S., Tomé-Morán, J.L., Navarro, J.A., Fernández-Landa, A., ForestCO2: monitoring of carbon sinks in Pinus halepensis stands in the Region of Murcia (2017) XVII Congreso Nacional de Teledetección, , Valencia, España; Sanhouse-García, A.J., Bustos-Terrones, Y., Rangel-Peraza, J.G., Quevedo-Castro, A., Pacheco, C., Multi-temporal analysis for land use and land cover changes in an agricultural region using open source tools (2017) Remote Sensing Applications: Society and Environment, 8, pp. 278-290. , https://doi.org/10.1016/j.rsase.2016.11.002; Sepúlveda-Varas, A., Saavedra-Briones, P., Esse, C., Análisis de cambio de cobertura y uso de suelo en una subcuenca preandina chilena. Herramienta para la sustentabilidad productiva de un territorio (2019) Revista de Geografía Norte Grande, 72, pp. 9-25. , https://doi.org/10.4067/S0718-34022019000100009; Terraza, R., (2004) Significado facial y cartografía geológica de la Arenisca de Chiquinquirá en alrededores de la localidad tipo, , Tesis de Maestría, Universidad Nacional de Colombia, Bogotá, Colombia; Torres, A.M., Peña, E.J., Zúñiga, O., Peña, J.A., Evaluación del impacto de actividades antrópicas en el almacenamiento de carbono en biomasa vegetal en ecosistemas de alta montaña de Colombia (2012) Boletín Científico. Centro de Museos. Museo de Historia Natural, 16 (1), pp. 132-142; Ulloa, C., Rodríguez, E., (1978) Mapa geológico preliminar de la Plancha 170-Vélez, , Publicada en 1984. Escala 1:100.000. INGEOMINAS. Bogotá; Velasco-Linares, P., Ávila, L.A., Manosalva-Moreno, L., Parra, S.L., Caro-Roa, A.M., García, H.F., Cifuentes, Y., Montealegre-Talero, C., Patrones ecológicos en la zona de transición bosque - páramo. Complejo de Páramos Iguaque-Merchán: Transectos en Municipios Arcabuco, Sotaquirá, Cómbita (Boyacá) y Gámbita (Santander) (2015), Instituto de Investigación de Recursos Biológicos Alexander von Humboldt Bosques &amp; Semillas SAS; Willington, E., Nolasco, M., Bocco, M., (2013) Clasificación supervisada de suelos de uso agrícola en la zona central de Córdoba (Argentina): comparación de distintos algoritmos sobre imágenes Landsat, , Congreso Argentino de AgroInformatica, Argentina</t>
  </si>
  <si>
    <t>Poveda-Sotelo, Y.; Maestría en Ciencias de la Tierra, Sogamoso, Colombia; email: yoan.poveda@uptc.edu.co</t>
  </si>
  <si>
    <t>Universidad Industrial de Santander</t>
  </si>
  <si>
    <t>2-s2.0-85134070817</t>
  </si>
  <si>
    <t>Benavides-Guerrero C.E., Caro-Caro L.E., Mariño-Martínez J.E.</t>
  </si>
  <si>
    <t>57797621600;57797621700;57200913791;</t>
  </si>
  <si>
    <t>Towards the elaboration of a hydrogeological model of the Guachiría river basin (Colombia) [Hacia la elaboración de un modelo hidrogeológico de la Cuenca del Río Guachiría (Colombia)]</t>
  </si>
  <si>
    <t>https://www.scopus.com/inward/record.uri?eid=2-s2.0-85134046309&amp;doi=10.18273%2frevbol.v44n2-2022008&amp;partnerID=40&amp;md5=a6f186feb49b4e034606a53cb8eba1ce</t>
  </si>
  <si>
    <t>Escuela de Ingeniería Geológica, Universidad Pedagógica y Tecnológica de Colombia, Sogamoso, Colombia</t>
  </si>
  <si>
    <t>Benavides-Guerrero, C.E., Escuela de Ingeniería Geológica, Universidad Pedagógica y Tecnológica de Colombia, Sogamoso, Colombia; Caro-Caro, L.E., Escuela de Ingeniería Geológica, Universidad Pedagógica y Tecnológica de Colombia, Sogamoso, Colombia; Mariño-Martínez, J.E., Escuela de Ingeniería Geológica, Universidad Pedagógica y Tecnológica de Colombia, Sogamoso, Colombia</t>
  </si>
  <si>
    <t>In recent years, extreme climatic variations have generated obvious effects on natural resources, harming one of the most important: water. A clear example of this is the Guachiría River Basin, located in Colombia, the prolonged dry seasons of the last decade have harmed both the biota and the civilian population, since they depend mainly on this resource. The present study aims to increase the state of the art on hydrometeorological, hydraulic variables and, in general, to understand the hydrogeological conditions of the Guachiría River Basin, this with the purpose of providing information that serves as baseline for the elaboration of a conceptual hydrogeological model (CHM) that helps in decision-making by the entities in charge of water resource management. First, the morphometric and geological conditions of the area were determined, finding that there is a predominance of flat areas with little slope, made up of unconsolidated deposits, extensive flood zones and wind influence on fluvial deposits. Then, starting from a mass balance, a water balance was carried out in the basin to quantify the resource in the area; In turn, favorable recharge zones were identified in several sectors: one part towards the foothills in the area of high slopes and another towards the deposits with eolian influence, made up of sandy and sandy loam soils that overlie the Guayabo Formation. In addition, through pumping tests, different hydraulic parameters were determined, and the aquifers were classified as free, confined, and semi-confined, linked to the lithology of the area, due to their extension and lithological complexity. Finally, a hydrogeochemical sampling was carried out, where mostly relatively young waters, with little transport and high iron content were found. © 2022. Boletin de Geologia. All Rights Reserved.</t>
  </si>
  <si>
    <t>Eastern plains; Hydrogeochemistry; Hydrogeology; Hydrology; Orinoquía.; Potential recharge</t>
  </si>
  <si>
    <t>Benavides-Guerrero, C.E., Caro-Caro, L.E., Mariño-Martínez, J.E., Determinación del comportamiento hidráulico de los acuíferos del norte de la Orinoquia, Colombia (2021) Ciencia e Ingeniería Neogranadina, 31 (1), pp. 109-127. , https://doi.org/10.18359/rcin.4680; Budyko, M.J., (1974) Climate and life, , Academic Press; (2016) Proyecto deinvestigación: modelo hidrogeológico conceptual e isotópico de la sabana estacional de Paz de Ariporo, Casanare, Colombia, , COLCIENCIAS-UPTC Contrato 005 de 2016. Proyecto; (2016) Plan de manejo ambiental de acuífero sistema hidrogeológico golfo de Urabá, , Medellín; Custodio, E., Llamas, M.R., (1976) Hidrología subterránea, , Tomo l. Omega Barcelona; (2005) Estudio de Impacto Ambiental Bloque Guachiría-Caño Chiquito, , EIA Solana Petroleum. Proyecto. Centro de Información de Corporinoquía; Galvis, N., Suárez, M., (1984) Geología de la cuenca de los Llanos Orientales de Colombia. Informe de Progreso N°1, , Bogotá: INGEOMINAS; Guzmán, M., Donde se entrelazan dos mundos.Más de una razón (2015) Revista Semana, pp. 34-35; Hargreaves, G.H., Samani, Z.A., Reference Crop Evapotranspiration from Temperature (1985) Applied Engineering in Agriculture, 1 (2), pp. 96-99. , https://doi.org/10.13031/2013.26773; (2014) Estudio Nacional del Agua, , Instituto de Hidrología, Meteorología y Estudios Ambientales. Bogotá; (2010) Leyenda Nacional de Coberturas de la Tierra. Metodología CORINE Land Cover adaptada para Colombia Escala 1:100.000, , Instituto de Hidrología, Meteorología y Estudios Ambientales. Bogotá; (2014) Estudio General de Suelos y Zonificación de Tierras, Departamento de Casanare, , Instituto Geográfico Agustín Codazzi; Musy, A., Cours “Hydrologie générale”. Ecole Polytechnique Fédérale de Lausanne (2001), (2). , IATE/HYDRAM. Laboratoire d'Hydrologie et Aménagement. Capítulo 1, y 3; (2011) Revisión y ajuste al Plan Básico de Ordenamiento Territorial de Paz de Ariporo Casanare, , Alcaldía municipal de Paz de Ariporo, Acuerdo 500.02-006 de 2011; Poveda-Jaramillo, G., Mesa-Sánchez, O.J., Vélez-Upegui, J.I., (2020) Hidrología de Colombia. El ciclo del agua en una geografía compleja, , Universidad Nacional de Colombia; Sarmiento, G., Monasterio, M., Silva, J., Reconocimiento ecológico de los Llanos Occidentales (1971) Acta Científica Venezolana, 22, pp. 52-61; Schosinsky, G., Losilla, M., Modelo analítico para determinar la infiltración con base en la lluvia mensual (2000) Revista Geológica de América Central, 23, pp. 43-55; (2018) Modelo hidrogeológico conceptual del municipio de Yopal, departamento de Casanare, , Grupo de Exploración de Aguas Subterráneas; (2012) Memoria Geológica de la Plancha196 Río Guachiría, escala 1:100.000, , Servicio Geológico Colombiano</t>
  </si>
  <si>
    <t>Caro-Caro, L.E.; Escuela de Ingeniería Geológica, Colombia; email: carlos.benavides01@uptc.edu.co</t>
  </si>
  <si>
    <t>2-s2.0-85134046309</t>
  </si>
  <si>
    <t>Torres-Rosales G., Labbé M.I., Valenzuela J.C.</t>
  </si>
  <si>
    <t>57796365000;57796184800;57796633100;</t>
  </si>
  <si>
    <t>The role of personal narratives in the context of labour training programs: formative trajectories of INFOCAP Human Development facilitators [El rol de las narrativas personales en el contexto de programas de capacitación laboral: trayectorias formativas de facilitadores de Desarrollo Humano de INFOCAP]</t>
  </si>
  <si>
    <t>Estudios Pedagogicos</t>
  </si>
  <si>
    <t>10.4067/S0718-07052022000100051</t>
  </si>
  <si>
    <t>https://www.scopus.com/inward/record.uri?eid=2-s2.0-85133971230&amp;doi=10.4067%2fS0718-07052022000100051&amp;partnerID=40&amp;md5=107d089ff5fc55fcf3f096631db18c3c</t>
  </si>
  <si>
    <t>Centro de Estudios, Prácticas e Innovación INFOCAP (CEPI INFOCAP), Chile</t>
  </si>
  <si>
    <t>Torres-Rosales, G., Centro de Estudios, Prácticas e Innovación INFOCAP (CEPI INFOCAP), Chile; Labbé, M.I., Centro de Estudios, Prácticas e Innovación INFOCAP (CEPI INFOCAP), Chile; Valenzuela, J.C., Centro de Estudios, Prácticas e Innovación INFOCAP (CEPI INFOCAP), Chile</t>
  </si>
  <si>
    <t>In Chile, the labour training programs directed to the first socioeconomic quintiles often serve as a bridge for the formation of young and adult people who, for diverse reasons, couldn’t finish their formal studies and/or face job insecurity. The present study focuses on graduates of INFOCAP training programs who play the role of facilitators in the Human Development module at the same institution. Through the use of qualitative methodology, their educational trajectories are approached from their experiences related to formal education, job training and the performance of the teaching role. The results show the importance of the previous and current conditions in the educational process, the dynamism of the definitions in the training space and how personal resignifications can respond to institutional practices. © 2022. Estudios Pedagogicos. All Rights Reserved.</t>
  </si>
  <si>
    <t>Identity; Narrative approach; Popular education; Youth and adult education</t>
  </si>
  <si>
    <t>Acero Pereira, C., Hidalgo, M., Jiménez, L., Procesos de aprendizaje adulto en contextos de educación no formal (2018) Universitas Psychologica, 17 (2), pp. 1-10. , https://doi.org/10.11144/Javeriana.upsy.17-2.paac; Alhadeff-Jones, M., Complexity, methodology and method: Crafting a critical process of research (2013) Complicity: An international journal of complexity and education, 10 (1), pp. 19-44. , https://doi.org/10.29173/cmplct20398, (/2); Bellei, C., Diseño de investigación social en educación (2014) Investigación social. Lenguajes del diseño, pp. 113-149. , En Canales, M. (Eds), Santiago de Chile: LOM Ediciones; Bruner, J., (1986) Realidad mental y mundos posibles. Los actos de la imaginación que dan sentido a la experiencia, , Barcelona: Gedisa; Life as narrative (1987) Social Research, 54 (1), pp. 11-32; (1997) La educación, puerta de la cultura, , Madrid: Visor; Brito, Z., Educación popular, cultura e identidad desde la perspectiva de Paulo Freire (2008) Paulo Freire. Contribuciones para la pedagogía, pp. 29-45. , En Godotti, M., Gómez, M., Mafra, J. y Fernandes, A. (Ed), Buenos Aires: CLACSO; Camargo, U., Hederich, C., Jerome Bruner: Dos teorías cognitivas, dos formas de significar, dos enfoques para la enseñanza de la ciencia (2010) Psicogente, 13 (24), pp. 329-346. , https://www.redalyc.org/articulo.oa?id=4975/497552357008, Recuperado de; Charmaz, K., (2006) Constructing grounded theory: A practical guide through qualitative analysis, , London: Sage publications; (2018) Formación de competencias para el trabajo en Chile (Informe), , https://www.comisiondeproductividad.cl/wp-content/uploads/2018/03/Informe_Formacion-de_Competencias-para_el_Trabajo.pdf, Comisión Nacional de Productividad, CNP Recuperado de; Davis, B., Sumara, D., (2006) Complexity and education: Inquiries into learning, teaching and research, , Philadelphia: Psychology Press; (2017) Informe final de evaluación. Programa capacitación en oficios, , http://www.dipres.gob.cl/597/articles-163125_informe_final.pdf, Recuperado de; Flick, U., (2015) El diseño de investigación cualitativa, , Madrid: Morata. Freire, P. (1992). Pedagogía del oprimido. Madrid: Siglo XXI; García, N., La educación popular y las acciones pedagógicas vinculantes (2014) Educere, 18 (60), pp. 257-267; García Huidobro, J. E., Martinic, S., (1985) Las instituciones privadas y la educación popular. El caso chileno, , Santiago de Chile: CIDE; García Huidobro, J. E., Los cambios en las concepciones actuales de la educación de adultos (1994) En UNESCO/UNICEF: La educación de adultos en América Latina ante el próximo siglo, , Santiago de Chile: UNESCO/UNICEF; Guitart, M., Nadal, J., Vila, I., La construcción narrativa de la identidad en un contexto educativo intercultural (2010) Revista de Filosofía y Psicología, 5 (21), pp. 77-94; (2020) Formación y capacitación, , https://www.infocap.cl/formacion-para-el-trabajo/, Santiago de Chile. Recuperado de; Merriam, S., Bierema, L., (2014) Adult learning: linking theory and practice, , San Francisco, United States: Jossey-Bass; (2018) Situación de pobreza, , Síntesis de resultados. Agosto de 2018; http://observatorio.ministeriodesarrollosocial.gob.cl, Recuperado de; Ocampo, J., Paulo Freire y la pedagogía del oprimido (2008) Revista Historia de la Educación Latinoamericana, (10), pp. 57-72. , https://revistas.uptc.edu.co/index.php/historia_educacion_latinamerican/article/view/1486, Recuperado de; (2011) Informe final, comisión revisora del sistema de capacitación e intermediación laboral, , http://www.cl.undp.org/content/dam/chile/docs/pobreza/undp_cl_pobreza_InformeFinal_211011_doc2.pdf, Programa de las Naciones Unidas para el Desarrollo, PNUD Recuperado de; Román, M., Álvarez, F., Educación de adultos: El modelo de formación de Infocap (2011), http://mailing.uahurtado.cl/cuaderno_educacion_36/pdf/articulo36.pdf, Cuadernos de Educación. Recuperado de; Empleo, SENCE, (2014) Principales razones de la deserción de alumnos del programa formación para el trabajo año 2013, , http://www.sence.cl/601/articles-3107_archivo_01.pdf, Servicio Nacional de Capacitación y Recuperado de; Solís, C., Castillo, R., Undurraga, T., Un marco de cualificaciones para la capacitación y la certificación de competencias laborales en Chile (2013) Calidad en la educación, (39), pp. 237-269. , http://dx.doi.org/10.4067/S0718-45652013000200009; Strauss, A., Corbin, J., Bases de la investigación cualitativa (2002) Técnicas y procedimientos para desarrollar la teoría fundamentada, , Medellín: Universidad de Antioquia; Undurraga, C., (2007) ¿Cómo aprenden los adultos?: Una mirada psicoeducativa, , Santiago de Chile: Ediciones Universidad Católica de Chile; Valdés, A., Castro-Serrano, B., Experiencias clave de aprendizaje de adultos chilenos en situación de vulnerabilidad: el reconocimiento como motivo de aprendizaje (2017) Estudios Pedagógicos, 43 (3), pp. 325-339. , http://dx.doi.org/10.4067/S0718-07052017000300019; Valdés, A., Castro-Serrano, B., Experiencias clave de aprendizaje de adultos chilenos en situación de vulnerabilidad: el reconocimiento como motivo de aprendizaje (2017) Estudios Pedagógicos, 43 (3), pp. 325-339. , http://dx.doi.org/10.4067/S0718-07052017000300019; (2018) The future of Jobs report, , Geneva: World Economic Forum</t>
  </si>
  <si>
    <t>Torres-Rosales, G.; Centro de Estudios, Chile; email: gtorres@infocap.cl</t>
  </si>
  <si>
    <t>Universidad Austral de Chile</t>
  </si>
  <si>
    <t>0716050X</t>
  </si>
  <si>
    <t>Estud. Pedagog.</t>
  </si>
  <si>
    <t>2-s2.0-85133971230</t>
  </si>
  <si>
    <t>Guerra J.J.</t>
  </si>
  <si>
    <t>57205079787;</t>
  </si>
  <si>
    <t>The Future of Ruins: Remains, Industrial Suburbs and Temporary Uncertainties in Sergio Chejfec’s Boca de lobo [O futuro das ruínas: restos, subúrbios industriais e incertezas temporárias em Boca de lobo por Sergio Chejfec] [El futuro de las ruinas: restos, suburbios industriales e incertidumbres temporales en Boca de lobo de Sergio Chejfec]</t>
  </si>
  <si>
    <t>e14142</t>
  </si>
  <si>
    <t>10.19053/01218530.n44.2022.14142</t>
  </si>
  <si>
    <t>https://www.scopus.com/inward/record.uri?eid=2-s2.0-85133715902&amp;doi=10.19053%2f01218530.n44.2022.14142&amp;partnerID=40&amp;md5=04edb55b2fab0cc46b16b85d79aaeb10</t>
  </si>
  <si>
    <t>Universidad Nacional del Sur – CONICET, Argentina</t>
  </si>
  <si>
    <t>Guerra, J.J., Universidad Nacional del Sur – CONICET, Argentina</t>
  </si>
  <si>
    <t>Analyzing the “geographical anatomy of industrial urbanism” (Soja) in Boca de lobo, by Sergio Chejfec, is carried out on this paper to understand this novel. In this piece is performed a suburb as an organized place close to the factory. It is proposed that the alignment of the industrial landscape in this work depends on an imaginary of the ruins. Likewise, the multiplication of ostensible signs of deterioration is combined, particularly, with a dialogue with strong discursive traditions, mainly Marxism and social realism. It is maintained that dealing with the ruins in Boca de lobo tends to articulate material vestiges with textual fragments, and in this sense the construction of urban space is carried out both in relation to what is seen (material ruins) and what is read (textual quotes). In short, the novel builds an urban space whose referential indices refer to different historical times and textual traditions through a montage of heterochronic temporalities. © 2022, Universidad Pedagogica y Tecnologica de Colombia. All rights reserved.</t>
  </si>
  <si>
    <t>Argentine literature; industrial landscape; ruin; Sergio Chejfec; urban space</t>
  </si>
  <si>
    <t>Alcívar Bellolio, Daniela, Una mínima inclinación. Imagen de autor en los ensayos de Sergio Chejfec (2012) Iberoamericana, 12 (48), pp. 61-78. , https://journals.iai.spk-berlin.de/index.php/iberoamericana/article/view/445/130, Web. 15 de marzo de 2022; Alcívar Bellolio, Daniela, Experiencias ajenas, recorridos compartidos: Boca de lobo de Sergio Chejfec (2017) Zama, 9, pp. 71-89. , http://revistascientificas.filo.uba.ar/index.php/zama/article/view/4054, Web. 15 de marzo de 2022; Aliata, Fernando, Silvestri, Graciela, (1994) El paisaje en el arte y las ciencias humanas, , Buenos Aires, Centro Editor de América Latina, Impreso; Badiou, Alain, (2005) El siglo, , Traducido por Horacio Pons. Buenos Aires, Manantial, Impreso; Benjamin, Walter, Tesis de filosofía de la historia (1989) Discursos interrumpidos I. Filosofía del arte y de la historia, pp. 175-191. , Traducido por Jesús Aguirre. Buenos Aires, Taurus, Impreso; Benjamin, Walter, El París del Segundo Imperio en Baudelaire (2008) Obras, libro I, 2, pp. 89-203. , Traducido por Alfredo Brotons Muñoz. Madrid, Abada Editores, Impreso; Benjamin, Walter, Origen del Trauerspiel alemán, , Traducido por Carola Pivetta. Buenos Aires, Gorla. Impreso; Berg, Edgardo, Signo de extranjería (mínimas sobre Sergio Chejfec) (2003) CELEHIS. Revista del Centro de Letras Hispanoamericanas, (15), pp. 87-107. , Impreso; Berg, Edgardo, Una poética de la indeterminación: notas sobre Sergio Chejfec (2007) Crítica Cultural, 2 (2). , s/p. Impreso; Berg, Edgardo, Una fabril maquinación. Restos y ruinas de una comunidad en Boca de Lobo, de Sergio Chejfec (2018) Alea. Estudios neolatinos, 20 (2), pp. 147-164. , https://doi.org/10.1590/1517-106x/2018202147164, Web. 15 de marzo de 2022; Berg, Edgardo, La ficción proletaria. Un desprendimiento del itinerario urbano (2020) Signo de extranjería. Memoria, paseo y experiencia narrativa en Sergio Chejfec, pp. 169-184. , Buenos Aires, Corregidor, Impreso; Buck-Morss, Susan, (2001) Dialéctica de la mirada. Walter Benjamin y el proyecto de los Pasajes, , Traducido por Nora Rabotnikof. Madrid, Editorial Antonio Machado, Impreso; Buttes, Stephen, De sombras y umbrales: ansiedad geográfica en Boca de lobo (2012) Sergio Chejfec: Trayectorias de una escritura, pp. 147-161. , Editado por Dianna Niebylski, Pittsburgh, Instituto Internacional de Literatura Iberoamericana, Impreso; Cabezas, Oscar Ariel, (2013) Postsoberanía: literatura, política y trabajo, , Lanús, Ediciones La Cebra, Impreso; Catalin, Mariana, ¿Para qué sirve el realismo hoy (en el final)? Sobre Boca de lobo y Rabia (2013) Cuadernos del Seminario 2: Realismos, cuestiones críticas, pp. 121-152. , Editado por Sandra Contreras, Rosario, Centro de Estudios de Literatura Argentina y Humanidades y Artes Ediciones, Impreso; Catalin, Mariana, (2014) Con los ojos bien abiertos, , https://www.academia.edu/41435324/Con_los_ojos_bien_abiertos_Bizzio_Chejfec_Babel, Bizzio, Chejfec y Babel. Rosario, Fiesta E-diciones, Web. 10 de marzo de 2022; Chejfec, Sergio, (2009) Boca de lobo, , Buenos Aires, Alfaguara, Impreso; Contreras, Sandra, Sergio Chejfec, iluminaciones profanas (2017) Revista Iberoamericana, 83 (261), pp. 213-222. , https://doi.org/10.5195/reviberoamer.2017.7549, Web. 15 de marzo de 2022; Davis, Mike, (2006) Planet of Slums, , https://doi.org/10.1111/j.1540-5842.2006.00797.x, London/New York, Verso, Impreso; Didi-Huberman, Georges, (2011) Ante el tiempo. Historia del arte y anacronismo de las imágenes, , Traducido por Antonio Oviedo. Buenos Aires, Adriana Hidalgo, Impreso; Fernández Bravo, Álvaro, Contemporaneidad, anacronismo, heterocronía: reflexiones a partir de la crisis de los paradigmas identitarios (2015) CELEHIS. Revista del Centro de Letras Hispanoamericanas, (29), pp. 71-97. , Impreso; François, Liesbeth, (2018) Andares vacilantes. La caminata en la obra narrativa de Sergio Chejfec, , Rosario, Beatriz Viterbo, Impreso; Guerra, Juan José, Trabajo y escritura en Boca de lobo de Chejfec y La mendiga de Aira (2020) El taco en la brea, 12, pp. 85-93. , https://doi.org/10.14409/tb.v1i12.9683, Web. 7 de junio de 2022; Hammerschmidt, Claudia, La realidad en añicos o La figuración literaria de Buenos Aires entre desrealización, virtualización e inversión (2013) Amerika. Mémoires, identités, territoires, 9. , https://doi.org/10.4000/amerika.4236, s/p. Web. 15 de marzo de 2022; Hanssen, Beatrice, (1998) Walter Benjamin’s Other History. Of Stones, Animals, Human Beings, and Angels, , Berkeley/Los Angeles/London, University of California Press, Impre; so; Hetherington, Kevin, (1997) The Badlands of Modernity. Heterotopia and social ordering, , New York, Routledge, Impreso; Horne, Luz, (2011) Literaturas reales: transformación del realismo en la narrativa latinoamericana contemporánea, , Rosario, Beatriz Viterbo Editora, Impreso; Horne, Luz, Fotografía y retrato de lo contemporáneo en El aire y otras novelas de Chejfec (2012) Sergio Chejfec: Trayectorias de una escritura, pp. 123-146. , Editado por Dianna Niebylski, Pittsburgh, Instituto Internacional de Literatura Iberoamericana, Impreso; Huyssen, Andreas, La nostalgia de las ruinas (2007) Punto de Vista, 87, pp. 34-40. , Impreso; Jenckes, Kate, Myopic Witnessing and the Intermittent Possibilities of Community in Sergio Chejfec’s Los planetas and Boca de lobo (2010) Revista de Estudios Hispánicos, 44 (1), pp. 213-234. , Impreso; Komi Kallinikos, Christina, El aire y Boca de lobo de Sergio Chejfec: una poética de la ausencia (2007) Les villes et la fin du XXeme siècle en Amérique latine: Littératures, cultures, représentations / Las ciudades y el fin del siglo XX en América latina: Literaturas, culturas, representaciones, pp. 383-394. , Editado por Teresa Orecchia Havas, Berna, Peter Lang, Impreso; Korn, Guillermo, Oficios terrestres. El trabajo en las novelas de Sergio Chejfec, Hernán Ronsino y Juan Martini (2018) Tropelías. Revista de Teoría de la Literatura y Literatura Comparada, (3), pp. 85-94. , https://doi.org/10.26754/ojs_tropelias/tropelias.201832651, número extraordinario Web. 15 de marzo de 2022; Laera, Alejandra, Los trabajos: creación y escritura en Boca de lobo y otras novelas de Chejfec (2012) Sergio Chejfec: Trayectorias de una escritura, pp. 201-218. , Editado por Dianna Niebylski, Pittsburgh, Instituto Internacional de Literatura Iberoamericana, Impreso; Laera, Alejandra, Más allá del dinero: ficciones del trabajo en la Argentina contemporánea y la fetichización del escritor (2016) Badebec, 6 (11), pp. 158-173. , https://revista.badebec.org/index.php/badebec/article/view/216/196, Web. 15 de marzo de 2022; Laera, Alejandra, Más allá del mundo: imaginación transtemporal para un cierto modo de habitar los confines (2019) World Literature, Cosmopolitanism, Globality. Beyond, Against, Post, Otherwise, pp. 141-151. , https://doi.org/10.1515/9783110641134-011, Editado por Gesine Müller y Mariano Siskind, Berlin/Boston, De Gruyter, Impreso; Liernur, Jorge, La ciudad efímera (1993) El umbral de la metrópolis. Transformaciones técnicas y cultura en la modernización de Buenos Aires (1870-1930), pp. 177-222. , Editado por Jorge Liernur y Graciela Silvestri, Buenos Aires, Editorial Sudamericana, Impreso; Ludmer, Josefina, Temporalidades del presente (2002) Boletín del Centro de Estudios de Teoría y Crítica Literaria, (10), pp. 91-112. , Impreso; Martínez Estrada, Ezequiel, (2017) Radiografía de la pampa, , Buenos Aires, Interzona Editora, Impreso; Marx, Karl, (2003) El capital, 2. , tomo I Traducido por Pedro Scaron. Buenos Aires, Siglo XXI editores, Impreso; Niebylski, Dianna, Gramática y geografía de la carencia: Boca de lobo de Sergio Chejfec (2006) ¡Dale nomás! ¡Dale que va! Ensayos testimoniales para la Argentina del siglo XXI. Voces, ciudades y lenguajes, pp. 211-229. , Editado por Cristian Ricci y Gustavo Geirola, Buenos Aires, Nueva Generación, Impreso; Quintana, Isabel, Peregrinajes en la ciudad y sus fronteras: el deseo de comunidad en la obra de Sergio Chejfec (2005) Ciudades translocales: espacios, flujo, representación. Perspectivas desde las Américas, pp. 271-295. , Editado por Rossana Reguillo y Marcial Godoy Anativia, Tlaquepaque/New York, Instituto Tecnológico y de Estudios Superiores de Occidente-Social Science Research Council, Impreso; Reati, Fernando, Changas, curros y rebusques. Narraciones sobre las nuevas formas del trabajo en Argentina (2006) ¡Dale nomás! ¡Dale que va! Ensayos testimoniales para la Argentina del siglo XXI. Voces, ciudades y lenguajes, pp. 231-253. , Editado por Cristian Ricci y Gustavo Geirola, Buenos Aires, Nueva Generación, Impreso; Rodríguez, Fermín, La niña proletaria y el lobo: trabajo vivo y literatura en Boca de lobo, de Sergio Chejfec (2019) Pasavento, 7 (1), pp. 33-53. , https://doi.org/10.37536/preh.2019.7.1.748, Web. 15 de marzo de 2022; Sánchez, Maximiliano, Ecos de Marx en Boca de lobo (2012) Sergio Chejfec: Trayectorias de una escritura, pp. 191-200. , Editado por Dianna Niebylski, Pittsburgh, Instituto Internacional de Literatura Iberoamericana, Impreso; Sarlo, Beatriz, El amargo corazón del mundo (2007) Escritos sobre literatura argentina, pp. 398-400. , Buenos Aires, Siglo XXI Editores, Impreso; Selgas, Gianfranco, Una promesa imposible: Fronteras geográficas y corporales en Boca de lobo, de Sergio Chejfec (2017) Moderna språk, 111 (1), pp. 156-172. , https://ojs.ub.gu.se/index.php/modernasprak/article/view/3749/3175, Web. 15 de marzo de 2022; Soja, Edward, (2008) Postmetrópolis. Estudios críticos sobre las ciudades y las regiones, , Traducido por Verónica Hendel y Mónica Cifuentes. Madrid, Traficantes de Sueños, Impreso; Vedda, Miguel, Introducción: Melancolía, transitoriedad, utopía. Sobre Origen del Trauerspiel alemán (2012) Origen del Trauerspiel alemán, pp. 5-54. , Editado por Walter Benjamin, Buenos Aires, Gorla, Impreso; Voionmaa, Daniel, (2004) Leer la pobreza en América Latina: literatura y velocidad, , Santiago de Chile, Cuarto Propio, Impreso</t>
  </si>
  <si>
    <t>Guerra, J.J.; Universidad Nacional del Sur – CONICETArgentina; email: juan.guerra@uns.edu.ar</t>
  </si>
  <si>
    <t>2-s2.0-85133715902</t>
  </si>
  <si>
    <t>Cordero D., Juiz C., Mory A., Bermeo V., Andrade D.</t>
  </si>
  <si>
    <t>57789078800;6602910973;57205746234;57219842208;57789937100;</t>
  </si>
  <si>
    <t>Model for the Intent to Adopt Green IT in the Context of Organizations</t>
  </si>
  <si>
    <t>IEEE Access</t>
  </si>
  <si>
    <t>10.1109/ACCESS.2022.3184727</t>
  </si>
  <si>
    <t>https://www.scopus.com/inward/record.uri?eid=2-s2.0-85133709272&amp;doi=10.1109%2fACCESS.2022.3184727&amp;partnerID=40&amp;md5=7492c55effb7fdbf449cdc077a723f32</t>
  </si>
  <si>
    <t>Universidad Católica de Cuenca, Green IT Research Group, Administration Academic Unit, Cuenca, 010107, Ecuador; Universitat de les Illes Balears, Palma, ACSIC Research Group, Illes Balears, 07122, Spain; Universidad Católica de Cuenca, Administration Academic Unit, Cuenca, 010107, Ecuador</t>
  </si>
  <si>
    <t>Cordero, D., Universidad Católica de Cuenca, Green IT Research Group, Administration Academic Unit, Cuenca, 010107, Ecuador; Juiz, C., Universitat de les Illes Balears, Palma, ACSIC Research Group, Illes Balears, 07122, Spain; Mory, A., Universitat de les Illes Balears, Palma, ACSIC Research Group, Illes Balears, 07122, Spain; Bermeo, V., Universidad Católica de Cuenca, Administration Academic Unit, Cuenca, 010107, Ecuador; Andrade, D., Universidad Católica de Cuenca, Administration Academic Unit, Cuenca, 010107, Ecuador</t>
  </si>
  <si>
    <t>In organizations, part of sustainability is manifested through green information technology (GIT) for the use of information technologies (IT) resources in a profitable and sustainable manner. The purpose of this study was to understand the social, individual, and contextual factors that drive actors belonging to the sector of organizations in the Latin American and Caribbean (LAC) context on the intention to adopt GIT to generate strategies that promote its application. A model resulting from the analysis and integration of adoption models was proposed, including the theory of planned behavior (TPB), norm activation theory (NAT), GIT adoption model (GITAM), and environmental sustainability variables. To determine the predictive factors, the research team collected data from organizations belonging to Mexico, Panama, Honduras, Colombia, Ecuador, Peru, Bolivia, and Chile, where information was collected from personnel at strategic, tactical, and operational levels. Data were collected from 562 informants from different productive and service sectors and analyzed using a structural equation model with the partial least squares technique. This research provided important insights into the most significant factors that determine intent towards GIT adoption. The model analyzed contextual variables of the organization or external drivers, such as the motivating forces of environmental sustainability and environmental, organizational, and technological contexts; and behavioral variables of internal organizational actors, such as awareness of the consequences, attribution of responsibility, motivation, attitude, assignment of responsibility, and internal IT enablers. © 2013 IEEE.</t>
  </si>
  <si>
    <t>adoption model; Green IT; organization; structural equation model</t>
  </si>
  <si>
    <t>Activation analysis; Behavioral research; Energy utilization; Green computing; Information use; Least squares approximations; Motivation; Sustainable development; Adoption model; Behavioral science; Biological system modeling; Environmental sustainability; Gas-insulated transmission line; Green information technology; Green products; Information technology adoption; Structural equation models; Technology resources; Digital storage</t>
  </si>
  <si>
    <t>Universitat de les Illes Balears, UIB</t>
  </si>
  <si>
    <t>This work was supported by the Universidad Católica de Cuenca and Universitat de les Illes Balears.</t>
  </si>
  <si>
    <t>Belkhir, L., Elmeligi, A., Assessing ICT global emissions footprint: Trends to 2040 &amp; recommendations (2018) J. Cleaner Prod., 177, pp. 448-463. , Mar; Ali, S., Danish, M., Khuwaja, F.M., Sajjad, M.S., Zahid, H., The intention to adopt green IT products in pakistan: Driven by the modified theory of consumption values (2019) Environments, 6 (5), p. 53. , May; (2018) Global Energy &amp; CO2 Status Report 2017 OECD/IEA Int., , Energy Agency Paris France; Arshad, R., Zahoor, S., Shah, M.A., Wahid, A., Yu, H., Green IoT: An investigation on energy saving practices for 2020 and beyond (2017) IEEE Access, 5, pp. 15667-15681; Drozd, J., Drozd, A., Antoshchuk, S., Green IT engineering in the view of resource-based approach (2017) Green IT Engineering: Concepts, Models, Complex Systems Architectures., pp. 43-65. , Springer; Uzaman, S.K., Khan, A.U.R., Shuja, J., Maqsood, T., Rehman, F., Mustafa, S., A systems overview of commercial data centers: Initial energy and cost analysis (2019) Int. J. Inf. Technol. Web Eng., 14 (1), pp. 42-65; Chen, A.J., Watson, R.T., Broudeau, M., Karahanna, E., An institutional perspective on the adoption of Green IS &amp; IT (2011) Australas. J. Inf. Syst., 17 (1), pp. 1-27; Matthew, A., Dhillon, J.S., A framework for transferring knowledge between expatriates and local employees in IT-based organisations (2020) Proc. 8th Int. Conf. Inf. Technol. Multimedia (ICIMU), pp. 114-119. , Aug; Islam, M.Z., Jasimuddin, S.M., Hasan, I., The role of technology and socialization in linking organizational context and knowledge conversion: The case of Malaysian service organizations (2017) Int. J. Inf. Manage., 37 (5), pp. 497-503. , Oct; Butler, T., Compliance with institutional imperatives on environmental sustainability: Building theory on the role of green IS (2011) J. Strategic Inf. Syst., 20 (1), pp. 6-26. , Mar; Sanita, F., Udin, Z.M., Hasnan, N., Green it/s adoption within gscm in Indonesian construction industry: An elucidation and practice (2017) J. Inf. Syst. Technol. Manag., 2, pp. 105-116. , Dec; Ainin, S., Naqshbandi, M.M., Dezdar, S., Impact of adoption of green IT practices on organizational performance (2016) Qual. Quantity, 50 (5), pp. 1929-1948. , Sep; Muslim, A.A., Sim, T.H., Hee, M., Organizational green information technology (IT) adoption theoretical frameworks: A systematic literature review (2019) J. Theor. Appl. Inf. Technol., 97 (3), pp. 787-802; Coffey, P., Tate, M., Toland, J., Small business in a small country: Attitudes to 'green' IT (2013) Inf. Syst. Frontiers, 15 (5), pp. 761-778. , Nov; Yu, L., Wang, W.T., Examination of green IT adoption in organizations: Based on the expectation disconfirmation theory (2016) Proc. Pacific Asia Conf. Inf. Syst., pp. 1-7; Singh, M., Sahu, G.P., Developing a model for green IS adoption in Indian banking and IT industries (2020) Proc. Int. Workshop Conf. Transf. Diffusion IT, pp. 451-462; Thabit, T., Aissa, S.A., Jasim, Y., The impact of green ICT adoption in organizations of developing countries (2021) Al-Riyada Bus. Econ. J., 7; Sthiannopkao, S., Wong, M.H., Handling e-waste in developed and developing countries: Initiatives, practices, and consequences (2013) Sci. Total Environ., Vols., 463-464, pp. 1147-1153. , Oct; Sánchez, D., Aguilar, K., El mercado verde en Latinoamérica y la responsabilidad social empresarial (2020) Minerva, 1 (3), pp. 40-44. , Dec; Hervas, S., Green management as a competitive advantage on SMES in Latin American countries (2019) Joanna Szydło, Danuta Szpilko, 36; Goldstein, E., Kulfas, M., Alcances y limitaciones de las políticas de apoyo a las pymes en América Latina: Debates para un nuevo marco conceptual y de implementación (2011) Apoyando A Las Pymes: Políticas de Fomento en América Latina y El, pp. 429-490. , Santiago, CL, USA: Caribe, CEPAL; Sun, H., Edziah, B.K., Sun, C., Kporsu, A.K., Institutional quality, green innovation and energy efficiency (2019) Energy Policy, 135. , Dec; Cuerva, M.C., Triguero-Cano, Á., Córcoles, D., Drivers of green and non-green innovation: Empirical evidence in low-tech SMEs (2014) J. Cleaner Prod., 68, pp. 104-113. , Apr; Hernandez, A.A., Understanding motivation factors in green IT adoption: An empirical evidence from philippine SMEs (2018) Int. J. Asian Bus. Inf. Manage., 9 (4), pp. 21-35. , Oct; Tushi, B., Sedera, D., Recker, J., Green IT segment analysis: An academic literature review (2014) Proc. Amer. Conf. Inf. Syst., pp. 1-15; El Daly, N., Towards an understanding of the sources of sustainable competitive advantage: A literature review and conceptual framework (2020) Sustainable Development and Social Responsibility, 1, pp. 299-316; Bose, R., Luo, X., Integrative framework for assessing firms' potential to undertake green IT initiatives via virtualization-A theoretical perspective (2011) J. Strategic Inf. Syst., 20 (1), pp. 38-54. , Mar; Shin, Y.H., Im, J., Jung, S.E., Severt, K., The theory of planned behavior and the norm activation model approach to consumer behavior regarding organic menus (2018) Int. J. Hospitality Manage., 69, pp. 21-29. , Jan; Cai, S., Long, X., Li, L., Liang, H., Wang, Q., Ding, X., Determinants of intention and behavior of low carbon commuting through bicycle-sharing in China (2019) J. Cleaner Prod., 212, pp. 602-609. , Mar; Ajzen, I., The theory of planned behavior (1991) Org. Behav. Hum. Decision Process., 50 (2), pp. 179-211; Bamberg, S., Schmidt, P., Incentives, morality, or habit? Predicting students' car use for university routes with the models of Ajzen, Schwartz, and Triandis (2003) Environ. Behav., 35 (2), pp. 264-285. , Mar; Akman, I., Mishra, A., Green information technology practices among IT professionals: Theory of planned behavior perspective (2014) Probl. Ekorozwoju, 9 (2), pp. 47-54; Yuriev, A., Dahmen, M., Paillé, P., Boiral, O., Guillaumie, L., Proenvironmental behaviors through the lens of the theory of planned behavior: A scoping review (2020) Resour., Conservation Recycling, 155. , Apr; Loo, W.H., Yeow, P.H., Eze, U.C., Responsible consumption behaviour: A framework for acquisition, use and disposal of computers (2013) Proc. PACIS, p. 278; Yarimoglu, E., Gunay, T., The extended theory of planned behavior in Turkish customers' intentions to visit green hotels (2020) Bus. Strategy Environ., 29 (3), pp. 1097-1108. , Mar; Schwartz, S.H., Normative influences on altruism (1977) Adv. Exp. Soc. Psychol., 10 (1), pp. 221-279; Lei, C.F., Ngai, E.W., Green information technologies adoption: A managerial perspective (2013) Proc. PACIS, p. 274; Ateş, H., Merging theory of planned behavior and value identity personal norm model to explain pro-environmental behaviors (2020) Sustain. Prod. Consumption, 24, pp. 169-180. , Oct; Bakti, I.G.M.Y., Rakhmawati, T., Sumaedi, S., Widianti, T., Yarmen, M., Astrini, N.J., Public transport users' WOM: An integration model of the theory of planned behavior, customer satisfaction theory, and personal norm theory (2020) Transp. Res. Proc., 48, pp. 3365-3379. , Jan; Minton, A.P., Rose, R.L., The effects of environmental concern on environmentally friendly consumer behavior: An exploratory study (1997) J. Bus. Res., 40 (1), pp. 37-48. , Sep; Awa, H.O., Ukoha, O., Igwe, S.R., Revisiting technologyorganization-environment (T-O-E) theory for enriched applicability (2017) Bottom Line, 30 (1), pp. 2-22. , May; Molla, A., Licker, P.S., ECommerce adoption in developing countries: A model and instrument (2005) Inf. Manage., 42 (6), pp. 877-899. , Sep; Molla, A., Licker, P.S., Perceived E-readiness factors in E-commerce adoption: An empirical investigation in a developing country (2005) Int. J. Electron. Commerce, 10 (1), pp. 83-110. , Oct; Molla, A., GITAM: A model for the adoption of green IT (2008) Proc. ACIS, p. 64; Dimaggio, P.J., Powell, W., The iron cage revisited: Institutional isomorphism and collective rationality in organizational behaviour (1983) Amer. Sociol. Rev., 48, pp. 147-160. , Apr; Davis, F.D., Perceived usefulness, perceived ease of use, and user acceptance of information technology (1989) MIS Quart., pp. 319-340. , Sep; Zhu, K., Kraemer, K.L., Xu, S., The process of innovation assimilation by firms in different countries: A technology diffusion perspective on E-business (2006) Manage. Sci., 52 (10), pp. 1557-1576. , Oct; Olson, E.G., Creating an enterprise-level 'green' strategy (2008) J. Bus. Strategy, 29 (2), pp. 22-30; Sadovnikova, A., Pujari, A., The effect of green partnerships on firm value (2017) J. Acad. Marketing Sci., 45 (2), pp. 251-267. , Mar; Mahmoud, T.O., Impact of green marketing mix on purchase intention (2018) Int. J. Adv. Appl. Sci., 5 (2), pp. 127-135. , Feb; Saeed, B.B., Afsar, B., Hafeez, S., Khan, I., Tahir, M., Afridi, M.A., Promoting employee's proenvironmental behavior through green human resource management practices (2019) Corporate Social Responsibility Environ. Manage., 26 (2), pp. 424-438. , Mar; Del Río González, P., Analysing the factors influencing clean technology adoption: A study of the Spanish pulp and paper industry (2005) Bus. Strategy Environ., 14 (1), pp. 20-37. , Jan; Jyoti, K., Green HRM-people management commitment to environmental sustainability (2019) Proc. 10th Int. Conf. Digit. Strategies Organizational Success, p. 2502; Geng, J., Long, R., Chen, H., Li, W., Exploring the motivationbehavior gap in urban residents' green travel behavior: A theoretical and empirical study (2017) Resour., Conservation Recycling, 125, pp. 282-292. , Oct; Tur-Porcar, A., Roig-Tierno, N., Llorca Mestre, A., Factors affecting entrepreneurship and business sustainability (2018) Sustainability, 10 (2), p. 452. , Feb; Junsheng, H., Masud, M.M., Akhtar, R., Rana, M., The mediating role of employees' green motivation between exploratory factors and green behaviour in the Malaysian food industry (2020) Sustainability, 12 (2), p. 509; Yang, X., Li, Y., Kang, L., Reconciling 'doing good' and 'doing well' in organizations' green IT initiatives: A multi-case analysis (2020) Int. J. Inf. Manage., 51. , Apr; Chen, A.J.W., Boudreau, M., Watson, R.T., Information systems and ecological sustainability (2008) J. Syst. Inf. Technol., 10 (3), pp. 186-201. , Nov; Sarkar, A., Qian, L., Peau, A.K., Shahriar, S., Modeling drivers for successful adoption of green business: An interpretive structural modeling approach (2021) Environ. Sci. Pollut. Res., 28 (1), pp. 1077-1096. , Jan; Masri, M., Yunus, R.M., Ahmad, S.Sh., Cultural values in green rating framework (2018) J. Asian Behavioural Stud., 3 (10), pp. 48-58. , Aug; Kornilaki, M., Font, X., Normative influences: How socio-cultural and industrial norms influence the adoption of sustainability practices. A grounded theory of cretan, small tourism firms (2019) J. Environ. Manage., 230, pp. 183-189. , Jan; Poortinga, W., Whitmarsh, L., Steg, L., Böhm, G., Fisher, S., Climate change perceptions and their individual-level determinants: A cross-European analysis (2019) Global Environ. Change, 55, pp. 25-35. , Mar; Ahsan, K., Rahman, S., Green public procurement implementation challenges in Australian public healthcare sector (2017) J. Cleaner Prod., 152, pp. 181-197. , May; Asadi, S., Nilashi, M., Safaei, M., Abdullah, R., Saeed, F., Yadegaridehkordi, E., Samad, S., Investigating factors influencing decision-makers' intention to adopt green IT in Malaysian manufacturing industry (2019) Resour., Conservation Recycling, 148, pp. 36-54. , Sep; Yoon, C., Extending the TAM for green IT: A normative perspective (2018) Comput. Hum. Behav., 83, pp. 129-139. , Jun; Klavík, P., Malossi, A.C.I., Bekas, C., Curioni, A., Changing computing paradigms towards power efficiency (2014) Phil. Trans. Roy. Soc. A, Math., Phys. Eng. Sci., 372 (2018), pp. 1-13; Ahmad, S., Miskon, S., Alkanhal, T.A., Tlili, I., Modeling of business intelligence systems using the potential determinants and theories with the lens of individual, technological, organizational, and environmental contexts-A systematic literature review (2020) Appl. Sci., 10 (9), p. 3208. , May; Chatterjee, S., Rana, N.P., Dwivedi, Y.K., Baabdullah, A.M., Understanding AI adoption in manufacturing and production firms using an integrated TAM-TOE model (2021) Technol. Forecasting Social Change, 170. , Sep; Hoang, G., Molla, A., Poon, P.L., Factors influencing the adoption of environmental enterprise systems (2019) Proc. 23rd Pacific Asia Conf. Inf. Syst., Secure ICT Platform 4th Ind. Revolution (PACIS), pp. 6-15; Lin, C.-Y., Alam, S.S., Ho, Y.-H., Al-Shaikh, M.E., Sultan, P., Adoption of green supply chain management among SMEs in Malaysia (2020) Sustainability, 12 (16), p. 6454. , Aug; Chen, H.-G., Chang, J., A study on green IT adoption (2014) Comput. Sci. Inf. Technol., 2 (8), pp. 315-323. , Nov; Stieninger, M., Nedbal, D., Wetzlinger, W., Wagner, G., Erskine, M.A., Factors influencing the organizational adoption of cloud computing: A survey among cloud workers (2022) Int. J. Inf. Syst. Project Manage., 6 (1), pp. 5-23. , Jan; Amron, M.T., Ibrahim, R., Abu Bakar, N.A., Chuprat, S., Determining factors influencing the acceptance of cloud computing implementation (2019) Proc. Comput. Sci., 161, pp. 1055-1063. , Jan; Glowinski, K., Gossmann, C., Strümpf, D., Analysis of a cloud-based mobile device management solution on Android phones: Technological and organizational aspects (2020) Social Netw. Appl. Sci., 2 (1), pp. 1-18. , Jan; Jeba, J.A., Roy, S., Rashid, M.O., Atik, S.T., Whaiduzzaman, M., Towards green cloud computing an algorithmic approach for energy minimization in cloud data centers (2019) Int. J. Cloud Appl. Comput., 9 (1), pp. 59-81. , Jan; Lee, W.J., Choi, S.U., Internal and external corporate social responsibility activities and firm value: Evidence from the shared growth in the supply chain (2021) Borsa Istanbul Rev., 21, pp. S57-S69. , Mar; Steg, L., Vlek, C., Encouraging pro-environmental behaviour: An integrative review and research agenda (2009) J. Environ. Psychol., 29 (3), pp. 309-317. , Sep; Hopper, J.R., Nielsen, J.M., Recycling as altruistic behavior: Normative and behavioral strategies to expand participation in a community recycling program (1991) Environ. Behav., 23 (2), pp. 195-220. , Mar; Bamberg, S., Hunecke, M., Blöbaum, A., Social context, personal norms and the use of public transportation: Two field studies (2007) J. Environ. Psychol., 27 (3), pp. 190-203. , Sep; Basile, D., Giandomenico, F.D., Gnesi, S., (2017) Green IT Engineering: Concepts, Models, Complex Systems Architectures, 74. , Springer; Gangwar, H., Date, H., Ramaswamy, R., Understanding determinants of cloud computing adoption using an integrated TAM-TOE model (2015) J. Enterprise Inf. Manage., 28, pp. 107-130. , Feb; Sila, I., Do organisational and environmental factors moderate the effects of internet-based interorganisational systems on firm performance? (2010) Eur. J. Inf. Syst., 19 (5), pp. 581-600. , Oct; Chong, J.L., Olesen, K., A technology-organization-environment perspective on eco-effectiveness: A meta-analysis (2017) Australas. J. Inf. Syst., 21, pp. 1-26. , Mar; Mann, H., Grant, G., Mann, I.J.S., Green IT: An implementation framework (2009) Proc. 15th Americas Conf. Inf. Syst. (AMCIS), 2, pp. 787-797; Hardin-Ramanan, S., Chang, V., Issa, T., A green information technology governance model for large mauritian companies (2018) J. Cleaner Prod., 198, pp. 488-497. , Oct; Stawicka, E., Sustainable development in the digital age of entrepreneurship (2021) Sustainability, 13 (8), p. 4429. , Apr; Gminder, C.U., Bieker, T., Managing corporate social responsibility by using the 'sustainability-balanced scorecard (2002) Proc. 10th Int. Conf. Greening Ind. Netw., pp. 1-16; Salazar, A.L., Hidalgo, J.F.O., Manríquez, M.R., The corporate social responsibility from the perception of human capital. A case study (2017) Revista de Contabilidad-Spanish Accounting Rev., 20 (1), pp. 36-46; Bermejo, B., Guerrero, C., Lera, I., Juiz, C., Cloud resource management to improve energy efficiency based on local nodes optimizations (2016) Proc. Comput. Sci., 83, pp. 878-885. , Jan; Faucheux, S., Nicolaï, I., IT for green and green IT: A proposed typology of eco-innovation (2011) Ecol. Econ., 70 (11), pp. 2020-2027. , Sep; Anthony, B., Majid, M.A., Romli, A., Green information technology adoption towards a sustainability policy agenda for government-based institutions: An administrative perspective (2019) J. Sci. Technol. Policy Manage., 10 (2), pp. 274-300. , Jun; Alssaiari, A., Gining, R.A.J., Thomas, N., Modelling energy efficient server management policies in PEPA (2017) Proc. 8th ACM/SPEC Int. Conf. Perform. Eng. Companion, pp. 43-48. , Apr; Molla, A., Cooper, V.A., Pittayachawan, S., IT and eco-sustainability: Developing and validating a green IT readiness model (2009) Proc. 30th Int. Conf. Inf. Syst. (ICIS), p. 141; Hameed, I., Hyder, Z., Imran, M., Shafiq, K., Greenwash and green purchase behavior: An environmentally sustainable perspective (2021) Environ., Develop. Sustainability, 23 (9), pp. 13113-13134. , Sep; Chou, D.C., Chou, A.Y., Awareness of green IT and its value model (2012) Comput. Standards Interfaces, 34 (5), pp. 447-451. , Sep; López-Vellejo, M., Huedo Cuesta, E., Sopeña, J.G., (2008) Green It Tecnologias Para la Eficiencia Energetica Fundación Madri+d Para El Conocimiento Velázquez., , Madrid, Spain: Colección de Informes de Vigilancia Tecnológica de Madrid; Gholami, R., Sulaiman, A.B., Ramayah, T., Molla, A., Senior managers' perception on green information systems (IS) adoption and environmental performance: Results from a field survey (2013) Inf. Manage., 50 (7), pp. 431-438. , Nov; Zheng, D., The adoption of green information technology and information systems: An evidence from corporate social responsibility (2014) Proc. PACIS, p. 237; Shahla, A., Yadegaridehkordi, E., Nilashi, M., Samad, S., Green information technology adoption: A systematic literature review (2019) J. Soft Comput. Decis. Support Syst., 6 (3), pp. 8-17; Deng, Q., Ji, S., Organizational green IT adoption: Concept and evidence (2015) Sustainability, 7 (12), pp. 16737-16755. , Dec; Kim, Y.S., Ko, M., Identifying green IT leaders with financial and environmental performance indicators (2010) Proc. 16th Americas Conf. Inf. Syst. (AMCIS), 4, pp. 2484-2492; Patón-Romero, D., Baldassarre, J., Piattini, M.T., De Guzmán, M., García Rodríguez, I., A governance and management framework for Green IT (2017) Sustainability, 9 (10), pp. 1-18; López-Bonilla, L.M., López-Bonilla, J.M., Los modelos de adopción de tecnologías de la información desde el paradigma actitudinal (2011) Cadernos EBAPE.BR, 9 (1), pp. 176-196. , Mar; Mishra, D., Akman, I., Mishra, A., Theory of reasoned action application for green information technology acceptance (2014) Comput. Hum. Behav., 36, pp. 29-40. , Jul; Uddin, M., Talha, M., Rahman, A.A., Jameel, A., Memon, J., Green information technology (IT) framework for energy efficient data centers using virtualization (2012) Int. J. Phys. Sci., 7 (13), pp. 2052-2065. , Mar; Dolci, D.B., Lunardi, G.L., Salles, A.C., Alves, A.P.F., Implementation of green IT in organizations: A structurational view (2015) Revista de Administração de Empresas, 55 (5), pp. 486-497. , Oct; Arnfalk, P., Pilerot, U., Schillander, P., Grönvall, P., Green IT in practice: Virtual meetings in Swedish public agencies (2016) J. Cleaner Prod., 123, pp. 101-112. , Jun; Mazella, F., Ventaja competitiva en la adopción de practicas de tecnología de la información sustentables (green IT) (2017) Tech. Rep.; Morales-Contreras, J.-R., Caballero-Morales, S.-O., Cano-Olivos, P., Sánchez-Partida, D., Propuesta de red de distribución para reciclaje de desechos eléctricos y electrónicos (2019) Res. Comput. Sci., 148 (8), pp. 487-498. , Dec; Vega, O.A., Efectos colaterales de la obsolescencia tecnológica (2012) Revista Ingeniería Universidad Pedagógica y Tecnológica, 21 (32), pp. 55-62; Ojo, A., Raman, M., Vijayakumar, R., Cognitive determinants of IT professional belief and attitude towards green IT (2018) Proc. World Conf. Inf. Syst. Technol., pp. 1006-1015; Tran, Q., Nazir, S., Nguyen, T.-H., Ho, N.-K., Dinh, T.-H., Nguyen, V.-P., Nguyen, M.-H., Kieu, T.-S., Empirical examination of factors influencing the adoption of green building technologies: The perspective of construction developers in developing economies (2020) Sustainability, 12 (19), p. 8067. , Sep; Kim, S., Factors influencing customers' use of electronic commerce in stock trading: An empirical study in Korea (2001) Proc. Pacific Asia Conf. Inf. Syst., p. 3; Peretti, M.F., TI y SI en tiempos de sustentabilidad: Cómo integrar los recursos tecnológicos y los sistemas de información a la necesidad de organizaciones sustentables (2017) Proc. 12th Jornadas DUTI Docentes Universitarios de Sistemas y Tecnologías, pp. 1-9. , Buenos Aires, Argentina; Thomas, M., Costa, D., Oliveira, T., Assessing the role of IT-enabled process virtualization on green IT adoption (2016) Inf. Syst. Frontiers, 18 (4), pp. 693-710. , Aug; Li, Y., Ye, F., Dai, J., Zhao, X., Sheu, C., The adoption of green practices by Chinese firms: Assessing the determinants and effects of top management championship (2019) Int. J. Oper. Prod. Manage., 39 (4), pp. 550-572. , May; Paton-Romero, J.D., Baldassarre, M.T., Rodreguez, M., Perez-Canencio, J.G., Ojeda-Solarte, M.L., Rey-Piedrahita, A., Piattini, M., Application of ISO/IEC 33000 to green IT: A case study (2019) IEEE Access, 7, pp. 116380-116389; Simula, H., Lehtimäki, T., Managing greenness in technology marketing (2009) J. Syst. Inf. Technol., 11 (4), pp. 331-346. , Nov; Molla, A., Organizational motivations for green IT: Exploring green IT matrix and motivation models (2009) Proc. PACIS, p. 13; Campbell, J., Why would corporations behave in socially responsible ways? (2007) Institutional Theory Corporate Social Responsibility, 32 (3), pp. 946-967; Radu, L.-D., Determinants of green ICT adoption in organizations: A theoretical perspective (2016) Sustainability, 8 (8), p. 731. , Jul; Liang, H., Saraf, N., Hu, Q., Xue, Y., Assimilation of enterprise systems: The effect of institutional pressures and the mediating role of top management (2007) MIS Quart., pp. 87-89. , Mar; Unruh, G., The sweet spot of sustainability strategy (2013) Sloan Manage. Rev., 55 (1), p. 16; Carberry, E.J., Bharati, P., Levy, D.L., Chaudhury, A., Social movements as catalysts for corporate social innovation: Environmental activism and the adoption of green information systems (2019) Bus. Soc., 58 (5), pp. 1083-1127. , May; Stern, P.C., Dietz, T., Kalof, L., Value orientations, gender, and environmental concern (1993) Environ. Behav., 25 (5), pp. 322-348. , Sep; Schwartz, S.H., Awareness of consequences and the influence of moral norms on interpersonal behavior (1968) Sociometry, pp. 355-369. , Dec; Nelsen, K.S., Clayton, S., Stern, P.C., Dietz, T., Capstick, S., Whitmarsh, L., How psychology can help limit climate change (2021) Amer. Psychol., 76 (1), pp. 130-144; Druckman, A., Jackson, T., Household energy consumption in the U.K.: A highly (2008) Energy Policy, 36 (8), pp. 3177-3192; Shove, E., Walker, G., Governing transitions in the sustainability of everyday life (2010) Res. Policy, 39 (4), pp. 471-476. , May; Strathman, A., Gleicher, F., Boninger, D.S., Edwards, C.S., The consideration of future consequences: Weighing immediate and distant outcomes of behavior (1994) J. Personality Social Psychol., 66 (4), pp. 742-752; Hevey, D., Pertl, M., Thomas, K., Maher, L., Craig, A., Chuinneagain, S.N., Consideration of future consequences scale: Confirmatory factor analysis (2010) Personality Individual Differences, 48 (5), pp. 654-657. , Apr; Hansla, A., Gamble, A., Juliusson, A., Gärling, T., The relationships between awareness of consequences, environmental concern, and value orientations (2008) J. Environ. Psychol., 28 (1), pp. 1-9. , Mar; Denis-Rémis, C., Codou, O., Lebraty, J., Relation of green IT and affective attitude within the technology acceptance model: The cases of France and China (2011) Manage. Avenir, 9, pp. 317-385. , Sep; Chow, W.S., Chen, Y., Intended belief and actual behavior in green computing in Hong Kong (2009) J. Comput. Inf. Syst., 50 (2), pp. 136-141; Klöckner, C.A., A comprehensive model of the psychology of environmental behaviour-A meta-analysis (2013) Global Environ. Change, 23 (5), pp. 1028-1038. , Oct; Ziaei-Bideh, A., Namakshenas-Jahromi, M., Profiling green consumers with data mining (2019) Consum. Behav. Marketing, pp. 97-112. , Apr; Schwartz, S.H., Howard, J.A., A normative decision-making model of altruism (1981) Altruism Helping Behav., pp. 189-211. , Jan; Liobikiene, G., Juknys, R., The role of values, environmental risk perception, awareness of consequences, and willingness to assume responsibility for environmentally-friendly behaviour: The Lithuanian case (2016) J. Cleaner Prod., 112, pp. 3413-3422. , Jan; Stern, P.C., Toward a coherent theory of environmentally (2000) J. Social Issues, 56 (3), pp. 407-424; Steg, L., Groot, J., Explaining prosocial intentions: Testing causal relationships in the norm activation model (2010) Brit. J. Social Psychol., 49 (4), pp. 725-743. , Nov; Jnr, B., Majid, M., Romli, A., A proposed model for green practice adoption and implementation in information technology based organizations (2018) Problemy Ekorozwoju Problems Sustain. Develop., 13 (1), pp. 95-112; Vergragt, P., Akenji, L., Dewick, P., Sustainable production, consumption, and livelihoods: Global and regional research perspectives (2014) J. Cleaner Prod., 63, pp. 1-12. , Jan; Hagspiel, V., Huisman, K.J.M., Nunes, C., Optimal technology adoption when the arrival rate of new technologies changes (2015) Eur. J. Oper. Res., 243 (3), pp. 897-911. , Jun; Wang, B., Wang, X., Guo, D., Zhang, B., Wang, Z., Analysis of factors influencing residents' habitual energy-saving behaviour based on NAM and TPB models: Egoism or altruism? (2018) Energy Policy, 116, pp. 68-77. , May; Hermann, R.R., Mosgaard, M., Kerndrup, S., The function of intermediaries in collaborative innovation processes: Retrofitting a Danish small island ferry with green technology (2016) Int. J. Innov. Sustain. Develop., 10 (4), pp. 361-383; Song, M., Wang, S., Zhang, H., Could environmental regulation and R&amp;D tax incentives affect green product innovation? (2020) J. Cleaner Prod., 258. , Jun; Song, M., Wang, S., Wu, K., Environment-biased technological progress and industrial land-use efficiency in China's new normal (2018) Ann. Oper. Res., 268 (1-2), pp. 425-440. , Sep; Dezdar, S., Green information technology adoption: Influencing factors and extension of theory of planned behavior (2017) Social Responsibility J., 13 (2), pp. 292-306. , Jun; Rayne, D., Leckie, C., McDonald, H., Productive partnerships? Driving consumer awareness to action in CSR partnerships (2020) J. Bus. Res., 118, pp. 49-57. , Sep; Asadi, S., Yadegaridehkordi, E., Nilashi, M., Samad, S., Green information technology adoption: A systematic literature review (2019) J. Soft Comput. Decis. Support Syst., 6 (3), pp. 8-17; Xia, D., Zhang, M., Yu, Q., Tu, Y., Developing a framework to identify barriers of green technology adoption for enterprises (2019) Resour., Conservation Recycling, 143, pp. 99-110. , Apr; Chin, W.W., The partial least squares approach to structural equation modeling (1998) Modern Methods Bus. Res., 295, pp. 295-336. , Jan; Barclay, D., Higgins, C., Thompson, R., The partial least squares (PLS) approach to causal modelling: Personal computer adoption and use as an illustration (1995) Technol. Stud., 2 (2), pp. 285-309; Chin, W.W., Marcolin, B.L., Newsted, P.R., A partial least squares latent variable modeling approach for measuring interaction effects: Results from a Monte Carlo simulation study and an electronic-mail emotion/adoption study (2003) Inf. Syst. Res., 14 (2), pp. 189-217. , Jun; Leguina, A., A primer on partial least squares structural equation modeling (PLS-SEM) (2015) Int. J. Res. Method Educ., 38 (2), pp. 220-221. , Apr; Berna, M.G., (2011) La Cooperación Interorganizacional Como Elementos de Aprendizaje en Las Organizaciones Que Gestionan Su Conocimiento: El Sector de la Construcción en España, , Centro Politécnico Superior. Universidad de Zaragoza, Zaragoza, Spain, Tech. Rep; Gastelú, C.A., Cordero-Guzmán, D.M., Ortiz, J.L., Alvarado, A.M., Influencia de factores sobre la manifestación de la ciudadanía digital (2019) Revista Prisma Social, 26, pp. 27-49. , Jul; Dijkstra, T.K., Latent variables and indices: Herman wold's basic design and partial least squares (2010) Handbook of Partial Least Squares. Concepts, Methods and Applications, pp. 1-798. , Berlin, Germany: Springer; Jarvis, C.B., MacKenzie, S.B., Podsakoff, P.M., A critical review of construct indicators and measurement model misspecification in marketing and consumer research (2003) J. Consum. Res., 30 (2), pp. 199-218. , Sep; Carmines, E., Zeller, R., Reliability and Validity Assessment (1979) Quant. Aplicactions the Social Sci., 97 (17), pp. 9-71; Nunnally, J.C., (1978) Phychometric Theory, , New York, NY, USA: McGrawHill; Fornell, C., Larcker, D.F., Evaluating structural equation models with unobservable variables and measurement error (1981) J. Marketing Res., 18 (1), pp. 39-50. , Feb; Cohen, J.D., Dunbar, K., McClelland, J.L., On the Control of Automatic Processes: A Parallel Distributed Processing Account of the Stroop Effect (1990) Psychol. Rev., 97 (3), pp. 332-361; Falk, R.F., Miller, N.B., (1992) A Primer for Soft Modeling., , Akron, OH, USA; Davison, A.C., Hinkley, D.V., (2003) Bootstrap Methods and Their Application, 2nd Ed., , New York, NY, USA: Cambridge Univ. Press; Efron, B., Tibshirani, R.J., (1993) An Introduction to the Bootstrap., , New York, NY, USA: Chapman Hall; Henseler, J., Ringle, C., The use of Partial Least squares path modeling in international marketing (2009) Adv. Int. Marketing, 20, pp. 277-319. , Aug; Geisser, S., A predictive approach to the random effect model (1974) Biometrika, 61 (1), pp. 101-107; Tenehaus, M., Vinzi, V.E., Chatelin, Y.-M., Lauro, C., PLS path modeling (2005) Comput. Statist. Data Anal., 48 (1), pp. 159-205; Cooper, V., Molla, A., Green IT assimilation: Comparing the influence of contextual and absorptive capacity based models (2013) Proc. ACIS, p. 128; MacOvei, O.I., Determinants of consumers' pro-environmental behavior-toward an integrated model (2015) J. Danubian Stud. Res., 5 (2), pp. 1-15; Molla, A., Abareshi, A., Organizational green motivations for information technology: Empirical study (2012) J. Comput. Inf. Syst., 52 (3), pp. 92-102; Alaraifi, A., Molla, A., Deng, H., An empirical analysis of antecedents to the assimilation of sensor information systems in data centers (2013) Int. J. Inf. Technol. Syst. Approach, 6 (1), pp. 57-77. , Jan; Jenkin, T.A., Webster, J., McShane, L., An agenda for 'green' information technology and systems research (2011) Inf. Org., 21 (1), pp. 17-40. , Jan; Elliot, S., Binney, D., Environmentally sustainable ICT: Developing corporate capabilities and an industry-relevant IS research agenda (2008) Proc. Pacific Asia Conf. Inf. Syst. (PACIS), p. 209. , Suzhou, China; Asadi, S., Hussin, A.R.C., Dahlan, H.M., Organizational research in the field of green IT: A systematic literature review from 2007 to 2016 (2017) Telematics Informat., 34 (7), pp. 1191-1249. , Nov; Dalvi-Esfahani, M., Ramayah, T., Nilashi, M., Modelling upper echelons' behavioural drivers of green IT/IS adoption using an integrated interpretive structural modelling-Analytic network process approach (2017) Telematics Informat., 34 (2), pp. 583-603. , May; Bansal, P., Evolving sustainably: A longitudinal study of corporate sustainable development (2005) Strategic Manage. J., 26 (3), pp. 197-218; Thomson, S., Van Belle, J.P., Antecedents of green IT adoption in South African higher education institutions (2015) Electron. J. Inf. Syst. Eval., 18 (2), pp. 173-187; Willuweit, L., Promoting pro-environmental behavior: An investigation of the cross-cultural environmental behavior patterns (2009) Case Abu Dhabi, Tech. Rep.; Asadi, S., Hussin, A.R., Dahlan, H.M., Yadegaridehkordi, E., Theoretical model for green information technology adoption (2015) ARPN J. Eng. Appl. Sci., 10 (23), pp. 17720-17729; Suárez, E., Hernández, B., Gil-Giménez, D., Corral-Verdugo, V., Determinants of frugal behavior: The influences of consciousness for sustainable consumption, materialism, and the consideration of future consequences (2020) Frontiers Psychol., 11, pp. 1-12. , Nov; Balderjahn, I., Buerke, A., Kirchgeorg, M., Peyer, M., Seegebarth, B., Wiedmann, K.-P., Consciousness for sustainable consumption: Scale development and new insights in the economic dimension of cons</t>
  </si>
  <si>
    <t>Kirkland K., Crimston C.R., Jetten J., Rudnev M., Acevedo-Triana C., Amiot C.E., Ausmees L., Baguma P., Barry O., Becker M., Bilewicz M., Boonyasiriwat W., Castelain T., Costantini G., Dimdins G., Espinosa A., Finchilescu G., Fischer R., Friese M., Gastardo-Conaco M.C., Gómez Á., González R., Goto N., Halama P., Jiga-Boy G.M., Kuppens P., Loughnan S., Markovik M., Mastor K.A., McLatchie N., Novak L.M., Onyekachi B.N., Peker M., Rizwan M., Schaller M., Suh E.M., Talaifar S., Tong E.M.W., Torres A., Turner R.N., Van Lange P.A.M., Vauclair C.-M., Vinogradov A., Wang Z., Yeung V.W.L., Bastian B.</t>
  </si>
  <si>
    <t>57216372895;57424877700;7003316543;55984347800;56167380700;8645001700;57733547800;6507130754;57003097100;36522239600;55954148000;55944500100;57226098012;57197776104;7801426811;36236717500;6602302158;56281547800;12143724600;57222249300;55387490000;36339388700;39761808300;55906962800;36682731600;6603332023;16068999200;56204935400;57221652761;37122372000;57456331800;57433137800;31967782000;57203250317;7103217695;7101935487;56820190600;7006335230;7401784478;15728934800;7004460194;35590750600;57221475855;56080538900;36603731100;7005685014;</t>
  </si>
  <si>
    <t>Social Psychological and Personality Science</t>
  </si>
  <si>
    <t>https://www.scopus.com/inward/record.uri?eid=2-s2.0-85133634722&amp;doi=10.1177%2f19485506221101767&amp;partnerID=40&amp;md5=98eea4ae690af5672ad99734edf73444</t>
  </si>
  <si>
    <t>The University of MelbourneVIC, Australia; The University of Queensland, Brisbane, Australia; HSE University, Moscow, Russian Federation; Universidad Pedagógica y Tecnológica de Colombia, Tunja, Colombia; Université du Québec à Montréal, Canada; University of Tartu, Estonia; Makerere University, Kampala, Uganda; Cheikh Anta Diop University, Dakar, Senegal; Université de Toulouse, CNRS, France; University of Warsaw, Poland; Chulalongkorn University, Bangkok, Thailand; Serra Húnter Fellow, University of Girona, Girona, Spain; University of Milano-Bicocca, Italy; University of Latvia, Riga, Latvia; Pontifical Catholic University of Peru, Lima, Peru; University of the Witwatersrand, Johannesburg, South Africa; Victoria University of Wellington, New Zealand; Saarland University, Saarbrücken, Germany; University of the Philippines Diliman, Quezon City, Philippines; Universidad Nacional de Educación a Distancia (UNED), Madrid, Spain; Pontificia Universidad Católica de Chile, Santiago, Chile; Hitotsubashi University, Japan; Slovak Academy of Sciences, Bratislava, Slovakia; Swansea University, United Kingdom; KU Leuven, Belgium; The University of Edinburgh, United Kingdom; Ss. Cyril and Methodius University, Skopje, North Macedonia; Universiti Kebangsaan Malaysia, Bangi, Malaysia; Lancaster University, United Kingdom; University of Illinois, Chicago, United States; University of Nigeria, Nsukka, Nigeria; MEF University, Istanbul, Turkey; The University of Haripur, Pakistan; The University of British Columbia, Vancouver, Canada; Yonsei University, Seoul, South Korea; Stanford UniversityCA, United States; National University of Singapore, Singapore; Universidade Federal da Paraíba, João Pessoa, Brazil; Queens University, Belfast, United Kingdom; Vrije Universiteit Amsterdam, Netherlands; Instituto Universitário de Lisboa (ISCTE-IUL), CIS-IUL, Lisboa, Portugal; Taras Shevchenko National University of Kyiv, Ukraine; Fudan University, Shanghai, China; Lingnan University, Hong Kong</t>
  </si>
  <si>
    <t>Kirkland, K., The University of MelbourneVIC, Australia; Crimston, C.R., The University of Queensland, Brisbane, Australia; Jetten, J., The University of Queensland, Brisbane, Australia; Rudnev, M., HSE University, Moscow, Russian Federation; Acevedo-Triana, C., Universidad Pedagógica y Tecnológica de Colombia, Tunja, Colombia; Amiot, C.E., Université du Québec à Montréal, Canada; Ausmees, L., University of Tartu, Estonia; Baguma, P., Makerere University, Kampala, Uganda; Barry, O., Cheikh Anta Diop University, Dakar, Senegal; Becker, M., Université de Toulouse, CNRS, France; Bilewicz, M., University of Warsaw, Poland; Boonyasiriwat, W., Chulalongkorn University, Bangkok, Thailand; Castelain, T., Serra Húnter Fellow, University of Girona, Girona, Spain; Costantini, G., University of Milano-Bicocca, Italy; Dimdins, G., University of Latvia, Riga, Latvia; Espinosa, A., Pontifical Catholic University of Peru, Lima, Peru; Finchilescu, G., University of the Witwatersrand, Johannesburg, South Africa; Fischer, R., Victoria University of Wellington, New Zealand; Friese, M., Saarland University, Saarbrücken, Germany; Gastardo-Conaco, M.C., University of the Philippines Diliman, Quezon City, Philippines; Gómez, Á., Universidad Nacional de Educación a Distancia (UNED), Madrid, Spain; González, R., Pontificia Universidad Católica de Chile, Santiago, Chile; Goto, N., Hitotsubashi University, Japan; Halama, P., Slovak Academy of Sciences, Bratislava, Slovakia; Jiga-Boy, G.M., Swansea University, United Kingdom; Kuppens, P., KU Leuven, Belgium; Loughnan, S., The University of Edinburgh, United Kingdom; Markovik, M., Ss. Cyril and Methodius University, Skopje, North Macedonia; Mastor, K.A., Universiti Kebangsaan Malaysia, Bangi, Malaysia; McLatchie, N., Lancaster University, United Kingdom; Novak, L.M., University of Illinois, Chicago, United States; Onyekachi, B.N., University of Nigeria, Nsukka, Nigeria; Peker, M., MEF University, Istanbul, Turkey; Rizwan, M., The University of Haripur, Pakistan; Schaller, M., The University of British Columbia, Vancouver, Canada; Suh, E.M., Yonsei University, Seoul, South Korea; Talaifar, S., Stanford UniversityCA, United States; Tong, E.M.W., National University of Singapore, Singapore; Torres, A., Universidade Federal da Paraíba, João Pessoa, Brazil; Turner, R.N., Queens University, Belfast, United Kingdom; Van Lange, P.A.M., Vrije Universiteit Amsterdam, Netherlands; Vauclair, C.-M., Instituto Universitário de Lisboa (ISCTE-IUL), CIS-IUL, Lisboa, Portugal; Vinogradov, A., Taras Shevchenko National University of Kyiv, Ukraine; Wang, Z., Fudan University, Shanghai, China; Yeung, V.W.L., Lingnan University, Hong Kong; Bastian, B., The University of MelbourneVIC, Australia</t>
  </si>
  <si>
    <t>What are the things that we think matter morally, and how do societal factors influence this? To date, research has explored several individual-level and historical factors that influence the size of our ‘moral circles.' There has, however, been less attention focused on which societal factors play a role. We present the first multi-national exploration of moral expansiveness—that is, the size of people’s moral circles across countries. We found low generalized trust, greater perceptions of a breakdown in the social fabric of society, and greater perceived economic inequality were associated with smaller moral circles. Generalized trust also helped explain the effects of perceived inequality on lower levels of moral inclusiveness. Other inequality indicators (i.e., Gini coefficients) were, however, unrelated to moral expansiveness. These findings suggest that societal factors, especially those associated with generalized trust, may influence the size of our moral circles. © The Author(s) 2022.</t>
  </si>
  <si>
    <t>anomie; economic inequality; moral circles; moral expansiveness; trust</t>
  </si>
  <si>
    <t>ANID/FONDAP 15110006; ANID/FONDAP 15130009; UMO-2017/26/E/HS6/00129; Australian Research Council, ARC: DP200101446; Japan Society for the Promotion of Science, KAKEN: 19KK0063; Latvijas Zinātnes Padome: lzp-2018/1-0402; National Research University Higher School of Economics, ВШЭ</t>
  </si>
  <si>
    <t>The author(s) disclosed receipt of the following financial support for the research, authorship, and/or publication of this article: Brock Bastian was supported by the Australian Research Council (ARC) (grant number DP200101446), Steve Loughnan was supported by the Philip Leverhulme Prize, Roberto González was supported by the Center for Social Conflict and Cohesion Studies (ANID/FONDAP 15130009) and the Center for Intercultural and Indigenous Research (ANID/FONDAP 15110006), Nobuhiko Goto was supported by the JSPS KAKENHI (grant number 19KK0063), Girts Dimdins was supported by the Latvian Council of Science (grant number lzp-2018/1-0402), Michal Bilewicz was supported by the Polish National Science Center Grant Sonata Bis (grant number UMO-2017/26/E/HS6/00129). and Maksim Rudnev was supported by a research project implemented as part of the Basic Research Program at the National Research University Higher School of Economics (HSE University).</t>
  </si>
  <si>
    <t>Bates, D., Mächler, M., Bolker, B.M., Walker, S.C., Fitting linear mixed-effects models using lme4 (2015) Journal of Statistical Software, 67 (1), pp. 1-48. , https://doi.org/10.18637/jss.v067.i01; Bloom, P., How do morals change? (2010) Nature, 464 (7288), p. 490. , https://doi.org/10.1038/464490a; Bryan, M.L., Jenkins, S.P., Multilevel modelling of country effects: A cautionary tale (2016) European Sociological Review, 32 (1), pp. 3-22. , https://doi.org/10.1093/esr/jcv059; Côté, S., House, J., Willer, R., High economic inequality leads higher-income individuals to be less generous (2015) Proceedings of the National Academy of Sciences, 112 (52), pp. 15838-15843. , https://doi.org/10.1073/pnas.1511536112; Crimston, C.R., Bain, P.G., Hornsey, M.J., Bastian, B., Moral expansiveness: Examining variability in the extension of the moral world (2016) Journal of Personality and Social Psychology, 111 (4), pp. 636-653. , https://doi.org/10.1037/pspp0000086; Crimston, C.R., Hornsey, M.J., Bain, P.G., Bastian, B., Moral expansiveness short form: Validity and reliability of the MESx (2018) PLoS ONE, 13 (10), p. e0205373. , https://doi.org/10.1371/journal.pone.0205373, (, a; Crimston, C.R., Hornsey, M.J., Bain, P.G., Bastian, B., Toward a psychology of moral expansiveness (2018) Current Directions in Psychological Science, 27 (1), pp. 14-19. , https://doi.org/10.1177/0963721417730888, (, b; (2019) Democracy index 2019, , https://www.eiu.com/topic/democracy-index; Elgar, F.J., Income inequality, trust, and population health in 33 countries (2010) American Journal of Public Health, 100 (11), pp. 2311-2315. , https://doi.org/10.2105/AJPH.2009.189134; Frank, M.W., A new state-level panel of annual inequality measures over the period 1916-2005 (2014) Journal of Business Strategies, 31 (1), pp. 241-263. , https://doi.org/10.54155/jbs.31.1.241-263; Glei, D.A., Goldman, N., Weinstein, M., Perception has its own reality: Subjective versus objective measures of economic distress (2018) Population and Development Review, 44 (4), pp. 695-722. , https://doi.org/10.1111/padr.12183; Goodman, E., Adler, N.E., Kawachi, I., Frazier, A.L., Huang, B., Colditz, G.A., Adolescents’ perceptions of social status: Development and evaluation of a new indicator (2001) Pediatrics, 108 (2), pp. 1-8. , https://doi.org/10.1542/peds.108.2.e31; Graham, J., Nosek, B.A., Haidt, J., Iyer, R., Koleva, S., Ditto, P.H., Mapping the moral domain (2011) Journal of Personality and Social Psychology, 101 (2), pp. 366-385. , https://doi.org/10.1037/a0021847; Henrich, J., Heine, S.J., Norenzayan, A., The weirdest people in the world? (2010) Behavioral and Brain Sciences, 33 (2-3), pp. 61-135. , https://doi.org/10.1017/S0140525X0999152X; Heydari, A., Teymoori, A., Haghish, E.F., Mohamadi, B., Influential factors on ethnocentrism: The effect of socioeconomic status, anomie, and authoritarianism (2014) Social Science Information, 53 (2), pp. 240-254. , https://doi.org/10.1177/0539018413517521; Jetten, J., Wang, Z., Steffens, N.K., Mols, F., Peters, K., Verkuyten, M., A social identity analysis of responses to economic inequality (2017) Current Opinion in Psychology, 18, pp. 1-5. , https://doi.org/10.1016/j.copsyc.2017.05.011; Knell, M., Stix, H., Perceptions of inequality (2020) European Journal of Political Economy, 65, , https://doi.org/10.1016/j.ejpoleco.2020.101927, 101927; (2019) Legatum Prosperity Index, , https://www.prosperity.com/rankings; Meyer, C., Lohr, C., Gronenborn, D., Alt, K.W., The massacre mass grave of Schöneck-Kilianstädten reveals new insights into collective violence in Early Neolithic Central Europe (2015) Proceedings of the National Academy of Sciences of the United States of America, 112 (36), pp. 11217-11222. , https://doi.org/10.1073/pnas.1504365112; Na, J., Grossmann, I., Varnum, M.E.W., Kitayama, S., Gonzalez, R., Nisbett, R.E., Cultural differences are not always reducible to individual differences (2010) Proceedings of the National Academy of Sciences of the United States of America, 107 (14), pp. 6192-6197. , https://doi.org/10.1073/pnas.1001911107; Nannestad, P., What have we learned about generalized trust, if anything? (2008) Annual Review of Political Science, 11, pp. 413-436. , https://doi.org/10.1146/annurev.polisci.11.060606.135412; Norton, M.I., Ariely, D., Building a better America - one wealth quintile at a time (2011) Perspectives on Psychological Science, 6 (1), pp. 9-12. , https://doi.org/10.1177/1745691610393524; Oishi, S., Kesebir, S., Diener, E., Income inequality and happiness (2011) Psychological Science, 22 (9), pp. 1095-1100. , https://doi.org/10.1177/0956797611417262; Oshio, T., Urakawa, K., The association between perceived income inequality and subjective well-being: Evidence from a social survey in Japan (2014) Social Indicators Research, 116 (3), pp. 755-770. , https://doi.org/10.1007/s11205-013-0323-x; Phillips, L.T., Tepper, S.J., Goya-Tocchetto, D., Davidai, S., Ordabayeva, N., Mirza, M.U., Szaszi, B., Jachimowicz, J.M., Inequality in people’s minds (2020) Psyarxiv, , https://doi.org/10.31234/osf.io/vawh9; Pinker, S., (2011) The better angels of our nature: Why violence has declined, , Viking; R: A language and environment for statistical computing (2008) R foundation for statistical computing, 739. , https://doi.org/http://dx.doi.org/10.1007/978-3-540-74686-7; Rotter, J.B., A new scale for the measurement of interpersonal trust (1967) Journal of Personality, 35 (4), pp. 651-665. , https://doi.org/10.1111/j.1467-6494.1967.tb01454.x; Rottman, J., Crimston, C.R., Syropoulos, S., Tree-huggers versus human-lovers: Anthropomorphism and dehumanization predict valuing nature over outgroups (2021) Cognitive Science, 45 (4), p. e12967. , https://doi.org/10.1111/cogs.12967; Rousseau, D.M., Sitkin, S.B., Burt, R.S., Camerer, C., Not so different after all: A cross-discipline view of trust (1998) Academy of Management Review, 23 (3), pp. 393-404. , https://doi.org/10.5465/AMR.1998.926617; Saladié, P., Rodríguez-Hidalgo, A., Archaeological evidence for cannibalism in prehistoric Western Europe: From Homo antecessor to the Bronze Age (2017) Journal of Archaeological Method and Theory, 24 (4), pp. 1034-1071. , https://doi.org/10.1007/s10816-016-9306-y; Sánchez-Rodríguez, Á., Willis, G.B., Jetten, J., Rodríguez-Bailón, R., Economic inequality enhances inferences that the normative climate is individualistic and competitive (2018) European Journal of Social Psychology, 49 (6), pp. 1114-1127. , https://doi.org/10.1002/ejsp.2557; Singer, P., (1981) The expanding circle: Ethics and sociobiology, , Clarendon Press; Singh-Manoux, A., Adler, N.E., Marmot, M.G., Subjective social status: Its determinants and its association with measures of ill-health in the Whitehall II study (2003) Social Science and Medicine, 56 (6), pp. 1321-1333. , https://doi.org/10.1016/S0277-9536(02)00131-4; Sprong, S., Jetten, J., Wang, Z., Peters, K., Mols, F., Verkuyten, M., Bastian, B., ..Wohl, M.J.A., Our country needs a strong leader right now”: Economic inequality enhances the wish for a strong leader (2019) Psychological Science, 30 (11), pp. 1625-1637. , https://doi.org/10.1177/0956797619875472; Starmans, C., Sheskin, M., Bloom, P., Why people prefer unequal societies (2017) Nature Human Behaviour, 1 (4), pp. 1-7. , https://doi.org/10.1038/s41562-017-0082; Teymoori, A., Bastian, B., Jetten, J., Towards a psychological analysis of anomie (2017) Political Psychology, 38 (6), pp. 1009-1023. , https://doi.org/10.1111/pops.12377; Umemura, T., Attitudes toward ingroups versus outgroups as unique distinctions between political trust and generalized social trust: A study of ethnically diverse youth in the Czech Republic (2017) Ceskoslovenska Psychologie, 61 (5), pp. 433-448; (2019) Victims of intentional homicide, 1990-2018, , https://dataunodc.un.org/content/data/homicide/homicide-rate; Uslaner, E.M., Brown, M., Inequality, trust, and civic engagement (2005) American Politics Research, 33 (6), pp. 868-894. , https://doi.org/10.1177/1532673X04271903; Van Lange, P.A.M., Generalized trust: Four lessons from genetics and culture (2015) Current Directions in Psychological Science, 24 (1), pp. 71-76. , https://doi.org/10.1177/0963721414552473; Waytz, A., Iyer, R., Young, L., Haidt, J., Graham, J., Ideological differences in the expanse of the moral circle (2019) Nature Communications, 10 (1), p. 4389. , https://doi.org/10.1038/s41467-019-12227-0; Hayes, A., (2022) Gini Index, , https://www.investopedia.com/terms/g/gini-index.asp, Investopedia; Wilkinson, R.G., Pickett, K.E., The problems of relative deprivation: Why some societies do better than others (2007) Social Science and Medicine, 65 (9), pp. 1965-1978. , https://doi.org/10.1016/j.socscimed.2007.05.041; Wilkinson, R.G., Pickett, K.E., (2009) The spirit level: Why more equal societies almost always do better, , Allen Lane; (2019) GDP per capita, PPP (current international $), , https://data.worldbank.org/indicator/NY.GDP.PCAP.PP.CD?end=2019&amp;name_desc=false&amp;start=1990&amp;view=chart, (, a; (2019) Gini index (World Bank estimate), , https://data.worldbank.org/indicator/SI.POV.GINI, (, b</t>
  </si>
  <si>
    <t>Kirkland, K.; The University of MelbourneAustralia; email: kelly.kirkland@unimelb.edu.au</t>
  </si>
  <si>
    <t>Soc. Psychol. Pers. Sci</t>
  </si>
  <si>
    <t>2-s2.0-85133634722</t>
  </si>
  <si>
    <t>Rincón-Martínez M.-P.</t>
  </si>
  <si>
    <t>57786519900;</t>
  </si>
  <si>
    <t>Disinformation and cyber troops in Twitter. The 'False positives' mass grave found in Dabeiba, Colombia [Desinformación y bodegas en Twitter. El hallazgo de falsos positivos en Dabeiba, Colombia]</t>
  </si>
  <si>
    <t>Revista Mediterranea de Comunicacion</t>
  </si>
  <si>
    <t>10.14198/MEDCOM.21818</t>
  </si>
  <si>
    <t>https://www.scopus.com/inward/record.uri?eid=2-s2.0-85133611355&amp;doi=10.14198%2fMEDCOM.21818&amp;partnerID=40&amp;md5=6f54e3b735436ce1661934542ffccd87</t>
  </si>
  <si>
    <t>Universidad Nacional de Rosario, Colombia</t>
  </si>
  <si>
    <t>Rincón-Martínez, M.-P., Universidad Nacional de Rosario, Colombia</t>
  </si>
  <si>
    <t>This investigation analyses the content of the disinformation and delegitimisation campaign generated on Twitter around the 'False positives' (extrajudicial executions committed by members of the Colombian Army) mass grave found in Dabeiba, Colombia and its possible relationship with cyber troops. It started with a quantitative analysis of 602 publications using the MAXQDA, Leingmotif and Botometer tools, which made it possible to identify the narrative, the argumentative categories, the predominant sentiment sought to exalt, and the actors involved. The results reveal the participation of cyber troops that seek to distort historical memory, attack JEP, obstruct the search for truth and the construction of peace in the country. © 2022 Maria-Paula Rincón-Martínez</t>
  </si>
  <si>
    <t>armed conflict; content analysis; cyber troops; Disinformation campaign; distortion; False Positives; historical memory</t>
  </si>
  <si>
    <t>Abarca, A., Alpízar, F., Sibaja, G., Rojas, C., (2013) Técnicas cualitativas de investigación, , UCR; Aguirre, Á., ¿Por qué es importante la memoria histórica en Colombia? (2015) Revista Nova et Vetera, 1 (3). , https://bit.ly/3ty6gEw; Althuis, L., Haiden, L., (2018) Fake News. A Roadmap, , https://bit.ly/3A4uozZ, NATO Strategic Communications Centre of Excellence; Alvarado, S., Merecemos la verdad sobre los falsos positivos https://nyti.ms/3I7Ngko, (26/02/2021). The New York Times; Badillo, A., (2019) La sociedad de la desinformación: propaganda, fake news y la nueva geopolítica de la información, , https://bit.ly/33o4F9B, (14/05/). Real Instituto Elcano; Benavides, F. L., Rojas, O. E., (2017) Ejecuciones extrajudiciales en Colombia 2002-2010: Obediencia ciega en campos de batalla ficticios, , Ediciones USTA; Bennett, W. L., Livingston, S., The disinformation order: Disruptive communication and the decline of democratic institutions (2018) European Journal of Communication, 33 (2), pp. 122-139. , https://doi.org/10.1177/0267323118760317; Borda, S., Presidenciales en Colombia: ¿polarización o deterioro de la conversación política? (2018), https://bit.ly/3Fvq7GY, Nueva Sociedad; Bradshaw, S., Howard, P. N., (2017) Troops, Trolls and Troublemakers: A Global Inventory of Organized Social Media Manipulation, , https://bit.ly/3g6O6lC, University of Oxford; Bradshaw, S., Bailey, H., Howard, P. N., (2020) Industrialized Disinformation 2020 Global Inventory of Organized Social Media Manipulation, , https://bit.ly/3He09cv, University of Oxford; Calderón, J., Etapas del conflicto armado en Colombia: hacia el posconflicto (2016) Latinoamérica. Revista de estudios Latinoamericanos, 62, pp. 227-257. , https://bit.ly/3FTUCXf; Cárdenas, J. D., De la 'bodeguita' uribista y de fake news Razón Pública, , https://bit.ly/3o4S1nm, (17/02/2020); Castells, M., (2006) La sociedad red: una visión global, , Alianza Editorial; Castells, M., (2009) Comunicación y Poder, , Alianza Editorial; Chowdhury, R., Examining algorithmic amplification of political content on Twitter (2021) Blog Twitter, , https://bit.ly/33mIiBq; (2021), https://bit.ly/3Gx4JlO, Encuesta Polimétrica, septiembre 2021. Cifras y Conceptos; Cortés, V., Engaños y bots, la cruzada digital en contra de la JEP (I) El Espectador, , https://bit.ly/33JYZqN, (07/07/2020); Diazgranados, H., Estudio Regional: Iceberg Digital https://bit.ly/3rmrvqm, (03/02/2021). Karpesky Daily; Eiroa, M., Memoria e historia en redes sociales: nuevos soportes de resistencia al olvido de la Guerra Civil española y el Franquismo (2020) Historia Y Memoria, 21, pp. 71-108. , https://doi.org/10.19053/20275137.n21.2020.9659; El prontuario de Monsalve, el 'expara' que desató proceso contra Uribe El Tiempo, , https://bit.ly/3oaUkVW, (09/08/2020); ONU se pronuncia sobre investigación de 'falsos positivos' en el país El Tiempo, , https://bit.ly/3tz6ECn, (19/02/2021a); 'Acuerdo de paz no ha habido': las reflexiones de Uribe a António Guterres El Tiempo, , https://bit.ly/3fs6eWv, El Tiempo. (24/11/2021b); Figueroa, A. A., Pensar los lugares de memoria: el uso del hashtag en Twitter (2020) Revista pueblos y fronteras digital, 15, pp. 1-26. , https://doi.org/10.22201/cimsur.18704115e.2020.v15.444; Fisher, M., El oscuro negocio de la desinformación por encargo https://nyti.ms/3HefI48, (27/07/2021). The New York Times; Fuchs, C., (2014) Social media. A critical introduction, , Sage; (2021) Poll. Medición 144, agosto 2021, , https://bit.ly/328iQze, Invamer: investigación y asesoría del mercado; Jaramillo, E., En defensa de la centralidad frente a la bipolaridad política (2021) Semanario Virtual Caja de Herramientas, p. 748. , https://bit.ly/3ntVWK1; JEP abre el caso 003: “Muertes ilegítimamente presentadas como bajas en combate por agentes del Estado” (2018), https://bit.ly/341nuPZ, Jurisdicción Especial para la Paz; (2020) La JEP reporta 17 nuevos hallazgos forenses en Dabeiba, , https://bit.ly/3AGBmvi, Jurisdicción Especial para la Paz; En las entrañas de una 'bodeguita' uribista La Liga Contra el Silencio, , https://bit.ly/3G7iEhr, (06/02/2020); Colombia a cinco años del Acuerdo de Paz: Pese a los avances, la violencia sigue siendo un gran desafío https://bit.ly/3tyll8E, (30/09/2021). Noticias ONU; Nasi, C., ¿No al diálogo de Santos con las FARC? ¿Cuáles son los argumentos? (2014) Razón Pública, , https://bit.ly/3KSSBht; Noiret, S., Trabajar con el pasado en internet: la historia pública digital y las narraciones de las redes sociales (2018) Revista de Historia Contemporánea, 110 (2), pp. 111-140. , https://bit.ly/3KhcGhm; (2018) El conflicto armado en cifras, , https://bit.ly/3HeXuj1, Centro de Memoria Histórica; Parada, V., Los cuerpos hallados por la JEP en Dabeiba sí eran víctimas de “falsos positivos” El Espectador, , https://bit.ly/3NfXEtJ, (22/11/2020); Perdomo, L., Del embrujo al encanto autoritario La Silla Vacía, , https://bit.ly/33FbL9M, (27/09/2018); Salinas, D., Fake news: desinformación y censura en Colombia (2020) Mentiras, odio y desinformación. Tiempos postfácticos en América Latina, pp. 23-27. , https://bit.ly/3tsQUBi, En A. Harting, y I. Spiller (Eds); Schmitt, C., (1999) El concepto de lo político, , Alianza Editorial; Tarapués, D. F., El Tribunal para la Paz y las Salas de Justicia de la JEP como órganos jurisdiccionales sui generis (2020) Vniversitas, 69, pp. 1-20. , https://doi.org/10.11144/Javeriana.vj69.tpsj; Zuluaga, D., Uribe critica polémico presupuesto de la Comisión de la Verdad El colombiano, , https://bit.ly/3nQchZC, (04/01/2022)</t>
  </si>
  <si>
    <t>Rincón-Martínez, M.-P.; Universidad Nacional de RosarioColombia; email: mariapaularin@gmail.com</t>
  </si>
  <si>
    <t>Universidad de Alicante</t>
  </si>
  <si>
    <t>Rev. Mediterr. Comun.</t>
  </si>
  <si>
    <t>2-s2.0-85133611355</t>
  </si>
  <si>
    <t>Alonso-López N., Sidorenko-Bautista P.</t>
  </si>
  <si>
    <t>57219878450;57211801795;</t>
  </si>
  <si>
    <t>Spanish historical memory coverage on TikTok: profiles, content and messages [Tratamiento de la memoria histórica española en TikTok: perfiles, contenidos y mensajes]</t>
  </si>
  <si>
    <t>10.14198/MEDCOM.21824</t>
  </si>
  <si>
    <t>https://www.scopus.com/inward/record.uri?eid=2-s2.0-85133559620&amp;doi=10.14198%2fMEDCOM.21824&amp;partnerID=40&amp;md5=61b1b85cc610ca1250429f5cf3cab608</t>
  </si>
  <si>
    <t>Universitat Politècnica de València, Spain; Universidad Internacional de La Rioja, Spain</t>
  </si>
  <si>
    <t>Alonso-López, N., Universitat Politècnica de València, Spain; Sidorenko-Bautista, P., Universidad Internacional de La Rioja, Spain</t>
  </si>
  <si>
    <t>The evolution of the Internet and the platforms that emerge from it, as well as the deployment of mobile technologies, has enhanced the prosumer character of users. Nowadays, social networks are spaces where a topic is not only addressed but also debated by people who do not always have the criteria or elements to deal with them as they should, or who lack access to the best sources for such purposes. TikTok emerges as a new social space where ephemeral and visually-charged content prevails. Through a content analysis, this study sought to highlight how Spanish Historical Memory is addressed on this platform. The results reveal a historical and objective coverage of the data in most of the occasions, the intervention of influencers around historical and social issues, and a clear and majority polarisation regarding the sides and actors of the corresponding historical periods. © 2022 Nadia Alonso-López, Pavel Sidorenko-Bautista</t>
  </si>
  <si>
    <t>Digital Communication; Historical Memory; History; Social Media; Spain; TikTok</t>
  </si>
  <si>
    <t>Abidin, C., Mapping internet celebrity on TikTok: Exploring attention economies and visibility labours (2021) Cultural Sciences, 12 (1), pp. 77-103. , https://doi.org/10.5334/csci.140; Alonso-López, N., Sidorenko-Bautista, P., Giacomelli, F., Beyond challenges and viral dance moves: TikTok as a vehicle for disinformation and fact-checking in Spain, Portugal, Brazil, and the USA (2021) Anàlisi, 64, pp. 65-84. , https://doi.org/10.5565/rev/analisi.3411; Anderson, K. E., Getting acquainted with social networks and apps: it is time to talk about TikTok (2020) Library Hi Tech News, 37 (4), pp. 7-12. , https://doi.org/10.1108/LHTN-01-2020-0001; Aruguete, N., Network-Activated Frames (NAF), Redefining Framing in a New Digital Era (2019) Encyclopedia of Educational Innovation, , https://doi.org/10.1007/978-981-13-2262-4_55-1, M. Peters &amp; R. Heraud (Eds), Springer; Bail, C. A., Argvie, L. P., Volfovsky, A., Exposure to opposing views on social media can increase political polarization (2018) PNAS, 115 (37), pp. 9216-9221. , https://doi.org/10.1073/pnas.1804840115; Barranquero Texeira, E., La memoria de la represión franquista sobre las mujeres en los websites (2017) Historia y Comunicación Social, 22 (2), pp. 363-380. , https://doi.org/10.5209/HICS.57849; Casero-Ripollés, A., Impacto del Covid-19 en el sistema de medios. Consecuencias comunicativas y democráticas del consumo de noticias durante el brote (2020) Profesional de la Información, 29 (2). , https://doi.org/10.3145/epi.2020.mar.23; Castro Martínez, A., Díaz Morilla, P., La comunicación política de la derecha radical en redes sociales. De Instagram a TikTok y Gab, la estrategia digital de Vox (2021) Dígitos. Revista de Comunicación Digital, 7, pp. 67-89. , https://doi.org/10.7203/rd.v1i7.210; Chamorro Maldonado, M., Recovery of Historical Memory in Fiction Series through Social Networks. The case of Spain and Chile. TECHNO REVIEW (2016) International Technology, Science and Society Review, 5 (1), pp. 29-41. , https://doi.org/10.37467/gka-revtechno.v5.454; Cervi, L., Tik Tok and generation Z (2021) Theatre, Dance and Performance Training, 12 (2), pp. 198-204. , https://doi.org/10.1080/19443927.2021.1915617; Cervi, L., Tejedor, S., Marín Lladó, C., TikTok and the new language of political communication (2021) Cultura, Lenguaje y Representación, 26, pp. 267-287. , https://doi.org/10.6035/clr.5817; Cid, G., Así está 'okupando' China el nuevo internet: por qué ves vídeos de TikTok por todas partes (2021) El Confidencial, , https://bit.ly/3rerFB1; (2020) Móviles en España y en el Mundo 2020, , https://bit.ly/3s4EYU2; (2012) El Gobierno elimina el presupuesto de la Memoria Histórica, , https://bit.ly/3IMHLb4; Fuertes Zapatero, A., La creación de memoria histórica a través de testimonios orales empleando tecnologías de la información y la comunicación (2014) Historia y Comunicación Social, 19, pp. 657-664. , http://dx.doi.org/10.5209/rev_HICS.2014.v19.45056; Galeano, S., (2020) Cómo funciona el algoritmo de TikTok… explicado por TikTok, , https://bit.ly/3ugg72f, Marketing4ECommerce; Gálvez, S., El proceso de la recuperación de la “memoria histórica” en España: Una aproximación a los movimientos sociales por la memoria (2006) International Journal of Iberian Studies, 19 (1), pp. 25-51. , https://doi.org/10.1386/ijis.19.1.25/1; Kaye, D. B. V., Chen, X., Zeng, J., The co-evolution of two Chinese mobile short video apps: Parallel platformization of Douyin and TikTok (2020) Mobile Media &amp; Communication, 9 (2), pp. 229-253. , https://doi.org/10.1177/2050157920952120; Kubin, E., Von Sikorski, C., The role of (social) media in political polarization: a systematic review (2021) Annals of the International Communication Association, 45, pp. 188-206. , https://doi.org/10.1080/23808985.2021.1976070; Proyecto de Ley de Memoria Democrática, , https://bit.ly/3IRksNl, (20/07/2021). Presidencia del Gobierno; Ley 52/2007, de 26 de diciembre, por la que se reconocen y amplían derechos y se establecen medidas en favor de quienes padecieron persecución o violencia durante la guerra civil y la dictadura (2007) Boletín Oficial del Estado, 310, pp. 53410-53416. , https://bit.ly/3gg0zU1, de 27 de diciembre de 2007; Li, X., Xiaohui, Y., Zhengwu, Z., Research on the causes of the “TikTok” app becoming popular and the existing problems (2019) Journal of Advanced Management Science, 7 (2), pp. 59-63. , https://doi.org/10.18178/joams.7.2.59-63; López Noguero, F., El análisis de contenido como método de investigación (2002) Revista de Educación, 4, pp. 167-179; López-Olano, C., Fenoll, V., Posverdad, o la narración del procés catalán desde el exterior: BBC, DW y RT (2019) Profesional De La Información, 28 (3). , https://doi.org/10.3145/epi.2019.may.18; López-Olano, C., Fenoll, V., La polarización mediática en el proceso de independencia en Cataluña. Estudio comparativo del tratamiento en RT (2020) Revista Mediterránea de Comunicación/Mediterranean Journal of Communication, 11 (1), pp. 261-272. , https://www.doi.org/10.14198/MEDCOM2020.11.1.22; Martín-Ramadall, P., Ruiz-Mondaza, M., Agentes protectores del menor y redes sociales. El dilema de TiKToK (2022) Revista Mediterránea de Comunicación/Mediterranean Journal of Communication, 13 (1), pp. 31-49. , https://www.doi.org/10.14198/MEDCOM.20776; Negreira-Rey., M. C., Vázquez-Herrero, J., López-García, X., Blurring Boundaries Between Journalists and Tiktokers: Journalistic Role Performance on TikTok (2022) Media and Communication, 10 (2). , https://doi.org/10.17645/mac.v10i1.4699; Omar, B., Dequan, W., Watch, Share or Create: The Influence of Personality Traits and User Motivation on TikTok Mobile Video Usage (2020) International Association of Online Engineering, 14 (4), pp. 121-137. , https://doi.org/10.3991/ijim.v14i04.12429; Orbegozo-Terradillos, J., Morales-i-Gras, J., Larrondo-Ureta, A., Desinformación en redes sociales: ¿compartimentos estancos o espacios dialécticos? El caso Luther King, Quim Torra y El Confidencial (2020) Revista Mediterránea de Comunicación/Mediterranean Journal of Communication, 11 (2), pp. 55-69. , https://www.doi.org/10.14198/MEDCOM2020.11.2.2; Rueda Laffond, J. C., Monumentalización del pasado, historiografía y memoria mediática: el holocausto y la transición española (2015) Historia Actual Online, 38 (3), pp. 71-85; Sánchez-Castillo, S., Mercado-Sáez, M.T., Sufro una grave enfermedad rara. Reto a cantar y hacer coreografías en TikTok (2021) Profesional de la información, 30 (4). , https://doi.org/10.3145/epi.2021.jul.14; San Francisco, M. E., Memoria e historia en redes sociales: nuevos soportes de resistencia al olvido de la Guerra Civil española y el Franquismo (2020) Historia y Memoria, 21, pp. 71-108. , https://doi.org/10.19053/20275137.n21.2020.9659; Sepúlveda, M., Sepúlveda, A., Piper Sharif, I., Troncoso, L., Lugares de memoria y agenciamientos generacionales: lugar, espacio y experiencia (2015) Última Década, 23 (42), pp. 93-113. , http://dx.doi.org/10.4067/S0718-22362015000100005; Sidorenko, P., Herranz de la Casa, J. M., Cantero, J.I., Use of New Narratives for COVID19 reporting: from 360ºvideos to ephemeral TikTok videos in online media2 (2020) Trípodos, 47 (1), pp. 105-122. , https://doi.org/10.51698/tripodos.2020.47p105-122; Sidorenko Bautista, P., Herranz de la Casa, J. M., Moya Ruiz, A.S., Análisis de la comunicación de empresas europeas y norteamericanas en TikTok (2021) aDResearch ESIC, 25 (25), pp. 106-123. , https://doi.org/10.7263/adresic-025-06; Shuai, Y., Yuzhen, Z., Yifang, M., Analysis of the reasons and development of short video application - Taking Tik Tok as an example (2019) 9th International Conference on Information and Social Science (ICISS 2019), pp. 340-343. , https://doi.org/10.25236/iciss.2019.062, Francis Academic Press; Toffler, A., (1992) La tercera ola, , Plaza &amp; Janés; Valera-Ordaz, L., Medios, identidad nacional y exposición selectiva: predictores de preferencias mediáticas de los catalanes (2018) Revista Española de Investigaciones Sociológicas, 164, pp. 135-154. , http://dx.doi.org/10.5477/cis/reis.164.135; Vázquez-Herrero, J., Negreira-Rey, M. C., López-García, X., Let's dance the news! How the news media are adapting to the logic of TikTok (2020) Journalism, 1 (19). , https://doi.org/10.1177%2F1464884920969092; Vázquez Liñán, M., Leetoy, S., Memoria histórica y propaganda. Una aproximación teórica al estudio comunicacional de la memoria (2016) Comunicación y Sociedad, 26, pp. 71-94. , https://doi.org/10.32870/cys.v0i26.5436; Velasco-Mesa, C., Historia y Memoria: un mismo combate. Aportaciones epistemológicas de Historia a Debate a las controversias acerca de la memoria histórica (2017) Memorias: Revista Digital de Arqueología e Historia desde el Caribe, 33, pp. 120-141. , http://dx.doi.org/10.14482/memor.32.10338; Velasco-Mesa, C., La memoria histórica y su dimensión política, social y académica (2019) Revista PH, 96, pp. 231-234. , https://doi.org/10.33349/2019.96.4302; Vijay, D., Gekker, A., Playing politics: How Sabarimala played out on TikTok (2021) American behavioral scientist, 65 (5), pp. 712-734. , https://doi.org/10.1177/0002764221989769; Villa Gómez, J., Avendaño, M., Agudelo, M., La memoria como objeto de estudio en las ciencias sociales (2018) ECA: Estudios Centroamericanos, 73 (754), pp. 301-326. , https://doi.org/10.51378/eca.v73i754.3171; Why TikTok made its user so obsessive? The AI Algorithm that got you hooked (2020) Towards Data Science, , https://bit.ly/3HqeOBK; (2022) Digital Report 2022, , https://bit.ly/3GiSyIt, Global Digital Overview; Yeste, E., El discurso de la memoria histórica en los Medios de Comunicación (2008) En I+C Investigar la Comunicación, , https://bit.ly/3IRpZng, Congreso Internacional Fundacional AE-IC. Santiago de Compostela; Yu-Liang, F. Y. L., Chun-Chin, C., Shu-Ming, W., Evaluation of charm factors of short video user experience using FAHP - a case study of TikTok app (2019) IOP Conference Series: Materials Science and Engineering, 688, pp. 1-5. , https://doi.org/10.1088/1757-899X/688/5/055068; Zeng, J., Abidin, C., Schäfer, M. S., Research perspectives on TikTok and its legacy apps: introduction (2021) International Journal of Communication, 15, pp. 3161-3172. , https://doi.org/10.5167/uzh-205427; Zvereva, V., Medios digitales: Propaganda, ciberguerra y entretenimiento (2018) Sistema mediático y propaganda en la Rusia de Putin, pp. 177-209. , En A. Tarín Sanz, M. Ter Ferrer, y M. Vázquez Liñán (Eds), Comunicación Social, Ediciones y Publicaciones</t>
  </si>
  <si>
    <t>2-s2.0-85133559620</t>
  </si>
  <si>
    <t>Ruiz L.K.A., Sánchez P.V., Barbudo D.C., Hernández L.G., Hernández J.M.R.</t>
  </si>
  <si>
    <t>57192370063;57781674700;57782470300;57782470400;57208220571;</t>
  </si>
  <si>
    <t>Systematization of Experiences: A reflection on its potential for public health [Sistematización de Experiencias: Una reflexión sobre sus potencialidades para la salud pública]</t>
  </si>
  <si>
    <t>Salud Uninorte</t>
  </si>
  <si>
    <t>10.14482/sun.38.1.614.41</t>
  </si>
  <si>
    <t>https://www.scopus.com/inward/record.uri?eid=2-s2.0-85133443906&amp;doi=10.14482%2fsun.38.1.614.41&amp;partnerID=40&amp;md5=802c90f7397ab9a013dfbdf35542bddb</t>
  </si>
  <si>
    <t>Universidad Nacional de Colombia (UNAL), Sociales y Humanas de la Pontificia Universidad Javeriana, Investigación social interdisciplinaria Universidad Distrital Francisco José de Caldas (UD), Instituto de Salud Pública (ISP) de la Pontificia Universidad Javeriana (PUJ), Colombia; UNAL, ISP-PUJ, Colombia; Universidad de la República de Uruguay, Joven investigadora profesional ISP-PUJ, Uruguay; Epidemiología Universidad del Valle (UniValle), Epidemiología Escuela de Salud Pública de México, ISP-PUJ, Colombia</t>
  </si>
  <si>
    <t>Ruiz, L.K.A., Universidad Nacional de Colombia (UNAL), Sociales y Humanas de la Pontificia Universidad Javeriana, Investigación social interdisciplinaria Universidad Distrital Francisco José de Caldas (UD), Instituto de Salud Pública (ISP) de la Pontificia Universidad Javeriana (PUJ), Colombia; Sánchez, P.V., UNAL, ISP-PUJ, Colombia; Barbudo, D.C., Universidad de la República de Uruguay, Joven investigadora profesional ISP-PUJ, Uruguay; Hernández, L.G., UNAL, ISP-PUJ, Colombia; Hernández, J.M.R., Epidemiología Universidad del Valle (UniValle), Epidemiología Escuela de Salud Pública de México, ISP-PUJ, Colombia</t>
  </si>
  <si>
    <t>Objective: To show the results of a literature review about the investigation and methodology of Systematization of Experiences and its relevance in public health. Method: A literature review was carried out in two stages. The following Boolean operators were used: “systematization of experiences” AND “methodology” OR “research” OR “health” OR “popular education” OR “social work” OR “Latin America” OR “Participatory Action Research”, in the MedLine and Scielo databases, was complemented by a search in the general catalog of the libraries of the Pontificia Universidad Javeriana and the Universidad Nacional de Colombia. Date and language were left open. N-Vivo version 12 was used for the processing and description of the information. Results: A total of 183 references were obtained from articles, books, gray literature, thesis (undergraduate, master’s or doctorate) and audiovisual material. Of these, 88 were selected for full text review. Six categories were created related to the definition, methodology, instruments, objectives, limits-tensions and advantages of the Systematization of experiences. Conclusions: The Systematization of Experiences is a methodological strategy that contributes to qualitative research created within the context of Latin America, which allows us to recover the history and knowledge of practices while also strengthening and transforming the local reality. In the field of public health, it allows us to reinterpreting the notions and problems of individuals and communities; understanding their experiences, needs and expectations in health; and identify people’s agency to improve and positively influence the well-being and quality of life of the community. © 2022, Universidad del Norte. All rights reserved.</t>
  </si>
  <si>
    <t>America; Methodology; Public health; Qualitative research</t>
  </si>
  <si>
    <t>De los Ríos, R., La promoción de la investigación en salud pública: Búsqueda del equilibrio entre pertinencia y excelencia (1999) Rev. Panam Salud Publica [Internet], 5, pp. 309-315. , Https://www.scielosp.org/article/rpsp/1999.v5n4-5/309-315/, abril [citado 29 de mayo de 2020]; Disponible en; Barnechea García, MMB, Morgan M de la, L., La sistematización de experiencias: Producción de conocimientos desde y para la práctica (2010) TendRetos, 15, pp. 97-107. , Http://www.ts.ucr.ac.cr/binarios/tendencias/rev-co-tendencias-15-07.pdf, [Internet]. Disponible en; Cifuentes Gil, RMC., (2016) IAP y sistematización de experiencias: Apuestas, propuestas, desafíos para construir educaciones e intervenciones pertinentes y potenciadoras, pp. 1-29. , Http://elmecs.fahce.unlp.edu.ar/v-elmecs/actas-2016/Cifuentes.pdf, Argentina; Disponible en; Romero, CAR., (2015) La sistematización de experiencias como alternativa de investigación social, , Https://repository.uniminuto.edu/bitstream/handle/10656/3625/TTS_RomeroArdilaCamilaAndrea_2015.pdf?sequence=1&amp;isAllowed=y, [Internet] Tesis. Bogotá, Colombia, Minuto de Dios; Disponible en; Jara, O., (2010) La sistematización de Experiencias: Aspectos teóricos y metodológicos, , Http://www.cepalforja.org/sistem/bvirtual/?p=669, [Internet]. [citado 30 de octubre de 2020]. Disponible en; Holkup, PA, Tripp-Reimer, T, Salois, EM, Weinert, C., Community-based participatory research: An approach to intervention research with a Native American community ANS Adv Nurs Sci, 27 (3), pp. 162-175. , 2004Sep; Clocier, L., Sistematización de experiencias. Una práctica senti-pensante para la transformación social Biblioteca Virtual sobre Sistematización de Experiencias, , Http://www.cepalforja.org/sistem/bvirtual/?p=1001, [Internet]. s.f. [citado 30 de octubre de 2020]. Disponible en; Bustamante, EA., (2016) La sistematización de experiencias en trabajo social como propuesta metodológica para la práctica profesional [Internet], , Http://dspace.ucuenca.edu.ec/handle/123456789/25524, Cuenca, México: Universidad de Cuenca; [citado 29 de mayo de 2020]. Disponible en; Jara, O., La sistematización de experiencias y las corrientes innovadoras del pensamiento Latinoamericano- Una aproximación histórica (2009) Diálogo de Saberes [Internet], 3, pp. 118-129. , Http://www.planificacionparticipativa.upv.es/wordpress/wp-content/uploads/2011/06/La-sistematizacion-de-experiencias-y-las-corrientes-innovadoras-del-pensamiento-latinoamericano-una-aproximacion-historica.pdf, Disponible en; Bassi, J., Ciencia social desde y para la academia: La marginación de las metodologías participativas de investigación (2013) Revista Latinoamericana de Psicología Social Ignacio Martín-Baró [Internet], 2, pp. 171-191. , Http://psicologia.uahurtado.cl/2014/09/ciencia-social-desde-y-para-la-academia-la-marginacion-de-las-metodologias-participativas-de-investigacion/, junio 24; Disponible en; Bassi, J., (2014) Cuali/Cuanti: La distinción paleozoica, 15 (2). , Http://repositorio.unab.cl/xmlui/handle/ria/2464, [citado 29 de mayo de 2020]; Disponible en; Silvetti, F., Lo que estamos perdiendo. La producción de conocimiento a partir de la sistematización de experiencias de intervención con campesinos (2006) Cuadernos de Desarrollo Rural [Internet], (57), pp. 11-32. , Https://www.redalyc.org/articulo.oa?id=11705702, [citado 29 de mayo de 2020]; Disponible en; Zúñiga López, RE, Zúñiga Preciado, MT., (2013) Metodología para la Sistematización Participativa de Experiencias Sociales, , Https://issuu.com/educacionintercultural/docs/metodologia_para_la_sistematizacion, [Internet]. Disponible en; Vallejo, ACB, Ramírez, GEB., (2018) El camino de las conversaciones. El recontado como posibilidad de construcción de subjetividad a partir de una propuesta pedagógica en niños y adolescentes en situación de enfermedad, , Https://repository.javeriana.edu.co/handle/10554/35346, [Internet]. Bogotá: Pontificia Universidad Javeriana; Disponible en; Díaz, VL, Núñez, BV, Rojas, MEH., Sistematización de la experiencia sobre las implicaciones bioéticas de la investigación en pediatría (2017) Revista Enfermería Actual en Costa Rica [Internet], (32), p. 12. , [citado 16 de octubre de 2020]; Http://dx.doi.org Disponible en: Https: dialnet.unirioja.es/servlet/articulo?codigo=5774438; Sistematización de experiencias del Programa de Apoyo al sector de la Higiene y Salud de Base Biblioteca Virtual sobre Sistematización de Experiencias, , Http://www.cepalforja.org/sistem/bvirtual/?p=801, Ministerio de Salud y Deporte. [Internet] [citado 21 de octubre de 2020]. Disponible en; Jaramillo, G, Colorado, JA, Zuluaga, SM, Otálvaro, GJ, Marín, AM, Arias, JG., (2015) Sistematización de la experiencia de la formulación participativa de la Política Pública de Salud Bucal de Medellín 2013 - 2022 (Medellín, Colombia) [Internet], , Http://www.cepalforja.org/sistem/bvirtual/?p=1289, Medellín: Secretaría de Salud de Medellín; Universidad de Antioquia; [citado 21 de octubre de 2020]. Disponible en; González, DAR., Systematization of research experiences of the Project Towards a Study System in the Online Psychology Degree Program (2010) Revista Virtual Universidad Católica del Norte [Internet], (31), pp. 304-337. , Https://revistavirtual.ucn.edu.co/index.php/RevistaUCN/article/view/47/104, Disponible en; (2016) Estrategia de gestión del plan nacional de alfabetización 2012-2016: Visión y experiencia nacional, , Http://www.cepalforja.org/sistem/bvirtual/?p=1284, Ministerio de Educación, Presidencia de República Dominicana, OEA. [Internet]. Santo Domingo, República Dominicana.: Ministerio de Educación (MINERD); Disponible en; Campos, CNG, Serrano, MG., (2011) Sistematización de una experiencia pedagógica en educación artística, en un espacio no convencional [Internet], , Https://repository.javeriana.edu.co/handle/10554/6682, Bogotá, Colombia: Pontificia Universidad Javeriana; Disponible en; Copacondo, T., (2007) Sistematización de la experiencia de la enseñanza de la lengua Aymara mediante la actividad ritual de la K’Illpha de la Llama [Internet], , Http://repositorio.unap.edu.pe/handle/UNAP/183, Universidad Nacional del Altiplano; [citado 16 de octubre de 2020]. Disponible en; Ochoa, L, Osorio, C., Writing in the processes of systematization of educational experiences Scielo [Internet], 24 (2), pp. 25-40. , Http://www.scielo.org.co/scielo.php?script=sci_arttext&amp;pid=S0120-338X2011000200002, Disponible en; Lettelier, D, Dalmasso, C, Bernabé, E., (2016) Metodología de sistematización de experiencias como herramienta de enseñanza para la formación en Extensión Rural, , Http://www.memoria.fahce.unlp.edu.ar/library?a=d&amp;c=eventos&amp;d=-Jev8484, Mendoza, Argentina; [citado 16 de octubre de 2020]. Disponible en; Camacho, H, Casilla, D, Inciarte, A., Sistematización de experiencias formativas en competencias docentes investigativas (2017) Opción [Internet], 33 (82), pp. 322-343. , Https://repositorio.cuc.edu.co/handle/11323/1806, Disponible en; Escudero, JAM, Noreña, JFO., La red de educación y desarrollo humano: Una reconstrucción colectiva desde la sistematización de experiencias (2017) Paulo Freire Revista de Pedagogía Crítica [Internet], (17), pp. 41-67. , Http://revistas.academia.cl/index.php/pfr/article/view/536, [citado 16 de octubre de 2020]; Disponible en; Rodríguez, EP., Sistematización de experiencias educativas en la pedagogía decolonial (2018) Nodos y Nudos [Internet], 5 (44). , Https://revistas.pedagogica.edu.co/index.php/NYN/article/view/6759, [citado 16 de octubre de 2020]; Disponible en; Rodríguez, EP., La ecología de saberes en la sistematización de experiencias educativas como una apuesta pedagógica decolonial | Intersticios de la política y la cultura (2017) Intervenciones latinoamericanas, 6 (11), pp. 95-118. , Https://revistas.unc.edu.ar/index.php/intersticios/article/view/16891, [citado 21 de octubre de 2020]; Disponible en; Peraza, GA., La investigación-acción sistematizadora como estrategia de intervención y formación del docente en su rol de investigador (2007) Rev. de Pedagogía [Internet], 28 (82), p. 23. , Https://www.redalyc.org/articulo.oa?id=65908202, Disponible en; Ortiz, S., Sentido de la práctica sistematizadora en la educación superior (2012) Praxis &amp; Saber, 3 (5), p. 127. , Https://revistas.uptc.edu.co/index.php/praxis_saber/article/view/1137, [Internet]. . Disponible en; Zapata, NR, Isa, LJ., (2012) La sistematización de experiencias como metodología para socializar la producción de conocimientos de las intervenciones educativas en contexto de encierro, , Http://sedici.unlp.edu.ar/handle/10915/69609, [citado 21 de octubre de 2020]. Disponible en; Castañeda, P., Sistematización y generación de conocimientos en trabajo social. Aportes metodológicos a la formación profesional (2015) ALTERN, (22). , Http://hdl.handle.net/10045/48123, [Internet]. [citado 30 de octubre de 2020]; Disponible en; Ramírez, SL., Entre la calle y los programas de protección: Sistematización de la experiencia de la práctica académica en Trabajo Social (2013) Prospectiva: Revista de Trabajo Social e Intervención Social [Internet], (18), pp. 101-119. , Https://doi.org/10.25100/prts.v0i18.1126Disponibleen:Https://dialnet.unirioja.es/servlet/articulo?codigo=5857402, [citado 22 de junio de 2020]; Cifuentes Gil, RM., Sistematización de experiencias en Trabajo Social: Desafío inminente e inaplazable – Colombia (2010) Biblioteca Virtual sobre Sistematización de Experiencias, , Http://www.cepalforja.org/sistem/bvirtual/?p=1318, Arequipa, Perú; [citado 30 de octubre de 2020]. Disponible en; Rosero, AK, Milán, FM., (2013) Comunicación e inclusión social: Sistematización de la experiencia del periódico comunitario “Quitus” desarrollado por los adultos mayores del Programa Municipal “60 y Piquito” en el barrio La Vicentina [Internet], , Http://www.dspace.uce.edu.ec/handle/25000/1428, Quito, Ecuador: Universidad Central de Ecuador; [citado 16 de octubre de 2020]. Disponible en; Adana Díaz, L, Yacelga Ponce, T, Rodríguez Lorenzana, A., (2017) Sistematización de experiencias en un proyecto comunitario psicosocial en Quito-Ecuador, , Http://sedici.unlp.edu.ar/handle/10915/69330, [citado 21 de octubre de 2020]. Disponible en; Barreiro, SIA., Organización social y participación: Experiencia Educativa que promueve el diálogo de saberes Entre ciencias: Diálogos en la Sociedad del Conocimiento, 5 (14). , [Internet] [citado 21 de octubre de 2020]; Http://dx.doi.org Disponible en: Https://www.redalyc. org/jatsRepo/4576/457652442006/index.html; Cano, M., (2017) Sistematización de una Experiencia de Construcción de Paz con Jóvenes de Usme [Internet], , Https://repository.javeriana.edu.co/handle/10554/35176, Bogotá, Colombia: Pontificia Universidad Javeriana; Disponible en; De la Morena, MV., Sistematización de los encuentros de reconciliación de la Fundación Ágape por Colombia. Una mirada a la reconciliación como estrategia de reparación simbólica de los sobrevivientes del conflicto armado según su propia percepción (2012), Https://repository.uniminuto.edu/handle/10656/4518, [Internet]. Tesis. Ágape por Colombia Reporte de actividades del I Encuentro de Reconciliación y. Corporación Universitaria Minuto de Dios; 2015 [citado 16 de octubre de 2020]. Disponible en; Franco, FP., (2013) Sistematización de la experiencia de la organización «Sé quien soy» [Internet], , Https://ridum.umanizales.edu.co/xmlui/handle/20.500.12746/605, Universidad de Manizales CINDE; [citado 16 de octubre de 2020]. Disponible en; Gómez, GM., (2014) Sistematización del caso de la asociación de mujeres artesanas de Concha de Coco AMA-COCO en los consejos comunitarios de los ríos Mejicano, Chaqui y Rosario en el municipio de Tumaco [Internet], , Https://repository.javeriana.edu.co/handle/10554/12421, PERSPECTIVA DE GÉNERO EN LOS PROYECTOS DE DESARROLLO ALTERNATIVO EN COLOMBIA: Pontificia Universidad Javeriana; Disponible en; de Souza, AP, Oliveira, V., El cuerpo-infancia afrodescendiente: Sistematización de una experiencia (2018) Universitas. Rev de Ciencias Sociales y Humanas [Internet], (28), pp. 119-140. , [citado 16 de octubre de 2020]; Https://doi.org Disponible en: Https://www.researchgate.net/publication 323715312_El_cuerpo-infancia_afrodescendiente_sistematizacion_de_una_experiencia; Marcelo, NL, Mora, AV., Construyendo comunidad por el sendero del cuidado a través de la mirada femenina (2012) Recuperación histórica del trabajo comunitario realizado por las madres comunitarias en la casa vecinal Isla del Sol una experiencia de la práctica profesional [Internet], , Https://repository.uniminuto.edu/handle/10656/1226, Bogotá, Colombia: Corporación Universitaria Minuto de Dios; [citado 21 de octubre de 2020]. Disponible en; (2018) Aprendizajes para la transformación Sistematización de experiencias de OSC Región Oaxaca – México [Internet], , Http://www.cepalforja.org/sistem/bvirtual/?p=1540, Ciudad de México, México: ADECO; [citado 21 de octubre de 2020]. (Biblioteca Virtual sobre Sistematización de Experiencias). Disponible en; Barbosa Gómez, AM, León, Guzmán, lissed, E, Marroquín Angulo, YP, Pérez Álvarez, LY, Vaca Díaz, G., (2014) Pedagogía hospitalaria sistematización de la experiencia del aula hospitalaria de la Fundación Cardioinfantil de la ciudad de Bogotá, fortalezas, oportunidades y desafíos [Internet], , Http://repository.javeriana.edu.co/handle/10554/12304, Pontificia Universidad Javeriana; [citado 30 de mayo de 2020]. Disponible en; López, L, Campos, M, Villanueva, MÁ., Compromiso y participación comunitaria en salud: Aprendizajes desde la sistematización de experiencias sociales Salud Publica Mex [Internet], 60 (2), p. 192. , Http://www.saludpublica.mx/index.php/spm/article/view/8460, 2018marzo 23 [citado 30 de mayo de 2020]; Disponible en; Barreto, YM, Velásquez, VF., Centro de Desarrollo Humano Comunitario: Programa para familias afrocolombianas desde la investigación acción participativa Rev. salud pública [Internet], 18 (5), pp. 768-781. , Https://revistas.unal.edu.co/index.php/revsaludpublica/article/view/43160, 2016Sep 1 [citado 10 de octubre de 2020]; Disponible en; Cavalcante, RB, Otoni, A, Bernardes, MFVG, Cunha, SGS, Santos C da, S, Silva, PC, Experiencias de sistematización de la asistencia de enfermería en Brasil: Un estudio bibliográfico (2011) Revista de Enfermagem da UFSM [Internet], 1 (3), pp. 461-471. , Https://periodicos.ufsm.br/reufsm/article/view/2832, da. Oct 25 [citado 10 de octubre de 2020]; Disponible en; Torres, JN, Vanegas, CA, Yepes, CE., Atención centrada en el paciente y la familia en la Unidad de Cuidado Intensivo Pediátrico del hospital Pablo Tobón Uribe, sistematización de la experiencia (2017) RGYPS, 15 (31). , Http://revistas.javeriana.edu.co/index.php/gerepolsal/article/view/18231, [Internet]. [citado 10 de octubre de 2020]; Disponible en; González, CM., (2015) Propósitos y metodología de la sistematización; Http://www.udea.edu.co/wps/wcm/connect/udea/2e43da6b-2db8-43f5-95fa-a3026ade8d77/PROP%C3%93SITOS+Y+METODOLOG%C3%8DA+DE+LA+SISTEMATIZACI%C3%93N.pdf?MOD=AJPERES, Disponible en; Vera, O., Cómo escribir artículos de revisión (2009) Revista Médica La Paz [Internet], (15), pp. 63-69. , Http://www.scielo.org.bo/scielo.php?script=sci_arttext&amp;pid=S1726-89582009000100010, Disponible en; Cogollo, C., Trayectorias de la sistematización de experiencias. Su constitución como posibilidad de pensar la producción de conocimiento en escenarios académicos (2016) Revista RIIEP, , Https://revistas.usantotomas.edu.co/index.php/riiep/article/view/3602, [Internet]. [citado 30 de octubre de 2020]; Disponible en; Jara, O., (2015) La sistematización de experiencias produce un conocimiento crítico, dialógico, transformador, , Http://www.cepalforja.org/sistem/bvirtual/wp-content/uploads/2015/06/Entrevista-Oscar-Jara-Revista-Docencia.pdf, [Internet]. Disponible en; Jara, O., (2014) La sistematización de experiencias: Práctica y teoría para otros mundos posibles, , Lima, Perú: Programa Democracia y Transformación Global; Mejía, M, de Souza, J., La sistematización como proceso investigativo o la búsqueda de la episteme de las prácticas (2007) Revista Internacional Magisterio, 33, pp. 1-17. , Http://www.cepalforja.org/sistem/sistem_old/sistematizacion_como_proceso_investigativo.pdf, [Internet]. Disponible en; Vargas, J, Rubio, JV., (2015) Jornada 40x40. Sistematización y análisis de la experiencia piloto [Internet], , Http://www.idep.edu.co/sites/default/files/libros/Jornada%2040%20x%2040.pdf, Bogotá, Colombia: Alcaldía Mayor de Bogotá; Disponible en; De Gonzalo Aranoa, I., (2010) Sistematización de la experiencia vivida en un proceso de campesino a campesino en El Salvador [Internet], , Https://dspace.unia.es/handle/10334/226, Tesis. Andalucía, España: Universidad Internacional de Andalucía; [citado 30 de octubre de 2020]. Disponible en; Francke, M, Morgan M de la, L., (1995) Materiales Didácticos N°1. La sistematización apuesta por la generación de conocimientos a partir de las experiencias de promoción [Internet], , Http://www.cepalforja.org/sistem/bvirtual/?p=693, Disponible en; Verger, A., Sistematización de experiencias en América Latina, , Http://www.cepalforja.org/sistem/documentos/sistemat_verger.pdf, [Internet]. s.f. Disponible en; ALBOAN, Hegoa, (2006) La aventura de la sistematización. Cómo mirar y aprender de nuestras prácticas, desde nuestras prácticas [Internet], pp. 1-9. , Http://mastor.cl/blog/wp-content/uploads/2018/02/la-sistematizacion-como-prod-de-conocim.pdf, Instituto de Derechos Humanos Pedro Arrupe. Bilbao, España: ALBOAN; Disponible en: Http://centroderecursos.alboan.org/sistematizacion/es/registros 1769-la-aventura-de-la 61 Barnechea M, Morgan M. La sistematización como producción de conocimiento. Taller permanente de sistematización CEAAL. La Piragua [Internet]. 1994;(9): Disponible en; Pinilla, S., Guía Metodológica (2005) Aprendiendo a sistematizar la experiencia: Proyectos pilotos en las subcuencas de Los Hules-Tinajones y Caño Quebrado, República de Panamá, , Https://www.academia.edu/11417631/Guia_Metologica_para_la_Sistematizacion_de_Proyectos, [Internet]. [citado 22 de junio de 2020]. Disponible en; Abarca, F., La sistematización de experiencias: Claves para la interpretación crítica (2011) Universidad en Diálogo: Revista de Extensión [Internet], 1 (1), pp. 105-125. , Https://www.revistas.una.ac.cr/index.php/dialogo/article/view/1229, [citado 22 de junio de 2020]; Disponible en; Tapella, E, Rodríguez, P., Sistematización de experiencia: Una metodología para evaluar intervenciones de desarrollo (2014) Revista de Evaluación de Programas y Políticas Públicas, (3), p. 80. , Http://revistas.uned.es/index.php/REPPP/article/view/13361, [Internet]. Oct 21 [citado 30 de octubre de 2020];0 Disponible en; Ibarra, N, Asencio, E., Sistematización de experiencias en la publicación de la revista Valera | Ibarra López | Ciencias de la Información (2015) Ciencias de la Información [Internet], 46 (2), pp. 35-41. , Http://cinfo.idict.cu/index.php/cinfo/article/view/606, [citado 30 de octubre de 2020]; Disponible en; Jara, O., (2006) Guía para sistematizar experiencias [Internet], , Http://centroderecursos.alboan.org/ebooks/0000/0813/6_UIC_GUI.pdf, UICN Mesoamérica. Programa Alianzas; [citado 22 de junio de 2020]. Disponible en; Estepa, MF., Sistematización de la producción del programa radial de-generándonos como plan de trabajo en el marco del semillero comunicación, género y diversidad sexual (2017), Https://repository.uniminuto.edu/handle/10656/7044, en la universidad Uniminuto VRLL [Internet] Tesis. Reponame: Colecciones Digitales Uniminuto. Corporación Universitaria Minuto de Dios; [citado 30 de octubre de 2020]. Disponible en; Morales P de los, Á, Bermúdez, JÁ, García, JC., El fenómeno del conocimiento como problema en la investigación educativa (2018) Sophia [Internet], 2 (25), pp. 157-182. , Https://doi.org Disponible en: Http://scielo.senescyt.gob.ec/scielo.php?script=sci_arttext&amp;pid S1390-86262018000200157; Casado, B., (2018) Procesos de formación campesinos y disputa territorial para construir soberanía alimentaria: Análisis de experiencias impulsadas por organizaciones de La Vía Campesina en Brasil y País Vasco [Internet], , Http://hdl.handle.net/10810/32067, Tesis doctoral. Universidad del País Vasco; Disponible en; Taylor, SJ, Bogdan, R., (1992) Introducción a los métodos cualitativos de investigación: La búsqueda de significados, , Barcelona: Paidós Ibérica; Rayo, MC., (2018) Análisis reflexivo sobre la experiencia de la Corporación Volver a la Gente proyectos de atención psicosocial dirigidos a población vulnerable y víctimas del conflicto armado [Internet], , Https://repository.uniminuto.edu/handle/10656/6988, Tesis. Reponame: Colecciones Digitales Uniminuto. Corporación Universitaria Minuto de Dios; [citado 22 de junio de 2020]. Disponible en; Alboan, H, (2004) La sistematización, una mirada a nuestras prácticas. Guía para la sistematización de experiencias de transformación social [Internet], , Http://centroderecursos.alboan.org/sistematizacion/es/registros/1768-la-sistematizacion-una-mirada, Instituto de Derechos Humanos Pedro Arrupe. Bilbao, España; [citado 21 de octubre de 2020]. Disponible en; Tafur, JC., (2006) Aprender de la experiencia: Una metodología para la sistematización, p. 44. , Asociación ETC Andes; Cano, A., La metodología de taller en los procesos de educación popular (2012) Revista Latinoamericana de Metodología de las Ciencias Sociales [Internet], 2 (2), pp. 22-51. , Http://www.memoria.fahce.unlp.edu.ar/art_revistas/pr.5653/pr.5653.pdf, Disponible en; Rivera, E, Guarín, G., Protocolo de investigación para seguir un estudio interdisciplinario en pacientes con parálisis cerebral del municipio de Pamplona abordados desde la musicoterapia (2017) Signos fónicos [Internet], 3 (2), pp. 111-127. , Https://www.researchgate.net/publication/328593447_Protocolo_de_investigacion_para_seguir_un_estudio_interdisciplinario_en_pacientes_con_paralisis_cerebral_pc_del_municipio_de_Pamplona_abordados_desde_la_musicoterapia, [citado 22 de junio de 2020]; Disponible en; Aguilar, E, Bustamante, R., (2013) Sistematización de Experiencias. Manual de las y los participantes, , Http://indesol.gob.mx/cedoc/pdf/I.%20SOCIEDAD%20CIVIL/Sistematizaci%C3%B3n%20de%20Experiencias/Sistematizaci%C3%B3n%20de%20Experiencias.%20Manual%20de%20las%20y%20los%20participantes.%20Modulo%205-nivel%202.pdf, Módulo 5-nivel 2.pdf [Internet]. ADECO; [citado 30 de octubre de 2020]. Disponible en; Sánchez, AA., El artículo sistematización de experiencias: Construcción de sentido desde una perspectiva crítica (2010) Rev.virtual univ catol norte [Internet], (29), pp. 1-7. , Http://revistavirtual.ucn.edu.co/index.php/RevistaUCN/article/view/67, enero [citado 1 de junio de 2020]; Disponible en; Torres, A., La sistematización como investigación interpretativa crítica: Entre la teoría y la práctica (1996) Biblioteca Virtual sobre Sistematización de Experiencias, , Http://www.cepalforja.org/sistem/bvirtual/?p=691, Santiago de Chile; [citado 22 de junio de 2020]. Disponible en; Capó, S. WA, Arteaga, C. BA, Capó, S MY, Capó, S. SE, García, H E, del, C, Montenegro, Y. EA, (2010) La sistematización de experiencias: Un método para impulsar procesos emancipadores [Internet], , Http://www.cepalforja.org/sistem/documentos/libro_sist_de_exp_mipe_cepep_ver_imp_alta_resol.pdf, Fundación Editorial El perro y la rana; [citado 22 de junio de 2020]. Disponible en; (1978) Declaración de Alma Ata. Conferencia internacional sobre Atención Primaria en Salud; Carta de Ottawa para la promoción de la salud (1986) Primera Conferencia Internacional sobre el Fomento de la Salud [Internet], , Https://www.paho.org/hq/dmdocuments/2013/Carta-de-ottawa-para-la-apromocion-de-lasalud-1986-SP.pdf, [citado 25 de junio de 2020]. Disponible en; Frenk, J., La nueva salud pública (1992) La crisis de la salud pública: Reflexiones para el debate, pp. 75-94. , En VV. AA: Washington: OPS; De Restrepo, HE., Incremento de la capacidad comunitaria y del empoderamiento de las comunidades para promover la salud (2001) Revista Facultad Nacional de Salud Pública, 19 (1). , Https://www.redalyc.org/pdf/120/12019104.pdf, [Internet]. Disponible en; Vázquez, ML, Siqueira, E, Kruze, I, Silva, AD, Leite, IC., Los procesos de reforma y la participación social en salud en América Latina (2002) Gaceta Sanitaria [Internet], 16 (1), p. 30. , [citado 25 de junio de 2020]; Https://doi.org/10.1016/S0213-9111(02)71630-0, Disponible en: Http://scielo.isciii.es/scielo. php?script=sci_abstract&amp;pid=S0213-91112002000100005&amp;lng=es&amp;nrm=iso&amp;tlng=es; Menéndez, E., Participación social en salud como realidad técnica y como imaginario social | Dimensión Antropológica (1995) Dimensión Antropológica [Internet], 5, pp. 7-37. , Https://www.dimensionantropologica.inah.gob.mx/?p=1499, [citado 25 de junio de 2020]; Disponible en; González, HM, Caro, I, Bedoya, IC., Antecedentes históricos y perspectivas de la participación social en el sistema de salud colombiano (2011) Revista Tendencias &amp; Retos [Internet], (16), pp. 79-91. , Https://dialnet.unirioja.es/servlet/articulo?codigo=4929357, [citado 25 de junio de 2020]; Disponible en; Bronfman, M, Gleizer, M., Participación comunitaria: Necesidad, excusa o estrategia? O de qué hablamos cuando hablamos de participación comunitaria (1994) Cadernos de Saúde Pública [Internet], 10 (1), pp. 111-122. , Http://www.scielo.br/scielo.php?script=sci_abstract&amp;pid=S0102-311X1994000100012&amp;lng=en&amp;nrm=iso&amp;tlng=es, marzo [citado 25 de junio de 2020]; Disponible en; Hernáez, AM., (2008) Antropología médica. Teorías sobre la Cultura, el poder y la enfermedad, , Https://dialnet.unirioja.es/servlet/libro?codigo=584399, Barcelona: Anthropos. Disponible en; Menéndez, EL, Pardo, RBD., La representación social negativa de los procesos de salud/enfermedad/ atención en la prensa escrita (2008) Salud colectiva, 4 (1). , Https://doi.org/10.18294/sc.2008.314, [Internet]. 2008; Disponible en; Castro-Gómez, S., Latinoamericanismo, modernidad, globalización. Prolegómenos a una crítica poscolonial de la razón (1998) Teorías sin disciplina. Latinoamericanismo, poscolonialidad y globalización en debate, pp. 169-205; Pérez, HV, Laureano, LJO., Sistematización de experiencias: Una mirada conceptual, teórica y metodológica (2009) Análisis: [Internet], 10 (1), pp. 121-147. , Https://dialnet.unirioja.es/servlet/articulo?codigo=4330970, [citado 30 de octubre de 2020]; Disponible en; Santibañez, E, Cárcamo, ME., (1993) Manual Para la Sistematización de Proyectos Educativos de Área Social, p. 44. , Santiago de Chile: Centro de Investigación y Desarrollo de la Educación, CIDE; Santillán, TA., Tres ideas sobre la sistematización de experiencias (2016) Ecofronteras [Internet], 20 (56), pp. 26-29. , Https://revistas.ecosur.mx/ecofronteras/index.php/eco/article/view/1622, [citado 10 de octubre de 2020]; Disponible en; Ceballos, R., (2016) Para cambiar la cara de la escuela: Sistematización de la propuesta socioeducativa del Centro Poveda de la República Dominicana, , Manizales: Centro de Estudios Avanzados en Niñez y Juventud alianza de la Universidad de Manizales y CINDE; Morgan M de la, L., Búsquedas teóricas y epistemológicas desde la práctica de la Sistematización (1996) Sistematización y producción de conocimientos para la acción [Internet], , Http://www.cepalforja.org/sistem/bvirtual/?p=708, En: Lima, Perú: Centro de Investigación y Desarrollo de la Educación, CIDE; [citado 22 de junio de 2020]. Disponible en; Ghiso, A, Mejía, MR, Mariño, G, Torres, A, Cendales, L., (2004) Dimensión Educativa, p. 113. , Http://centroderecursos.alboan.org/ebooks/0000/0416/Aportes57.pdf, Sistematización de Experiencias ‒Propuestas y debates [Internet]. Bogotá, Colombia; [citado 30 de octubre de 2020]. Disponible en; Olivares, J., Procesos de Participación en la Población Legua Emergencia: Sistematización de experiencia en Intervención Comunitaria realizada por ONG (2013), Http://repositorio.uchile.cl/handle/2250/130984, La Caleta [Internet]. Universidad de Chile; [citado 22 de junio de 2020]. Disponible en; Chateu, J., (1982) Sobre la sistematización de Experiencias en la acción social. Presentación de una metodología [Internet], , Http://flacsochile.org/biblioteca/pub/memoria/1982/001115.pdf, FLACSO. Santiago de Chile; [citado 30 de octubre de 2020]. Disponible en; Maestre, IM., (2014) Investigación Acción Participativa en la UPV, la experiencia de Utópika otra investigación posible [Internet], , Https://riunet.upv.es/handle/10251/36492, Universidad Politécnica de Valencia; [citado 22 de junio de 2020]. Disponible en</t>
  </si>
  <si>
    <t>Sánchez, P.V.; UNAL, Colombia; email: vivasp@javeriana.edu.co</t>
  </si>
  <si>
    <t>Universidad del Norte</t>
  </si>
  <si>
    <t>2-s2.0-85133443906</t>
  </si>
  <si>
    <t>Sánchez I.</t>
  </si>
  <si>
    <t>57779153300;</t>
  </si>
  <si>
    <t>Theatrical testimony of the violence against women in the Argentinian dictatorship: NN 12 by Gracia Morales [TESTIMONIO TEATRAL DE LA VIOLENCIA CONTRA LAS MUJERES EN LA DICTADURA ARGENTINA: NN 12 DE GRACIA MORALES]</t>
  </si>
  <si>
    <t>Philologica Canariensia</t>
  </si>
  <si>
    <t>10.20420/Phil.Can.2022.470</t>
  </si>
  <si>
    <t>https://www.scopus.com/inward/record.uri?eid=2-s2.0-85133308996&amp;doi=10.20420%2fPhil.Can.2022.470&amp;partnerID=40&amp;md5=d4ca8961236b08da8227b72094bfb655</t>
  </si>
  <si>
    <t>Sánchez, I., Universidad de Las Palmas de Gran Canaria, Spain</t>
  </si>
  <si>
    <t>This research paper focuses on Hispanic contemporary theatre and the representation of violence against women during the last military dictatorship in Argentina (1976-1983). With this aim, it analysed NN 12 (2008), written by Gracia Morales, which examines the topic of violence perpetrated by the State, especially sexual and obstetric. To demonstrate how theatrical fiction has the capacity of creating new subjectivities based on the historical reality and argue its vindicative capacity, a critique and comparative analysis of the text NN 12 and the spoken and written testimony of women who were tortured and, in most cases, were assassinated during the Argentinian dictatorship was undertaken. © 2022 LEARNing Landscapes. All rights reserved.</t>
  </si>
  <si>
    <t>Argentinian dictatorship; contemporary theatre; Gracia Morales; NN 12; violence against women</t>
  </si>
  <si>
    <t>Nuestros Nietos, , https://www.abuelas.org.ar/caso, f. Disponible en: (Accedido: 20 de septiembre de 2021); ALTUZARRA ALONSO, I., El delito de violación en el código penal español: análisis de la difícil delimitación entre la intimidación de la agresión sexual y el prevalimiento del abuso sexual. Revisión a la luz de la normativa internacional (2020) Estudios de Deusto, 68, pp. 511-558. , https://doi.org/10.18543/ed-68(1)-2020pp511-558; AVILÉS DIZ, J., Fosas de la identidad perdida: representaciones de la memoria histórica en el teatro español contemporáneo (2014) Hispanófila, 170, pp. 73-95. , https://doi.org/10.1353/hsf.2014.0015; BOURKE, J., (2008) Rape. A History from 1860 to the Present, , London: Virago Press; BROWNMILLER, S., (1975) Against Our Will, , New York: Fawcett Columbine; BUENO, L., La realidad más 'irreal': Técnicas posmodernas en la dramaturgia de Gracia Morales (2012) Don Galán, 2, pp. 81-85; (1984) Nunca más, , http://www.desaparecidos.org/nuncamas/web/investig/articulo/nuncamas/nmas0001.htm, Informe. Disponible en: (Accedido: 30 de abril de 2021); https://www.contextoteatral.es/graciamorales.html, f. Gracia Morales. Disponible en: (Accedido: 30 de abril de 2021); DE LA PUENTE, M. I., (2019) Nombrar el horror desde el teatro. Las obras sobre el terrorismo de Estado en Argentina en el período 1995-2015, , Ciudad de Buenos Aires: Eudeba; DÍAZ-MARCOS, A. M., NN12 de Gracia Morales. Teatro y memoria histórica (2020) Contextos: Estudios de humanidades y ciencias sociales, , http://revistas.umce.cl/index.php/contextos/article/view/1510/1572, Extra 45. Disponible en: (Accedido: 30 de abril de 2021); DUBATTI, J., Filosofía del teatro en Argentina (2015) Artes la Revista, 11 (18), pp. 9-33. , https://revistas.udea.edu.co/index.php/artesudea/article/view/24320/19863, Disponible en: (Accedido 22 de noviembre de 2021); FITZPATRICK, L., (2018) Rape on the Contemporary Stage, , London: Palgrave Macmillan; GABRIELE, J. P., The Global Contexture of Recent Spanish Theatre. Two Exemplary Plays (2014) Anales de la Literatura Española Contemporánea, 40 (2), pp. 605-622; GARCÍA BARRIENTOS, J. L., (2012) Cómo se comenta una obra de teatro, , México, D. F.: Paso de gato; GARZÓN, B., ROMERO, V., (2008) El alma de los verdugos, , Barcelona: RBA Libros; LEWIN, M., Prólogo (2020) Putas y guerrilleras, pp. 31-33. , en Lewin, M. y Wornat, O. (eds), Buenos Aires: Planeta; LEWIN, M., WORNAT, O., (2020) Putas y guerrilleras, , Buenos Aires: Planeta; MARCUS, S., Cuerpos en lucha, palabras en lucha: una teoría y una política para la prevención de la violación (2002) Debate Feminista, 26, pp. 59-85. , https://doi.org/10.22201/cieg.2594066xe.2002.26.736, (Trad. C. Olivares); … Y nadie quería saber (2012) Relatos sobre violencia contra las mujeres en el terrorismo de Estado en Argentina, , http://memoriaabierta.org.ar/wp/wp-content/uploads/2018/07/Y-nadie-queria-saberMemoria-Abierta.pdf, Buenos Aires: s. e. Disponible en: (Accedido: 15 de abril de 2021); (2013) La última dictadura. Mejor (no) hablar de ciertas cosas, , www.me.gov.ar, Disponible en: (Accedido: 10 de mayo de 2021); MORALES, G., NN12 (2010) CELCIT. Dramática Latinoamericana, , https://www.celcit.org.ar/publicaciones/biblioteca-teatral-dla/?q=Gracia%20Morales&amp;f=&amp;m=, Disponible en: (Accedido: 15 de abril de 2021); MORALES, G., Cuaderno de bitácora: NN 12 (2013) Las Puertas del Drama, 41. , https://www.aat.es/elkioscoteatral/las-puertas-del-drama/drama-41/cuaderno-debitacora-nn-12/, Disponible en: (Accedido: 30 de abril de 2021); MORALES, G., Un teatro para intro-tenerse o carta desde la periferia (2016) Las Puertas del Drama, Extra 1, , https://www.aat.es/elkioscoteatral/las-puertas-del-drama/drama-extra-1/un-teatro-para-intro-tenerse-o-carta-desde-la-periferia/, Disponible en: (Accedido: 15 de abril de 2021); Enfoque basado en los derechos humanos del maltrato y la violencia contra la mujer en los servicios de salud reproductiva, con especial hincapié en la atención del parto y la violencia obstétrica: Nota del Secretario General (2019) Informes a la Asamblea General A/74/137, pp. 1-26; PALACIOS DIAZCEBALLOS, C. d. C., (2007) La figura femenina bajo represión y violencia en el teatro de Griselda Gambaro, , https://trace.tennessee.edu/utk_graddiss/260, Tesis Doctoral, University of Tenneessee Knoxville. Disponible en: (Accedido: 4 de mayo de 2021); PEREIRA, A, Zubiaur, M., Sobre el origen de la violación (2011) ReCrim: Revista de l’Institut Universitari d’Investigació en Criminologia i Ciències Penals de la UV, 6, pp. 21-31. , https://www.uv.es/iccp/recrim/recrim11/recrim11a02.pdf, Disponible en: (Accedido: 4 de mayo de 2021); (2021) Diccionario de la lengua española, , https://dle.rae.es/NN, Versión electrónica 23ª ed. (Accedido: 14 de mayo de 2021); SANDOVAL-LEÓN, O., La tortura silenciada: La violencia sexual en el teatro posdictadura del Cono Sur (2020) Revista de Estudios de Género y Sexualidades, 46 (1-2), pp. 151-172. , https://doi.org/10.14321/jgendsexustud.46.1-2.0151; SEGATO, R., (2003) Las estructuras elementales de la violencia. Ensayos sobre género entre la antropología, el psicoanálisis y los derechos humanos, , Buenos Aires: Universidad Nacional de Quilmes; SONDÉREGUER, M., Presentación (2012) Género y poder: violencias de género en contextos de represión política y conflictos armados, pp. 9-16. , en Sondéreguer, M. (ed), Bernal: Universidad Nacional de Quilmes; TODOROV, T., (2000) Los abusos de la memoria, , (Trad. M. Salazar Barroso). Barcelona: Paidós; VERZERO, L., Cuerpos subvertidos: Artes escénicas y memoria en el siglo XXI. El caso argentino (2020) Historia y Memoria, pp. 137-172. , https://doi.org/10.19053/20275137.n21.2020.9853; VILLANUEVA EGAN, L. A., ¿De qué hablamos cuando hablamos de violencia obstétrica? (2016) CONAMED, 21 (1), pp. 7-25. , https://www.medigraphic.com/pdfs/conamed/con-2016/cons161b.pdf, Disponible en: (Accedido: 14 de mayo de 2021); WORNAT, O., Vivir con la culpa (2020) Putas y guerrilleras, pp. 31-33. , en Lewin, M. y Wornat, O. (ed), Buenos Aires: Planeta</t>
  </si>
  <si>
    <t>Sánchez, I.; Universidad de Las Palmas de Gran CanariaSpain</t>
  </si>
  <si>
    <t>Universidad de Las Palmas de Gran Canaria</t>
  </si>
  <si>
    <t>Philol. Canar.</t>
  </si>
  <si>
    <t>2-s2.0-85133308996</t>
  </si>
  <si>
    <t>Mendoza-Oliveros M.E., Jimenez-Miguez A.K., Bautista-Vargas Y., Archanjo B.S., Senna C.A., Mujica-Roncery L., Rojas-Arias N.</t>
  </si>
  <si>
    <t>57223922886;57777361200;57776911700;18036912200;56479152800;43061545200;57216489274;</t>
  </si>
  <si>
    <t>Study of the stir speed and time in AA6030 matrix reinforced with Al2O3 nanoparticles</t>
  </si>
  <si>
    <t>https://www.scopus.com/inward/record.uri?eid=2-s2.0-85133268930&amp;doi=10.22201%2ficat.24486736e.2022.20.1.1642&amp;partnerID=40&amp;md5=125fbfc3fdce5f6f83a4456dad48414e</t>
  </si>
  <si>
    <t>Universidad Pedagógica y Tecnológica de Colombia, Avenida Central del Norte 39-115 - P.O. Box 150001, Boyacá, Colombia; National Institute of Metrology Quality and Technology (INMETRO), Materials Metrology Division (DIMAT), Brazil; Postgraduate Program in Materials Science and Engineering, Federal University of São Carlos, São Carlos1356-905, Brazil</t>
  </si>
  <si>
    <t>Mendoza-Oliveros, M.E., Universidad Pedagógica y Tecnológica de Colombia, Avenida Central del Norte 39-115 - P.O. Box 150001, Boyacá, Colombia; Jimenez-Miguez, A.K., Universidad Pedagógica y Tecnológica de Colombia, Avenida Central del Norte 39-115 - P.O. Box 150001, Boyacá, Colombia; Bautista-Vargas, Y., Universidad Pedagógica y Tecnológica de Colombia, Avenida Central del Norte 39-115 - P.O. Box 150001, Boyacá, Colombia; Archanjo, B.S., National Institute of Metrology Quality and Technology (INMETRO), Materials Metrology Division (DIMAT), Brazil; Senna, C.A., National Institute of Metrology Quality and Technology (INMETRO), Materials Metrology Division (DIMAT), Brazil; Mujica-Roncery, L., Universidad Pedagógica y Tecnológica de Colombia, Avenida Central del Norte 39-115 - P.O. Box 150001, Boyacá, Colombia; Rojas-Arias, N., Universidad Pedagógica y Tecnológica de Colombia, Avenida Central del Norte 39-115 - P.O. Box 150001, Boyacá, Colombia, Postgraduate Program in Materials Science and Engineering, Federal University of São Carlos, São Carlos1356-905, Brazil</t>
  </si>
  <si>
    <t>The effect of speed and time of stirring for AA6063 matrix manufactured by Electric Induction Furnace and reinforced 0.75wt.% and 1.5wt.% of Al2O3 nanoparticles is studied. The specimens produced were subjected to tensile, microhardness, and tribology tests. It is observed that an increase in the speed and agitation time for AA6063 samples reinforced with 0.75%, favors an increase in the grain size, while an opposite effect is observed with the parts produced with 1.5%, where a grain refining effect is favored, affecting the mechanical properties of the reinforced alloy. The data obtained in this work show that the stirring speed and time will depend on the content of reinforcing particles used in the alloy © 2022 Universidad Nacional Autonoma de Mexico. All rights reserved.</t>
  </si>
  <si>
    <t>AA6063 matrix; Al2O3 nanoparticles; mechanical properties; speed and time of stirring</t>
  </si>
  <si>
    <t>The support given by the National Institute of Metrology Quality and Technology (INMETRO -Brazil), the Materials Metrology Division (DIMAT- Brazil), and the Universidad Pedagógica y Tecnológica de Colombia (UPTC - Colombia), by providing material and equipment necessary for the research is greatly appreciated.</t>
  </si>
  <si>
    <t>Abbasipour, B., Niroumand, B., Monir Vaghefi, S. M., Abedi, M., Tribological behavior of A356−CNT nanocomposites fabricated by various casting techniques (2019) Transactions of Nonferrous Metals Society of China, 29 (10), pp. 1993-2004. , https://doi.org/10.1016/S1003-6326(19)65107-1; Bhowmik, A., Dey, Dipankar, Biswas, A., Microstructure, mechanical and wear behaviour of Al7075/SiC aluminium matrix composite fabricated by stir casting (2021) Indian Journal of Engineering and Materials Sciences, 28 (1), pp. 46-54; Cabeza, M., Feijoo, I., Merino, P., Pena, G., Pérez, M. C., Cruz, S., Rey, P., Effect of high energy ball milling on the morphology, microstructure and properties of nano-sized TiC particle-reinforced 6005A aluminium alloy matrix composite (2017) Powder Technology, 321, pp. 31-43. , https://doi.org/10.1016/j.powtec.2017.07.089; Casati, R., Fabrizi, A., Tuissi, A., Xia, K., Vedani, M., ECAP consolidation of Al matrix composites reinforced with in-situ γ-Al2O3 nanoparticles (2015) Materials Science and Engineering: A, 648, pp. 113-122. , https://doi.org/10.1016/j.msea.2015.09.025; Dareini, M., Jabbari, A. H., Sedighi, M., Effect of nano-sized Al2O3 reinforcing particles on uniaxial and high cycle fatigue behaviors of hot-forged AZ31B magnesium alloy (2020) Transactions of Nonferrous Metals Society of China, 30 (5), pp. 1249-1266. , https://doi.org/10.1016/S1003-6326(20)65293-1; Jiang, J., Wang, Y., Microstructure and mechanical properties of the semisolid slurries and rheoformed component of nano-sized SiC/7075 aluminum matrix composite prepared by ultrasonic-assisted semisolid stirring (2015) Materials Science and Engineering: A, 639, pp. 350-358. , https://doi.org/10.1016/j.msea.2015.04.064; Kandpal, B. C., Kumar, J., Singh, H., Fabrication and characterisation of Al2O3/aluminium alloy 6061 composites fabricated by Stir casting (2017) Materials Today: Proceedings, 4 (2), pp. 2783-2792. , https://doi.org/10.1016/j.matpr.2017.02.157; Akbari, M. K., Mirzaee, O., Baharvandi, H. R., Fabrication and study on mechanical properties and fracture behavior of nanometric Al2O3 particle-reinforced A356 composites focusing on the parameters of vortex method (2013) Materials &amp; Design, 46, pp. 199-205. , https://doi.org/10.1016/j.matdes.2012.10.008; Koli, D. K., Agnihotri, G., Purohit, R., A Review on Properties, Behaviour and Processing Methods for Al- Nano Al2O3 Composites (2014) Procedia Materials Science, 6, pp. 567-589. , https://doi.org/10.1016/j.mspro.2014.07.072; Liu, X., Zhao, Q., Jiang, Q., Effects of cooling rate and TiC nanoparticles on the microstructure and tensile properties of an Al–Cu cast alloy (2020) Materials Science and Engineering: A, 790, p. 139737. , https://doi.org/10.1016/j.msea.2020.139737; Madhukar, P., Selvaraj, N., Rao, C. S. P., Manufacturing of aluminium nano hybrid composites: a state of review (2016) IOP Conference Series: Materials Science and Engineering, 149 (1), p. 012114. , https://doi.org/10.1088/1757-899X/149/1/012114; Madhukar, Pagidi, Selvaraj, N., Gujjala, R., Rao, C. S. P., Production of high performance AA7150-1% SiC nanocomposite by novel fabrication process of ultrasonication assisted stir casting (2019) Ultrasonics Sonochemistry, 58, p. 104665. , https://doi.org/10.1016/j.ultsonch.2019.104665; Mazahery, A., Ostadshabani, M., Investigation on mechanical properties of nano-Al2O3 -reinforced aluminum matrix composites (2011) Journal of Composite Materials, 45 (24), pp. 2579-2586. , https://doi.org/10.1177/0021998311401111; Mohanavel, V., Suresh Kumar, S., Mariyappan, K., Ganeshan, P., Adithiyaa, T., Mechanical behavior of Al-matrix nanocomposites produced by stir casting technique (2018) Materials Today: Proceedings, 5 (13), pp. 26873-26877. , https://doi.org/10.1016/j.matpr.2018.08.170; Sajjadi, S. A., Ezatpour, H. R., Beygi, H., Microstructure and mechanical properties of Al–Al2O3 micro and nano composites fabricated by stir casting (2011) Materials Science and Engineering: A, 528 (29–30), pp. 8765-8771. , https://doi.org/10.1016/j.msea.2011.08.052; Tjong, S. C., Novel Nanoparticle-Reinforced Metal Matrix Composites with Enhanced Mechanical Properties (2007) Advanced Engineering Materials, 9 (8), pp. 639-652. , https://doi.org/10.1002/adem.200700106; Zaiemyekeh, Z., Liaghat, G. H., Ahmadi, H., Khan, M. K., Razmkhah, O., Effectofstrainrateondeformationbehavior of aluminum matrix composites with Al2O3 nanoparticles (2019) MaterialsScienceandEngineering:A, 753, pp. 276-284. , https://doi.org/10.1016/j.msea.2019.03.052</t>
  </si>
  <si>
    <t>Mendoza-Oliveros, M.E.; Universidad Pedagógica y Tecnológica de Colombia, Avenida Central del Norte 39-115 - P.O. Box 150001, Boyacá, Colombia; email: martin.mendoza@uptc.edu.co</t>
  </si>
  <si>
    <t>2-s2.0-85133268930</t>
  </si>
  <si>
    <t>Monsalve-Pulido J., Aguilar J., Montoya E.</t>
  </si>
  <si>
    <t>57147859400;55434810600;24824872900;</t>
  </si>
  <si>
    <t>Education and Information Technologies</t>
  </si>
  <si>
    <t>https://www.scopus.com/inward/record.uri?eid=2-s2.0-85133208968&amp;doi=10.1007%2fs10639-022-11172-8&amp;partnerID=40&amp;md5=c37fe64259b1fef030ac06ec3e582069</t>
  </si>
  <si>
    <t>GIDINT, Universidad Santo Tomás Seccional Tunja, Boyacá, Colombia; GIMI, Universidad Pedagógica y Tecnológica de Colombia, Tunja, Colombia; Universidad EAFIT, GIDITIC, Medellin, Colombia; CEMISID, Universidad de Los Andes, Mérida, Venezuela; Universidad de Alcala, Dpto Automatica, Alcala de Henares, Spain</t>
  </si>
  <si>
    <t>Monsalve-Pulido, J., GIDINT, Universidad Santo Tomás Seccional Tunja, Boyacá, Colombia, GIMI, Universidad Pedagógica y Tecnológica de Colombia, Tunja, Colombia; Aguilar, J., Universidad EAFIT, GIDITIC, Medellin, Colombia, CEMISID, Universidad de Los Andes, Mérida, Venezuela, Universidad de Alcala, Dpto Automatica, Alcala de Henares, Spain; Montoya, E., Universidad EAFIT, GIDITIC, Medellin, Colombia</t>
  </si>
  <si>
    <t>The adaptation of traditional systems to service-oriented architectures is very frequent, due to the increase in technologies for this type of architecture. This has led to the construction of frameworks or methodologies for adapting computational projects to service-oriented architecture (SOA) technology. In this work, a framework for adaptation to SOA in an educational organization is presented, through a specific case of adaptation of an autonomous recommendation system. The framework has a business model that extracts the specific needs of the organization and that will help to project the service architecture from an administrative perspective for a generation of value. The framework has components that conform to the organizational governance of Information Technology (IT) linked to the control mechanisms managed by any IT government of the organization. Finally, the framework has a self-management process that integrates intelligent mechanisms or paradigms for any autonomous process that manages the SOA. In general, the framework describes a methodological process of four general phases, allowing to identify requirements, design services, develop them, and deploy them in an organization, to be managed through control mechanisms through governance. The framework was tested in the adaptation of an autonomous recommendation system for virtual learning environments (VLE), which has two main processes, the creation of an academic course and the use of the course. © 2022, The Author(s), under exclusive licence to Springer Science+Business Media, LLC, part of Springer Nature.</t>
  </si>
  <si>
    <t>This work has been supported by the project 64366: “Contenidos de aprendizaje inteligentes a través del uso de herramientas de Big Data, Analítica Avanzada e IA” - Ministry of Science - Government of Antioquia - Republic of Colombia.</t>
  </si>
  <si>
    <t>Arsanjani, A., Service-oriented modeling and architecture (2004) IBM Developer Works, 1, p. 15; Arsanjani, A., Ghosh, S., Allam, A., Abdollah, T., Ganapathy, S., Holley, K., Soma: A method for developing service-oriented solutions (2008) IBM Systems Journal, 47 (3), pp. 377-396; Abdul-Manan, M., Hyland, P., A framework for assessing enterprise-wide soa implementation readiness (2013) International Journal of Intelligent Information Technologies (IJIIT), 9 (2), pp. 21-37; Aguilar, J., Besembel, I., Hidrobo, F., Narciso, F., Cerrada, M., (2008) Una metodología para el modelado de sistemas de ingeniería orientado a agentes, , Inteligencia Artificial. Revista Iberoamericana de Inteligencia Artificial; Aguilar, J., Cerrada, M., Mousalli, G., Rivas, F., Hidrobo, F., A multiagent model for intelligent distributed control systems (2005) Knowledge-Based Intelligent Information and Engineering Systems, pp. 191-197. , R. Khosla, R.J. Howlett, &amp; L.C. Jain (Eds.), Springer; Al-Debei, M.M., Avison, D., Developing a unified framework of the business model concept (2010) European Journal of Information Systems, 19 (3), pp. 359-376; Aguilar, J., Buendia, O., Pinto, A., Gutiérrez, J., Social learning analytics for determining learning styles in a smart classroom (2022) Interactive Learning Environments, 30 (2), pp. 245-261; Bernhardt, J., Seese, D., A conceptual framework for the governance of service-oriented architectures (2008) International Conference on Service-Oriented Computing, pp. 327-338. , Springer; Bakhouyi, A., Dehbi, R., Talea, M., Toward an adaptive architecture for integrating mobile apps with lms using next generation of scorm (2019) 2019 2Nd International Conference on Computer Applications &amp; Information Security (ICCAIS), pp. 1-7. , IEEE; Bitner, M.J., Ostrom, A.L., Morgan, F.N., Service blueprinting: A practical technique for service innovation (2008) California Management Review, 50 (3), pp. 66-94; Cheng, Y., Leon-Garcia, A., Foster, I., Toward an autonomic service management framework: A holistic vision of soa, aon, and autonomic computing (2008) IEEE Communications Magazine, 46 (5), pp. 138-146; Soa-based service recovery framework (2008) In 2008 the Ninth International Conference on Web-Age Information Management (Pp., pp. 629-635; An improved methodology for service oriented architecture (2012) In 2012 IEEE International Conference on Computer Science and Automation Engineering (CSAE), 2, pp. 350-354. , . IEEE; (1900) Service-oriented architecture: Concepts, technology, and design, Pearson Education India.; Fajar, A.N., Nurcahyo, A., Sriratnasari, S.R., Soa system architecture for interconected modern higher education in Indonesia (2018) Procedia Computer Science, 135, pp. 354-360; Farsi, M., Badawy, M., Abdelmoneim, N., Ali, H.A., AbdulAzeem, Y., Qos-aware framework for performance enhancement of soa in enterprise it environments (2019) IEEE Access, 7, pp. 107699-107715; (2009) Insights for cios: Soa and beyond, , Forrester Research; (2010) A Comprehensive Soa Governance Framework Based on Cobit., pp. 407-414. , . IEEE; Hu, J., Khalil, I., Han, S., Mahmood, A., Seamless integration of dependability and security concepts in soa: A feedback control system based framework and taxonomy (2011) Journal of Network and Computer Applications, 34 (4), pp. 1150-1159; Monsalve-Pulido, J., Aguilar, J., Montoya, E., Salazar, C., Autonomous recommender system architecture for virtual learning environments (2020) Applied Computing and Informatics; (2014) Common Education Data Standards, pp. 37-39. , http://ceds.ed.gov, Online, Accessed 22 June 2022; Osterwalder, A., Pigneur, Y., (2010) Business model generation: A handbook for visionaries, game changers, and challengers, , John Wiley &amp; Sons, New York; Perozo, N., Aguilar, J., Terán, O., Molina, H., A verification method for masoes (2013) IEEE Transactions on Cybernetics, 43 (1), pp. 64-76; Perumal, T., Leong, C.Y., Soa-based framework for home and building automation systems (hbas) (2014) International Journal of Smart Home, 8 (5), pp. 197-206; Saran, C., (2006) Soa Will Fail without Governance: Warns Gartner, Computer Weekly, UK, 12; Sánchez, M., Aguilar, J., Cordero, J., Valdiviezo-Díaz, P., Barba-Guamán, L., Chamba-Eras, L., Cloud computing in smart educational environments: Application in learning analytics as service (2016) .) New Advances in Information Systems and Technologies, pp. 993-1002. , . In Á. Rocha, A.M. Correia, H. Adeli, L.P. Reis, &amp; M. Mendonça Teixeira (Eds; Suhardi, S., Doss, R., Yustianto, P., Service engineering based on service oriented architecture methodology (2015) TELKOMNIKA (Telecommunication Computing Electronics and Control), 13 (4), pp. 1466-1477; Terán, J., Aguilar, J., Cerrada, M., Integration in industrial automation based on multi-agent systems using cultural algorithms for optimizing the coordination mechanisms (2017) Computers in Industry, 91, pp. 11-23; Van Der Aalst, W.M., Beisiegel, M., Van Hee, K.M., Konig, D., Stahl, C., An soa-based architecture framework (2007) International Journal of Business Process Integration and Management, 2 (2), pp. 91-101; Vizcarrondo, J., Aguilar, J., Exposito, E., Subias, A., Armiscom: Autonomic reflective middleware for management service composition (2012) In 2012 Global Information Infrastructure and Networking Symposium (GIIS), pp. 1-8; Vizcarrondo, J., Aguilar, J., Exposito, E., Subias, A., Mape-k as a service-oriented architecture (2017) IEEE Latin America Transactions, 15 (6), pp. 1163-1175; Service oriented architecture design using soma for optimizing public satisfaction in government agency: Case study: Bpn-national land authority of Indonesia (2014) In 2014 International Conference on ICT for Smart Society (ICISS), pp. 49-55. , . IEEE</t>
  </si>
  <si>
    <t>Aguilar, J.; Universidad de Alcala, Spain; email: aguilar@ula.ve</t>
  </si>
  <si>
    <t>2-s2.0-85133208968</t>
  </si>
  <si>
    <t>Bernal-Z J.T., Llano-A C.A., Morales I., Dias L.G.</t>
  </si>
  <si>
    <t>57768076200;57768812000;35068587900;11140029200;</t>
  </si>
  <si>
    <t>Expansion in the Biogeographic Distribution of the Pleidae Family (Hemiptera: Nepomorpha) in Colombia [Ampliación en la distribución biogeográfica de la familia Pleidae (Hemiptera: Nepomorpha) en Colombia*]</t>
  </si>
  <si>
    <t>Boletin Cientifico del Centro de Museos</t>
  </si>
  <si>
    <t>https://www.scopus.com/inward/record.uri?eid=2-s2.0-85133024187&amp;doi=10.17151%2fbccm.2022.26.1.14&amp;partnerID=40&amp;md5=5c3af5706686424d43e7fe2c3ca27a72</t>
  </si>
  <si>
    <t>Departamento de Ciencias Biológicas, Facultad de Ciencias Exactas y Naturales, Universidad de Caldas, Manizales,Caldas, Colombia; Departamento de Ciencias Biológicas, Facultad de Ciencias Exactas y Naturales, Grupo de Investigación Bionat, Universidad de Caldas, Manizales,Caldas, Colombia; Laboratorio de Entomología, Universidad Pedagógica y Tecnológica de Colombia, Boyacá, Tunja, Colombia</t>
  </si>
  <si>
    <t>Bernal-Z, J.T., Departamento de Ciencias Biológicas, Facultad de Ciencias Exactas y Naturales, Universidad de Caldas, Manizales,Caldas, Colombia; Llano-A, C.A., Departamento de Ciencias Biológicas, Facultad de Ciencias Exactas y Naturales, Grupo de Investigación Bionat, Universidad de Caldas, Manizales,Caldas, Colombia; Morales, I., Laboratorio de Entomología, Universidad Pedagógica y Tecnológica de Colombia, Boyacá, Tunja, Colombia; Dias, L.G., Departamento de Ciencias Biológicas, Facultad de Ciencias Exactas y Naturales, Grupo de Investigación Bionat, Universidad de Caldas, Manizales,Caldas, Colombia</t>
  </si>
  <si>
    <t>The Pleidae family is distributed worldwide and includes four genera, about 38 species and one subspecies. In South America, this group is represented by three genera: Neoplea, Paraplea and Heteroplea. In Colombia, the two first genera are registered, but knowledge of their distribution in the national territory is still incipient. Objective: To expand the knowledge of the Pleidae in Colombia by reporting new geographic records. Methodology: Entomological material from different research projects deposited in the Colección Entomológica del Programa de Biología de la Universidad de Caldas (CEBUC) was reviewed and secondary information was collected with records of Pleidae in Colombia. Results: As a result, the genus Neoplea is registered for the first time for the departments of Caldas and Tolima, and its distribution is also expanded in the department of Córdoba. Two species are reported in this work: N. maculosa and N. semipicta. The first species is registered only in Córdoba and the second one in the three mentioned departments. Conclusion: This work broadens the knowledge of the Pleidae of Colombia and also highlights the importance of biological collections. © 2022. Boletin Cientifico del Centro de Museos. All Rights Reserved.</t>
  </si>
  <si>
    <t>Colombia; Conservation; Distribution; Geographical records; Neoplea</t>
  </si>
  <si>
    <t>Alcocer, J., Merino-Ibarra, M., Escobar-Briones, E., (2015) Tendencias de investigación en Limnología tropical: Perspectivas universitarias en Latinoamérica, , Asociación Mexicana de Limnología, A.C., Instituto de Ciencias del Mar y Limnología, UNAM, y Consejo Nacional de Ciencias y Tecnología. México; Bachmann, A. O., López-Ruf, M. L., Los Pleoidea de la Argentina (Insecta: Hemiptera) (1994) Fauna de agua dulce de la República Argentina, 35 (3), pp. 1-32; Barbosa, J.F., Rodrigues, H.D.D., The true water bugs (Nepomorpha) (2015) True bugs (Heteroptera) of the Neotropics, II, pp. 159-199. , En Panizzi &amp; Grazia (Ed). Sociedade Entomológica do Brasil; Berchi, G. M., Petrovici, M., Ilie, D. M., Aquatic and semiaquatic true bugs (Heteroptera: Nepomorpha) of Cefa Nature Park (North - Western Romania) (2011) Analele Universitatii din Oradea Fascicula Biologie, 18 (1), pp. 29-33; Cook, J. L., A new genus and species of Pleidae (Hemiptera) from Venezuela, with notes on the genera of Pleidae (2011) Zootaxa, 3067 (1), pp. 26-34; Cook, J. L., Mondragón-F, S. P., Morales, I., Description of two new species of Neoplea Esaki &amp; China (Hemiptera: Pleidae) from Colombia (2020) Zootaxa, 4860 (1), pp. 055-066; Cuadrado-Argel, L. A., Solano-Sánchez, M. C., Garcés-Villalba, J. D., Comunidad de dípteros, hemípteros y odonatos de la Ciénaga de Betancí (Córdoba-Colombia) (2011) Actualidades Biológicas, (1), pp. 186-189; Deler-Hernández, A., Megna, Y. S., González-Lazo, D. D., Cracasés-Torres, C. N., Insectos acuáticos y áreas prioritarias para la conservación en la cuenca alta del Río Cauto (Santiago de Cuba, Cuba) (2007) Boletín de la Sociedad Entomológica Aragonesa, 40, pp. 451-461; Forero-Céspedes, A. M., Reinoso-Flórez, G., Gutiérrez, C., Evaluación de la calidad del agua del río Opia (Tolima-Colombia) mediante macroinvertebrados acuáticos y parámetros fisicoquímicos: water quality assessment of the Opia River (Tolima-Colombia), using macroinvertebrates and physicochemical parameters (2013) Caldasia, 35 (2), pp. 371-387; Gil, D. N. P., (2012) Los hemípteros acuáticos del municipio de Tumaco (Nariño, Colombia): guía ilustrada, , Editorial Universitaria, Universidad de Nariño; Grandova, M. A., Aquiatic Heteroptera (Nepomorpha, Guerromorpha) in small intermittent rivers of Ukraine steppe zone (2013) Advances in Hemipterology.Zookeys, 319, pp. 107-118. , En Popov A, Grozeva S, Simov N, Tasheva E (Eds); Heckman, W.C., (2011) Encyclopedia of South American Aquatic insects: Hemiptera - Heteroptera, , Olympia Washington, USA. Holdridge, L. R. (1987). Ecología: basada en zonas de vida Life zones ecology. Instituto Interamericano de Cooperación para la Agricultura, IICA IICA-LME 83 IICA-LME 34). IICA, San José (Costa Rica); Hernández, J. I., Hurtado, A., Ortiz, R., Walschburger, T., Unidades Biogeográficas de Colombia (1992) La Diversidad Biológica en Iberoamérica, pp. 105-152. , En Halffter, G. (Ed) Revista Acta Zoológica Mexicana, Volumen Especial 1992; Mazzucconi, S. A., Ruf, M. L., Bachmann, A. O., Gerromorpha y Nepomorpha (Insecta: Heteroptera) del Parque Provincial Salto Encantado del Valle del Cuñá Pirú, Provincia de Misiones, Argentina (2008) Lundiana: International Journal of Biodiversity, 9 (1), pp. 57-66; Melo, M. C., Dellape, P. M., Carpintero, D. L., Montemayor, S. I., Heteroptera (Hemiptera) from the Chaco National Park (Argentina) (2011) Zootaxa, 2999 (1), pp. 1-19; Morales-Castaño, I. T., Rendón, F. M., Aquatic Heteropterans of Quindío (Colombia): The infraorders Gerromorpha and Nepomorpha (2008) Revista Colombiana de Entomología, 34 (1), pp. 121-128; Nieser, N., Guide to aquatic Heteroptera of Singapore and peninsular Malaysia III. Pleidae and Notonectidae (2004) Raffles Bulletin of Zoology, 52, pp. 79-96; Padilla-Gil, D. N., New records and distribution expansions of aquatic heteropterous from colombia (hemiptera, heteroptera) (2013) Acta Biológica Colombiana, 18 (2), pp. 391-400; Pennington, R. T., Lavin, M., Oliveira-Filho, A., Woody plant diversity, evolution, and ecology in the tropics: perspectives from seasonally dry tropical forests (2009) Annual Review of Ecology, Evolution, and Systematics, 40, pp. 437-457; Papáček, M., Small aquatic and ripicolous bugs (Heteroptera: Nepomorpha) as predators and prey: The question of economic importance (2013) European Journal of Entomology, 98, pp. 1-12; Pérez-Bilbao, A., Benetti, C. J., Garrido, J., Nuevas aportaciones al conocimiento de los heterópteros acuáticos (Heteroptera: Gerromorpha y Nepomorpha) en humedales de Galicia (NO España) (2012) Boletín de la Asociación Española de Entomología, 36, pp. 87-107; Polhemus, J. T., Polhemus, D. A., Global diversity of true bugs (Heteroptera; Insecta) in freshwater (2007) En Freshwater animal diversity assessment, pp. 379-391. , Springer, Dordrecht; Roback, S. S., Nieser, N., Aquatic Hemiptera (Heteroptera) from the llanos of Colombia (1974) Proceedings of the Academy of Natural Sciences of Philadelphia, 126 (4), pp. 29-49; Rondón, C. A. R., Zapata, A. M., Pérez, D., Morales, Y., Ovalle, H., Álvarez, J. P., Caracterización limnológica de humedales de la planicie de inundación del río Orinoco (Orinoquía, Colombia) (2010) Acta Biológica Colombiana, 15 (1), pp. 145-166; Roldán, G., (1988) Guía para el estudio de los macroinvertebrados acuáticos del Departamento de Antioquia, , Universidad de Antioquia, Fondo FEN, Medellín; Schuh, R. T., Slater, J. A., (1995) True bugs of the world (Hemiptera: Heteroptera): classification and natural history, , Cornell UNIVERSITY press; (2021), http://datos.biodiversidad.co/</t>
  </si>
  <si>
    <t>Bernal-Z, J.T.; Departamento de Ciencias Biológicas, Colombia; email: tatianazuluagapleidae@gmail.com</t>
  </si>
  <si>
    <t>Bol. Cient. Cent. Museos</t>
  </si>
  <si>
    <t>2-s2.0-85133024187</t>
  </si>
  <si>
    <t>Buitrago P.A.V.</t>
  </si>
  <si>
    <t>57767802800;</t>
  </si>
  <si>
    <t>Transformation in the Soil Coverage of the Cinco Mil Micro-Basin, (Santander, Colombia) [Transformación en la Cobertura del Suelo de la Microcuenca La Cinco Mil, (Santander, Colombia)1]</t>
  </si>
  <si>
    <t>Revista Lasallista de Investigacion</t>
  </si>
  <si>
    <t>10.22507/rli.v19n1a3</t>
  </si>
  <si>
    <t>https://www.scopus.com/inward/record.uri?eid=2-s2.0-85132974486&amp;doi=10.22507%2frli.v19n1a3&amp;partnerID=40&amp;md5=6572041bac80e092cc21c3717147b2d4</t>
  </si>
  <si>
    <t>Universidad Pedagógica y Tecnológica de Colombia, Grupo de Investigación Sistemática Biológica, Colombia</t>
  </si>
  <si>
    <t>Buitrago, P.A.V., Universidad Pedagógica y Tecnológica de Colombia, Grupo de Investigación Sistemática Biológica, Colombia</t>
  </si>
  <si>
    <t>Introduction: Yariguíes's mountain range, located in the center of the department of Santander, constitutes one of the most relevant strategic ecosystems in the eastern Colombian Andes. However, there is no updated information that describes how deforestation and overexploitation have affected the ecosystem coverage of the Cinco Mil micro-basin. Objective: establish the change in the land cover of the Cinco Mil micro-basin for the 2010-2016 period. Materials and Methods: a multi-temporal analysis was carried out, based on the information available in the Geographic Information System for Planning and the National Territorial Ordering of the Agustín Codazzi Geographical Institute, techniques of visual classification based on satellite images and the cross-tabulation methodology developed by Robert Pontius. Results: The dense forest and fragmented forest categories presented the highest total change in a proportion of 11.79 % (1,178.79 ha) and 14.72 % (1,472.21 ha) respectively. Conclusions: advance reconnaissance processes in the field, which allow characterizing the protected natural areas of the Yariguíes through their inhabitants, in order to identify initiatives that contribute to the conservation of ecosystem services. © 2022. Revista Lasallista de Investigacion. All Rights Reserved.</t>
  </si>
  <si>
    <t>Ecosystem service; Environmental conservation; Management; Multi-temporal analysis</t>
  </si>
  <si>
    <t>Donegan, T., Avendaño, J., Estudio de las aves de la Serranía de los Yariguíes y su conservación (2006), Proyecto YARÉ: Investigación y Evaluación de las Especies Amenazadas de la Serranía de los Yariguíes, Santander, Colombia. BP Conservation Programme. Colombian EBA Project Rep; Galindo, G., Espejo, O., Ramírez, J., Forero, C., Valbuena, C., Rubiano, J., Lozano, R., Cabrera, E., Memoria técnica de la cuantificación de la superficie de bosque natural y deforestación a nivel nacional (2014) Actualización periodo 2012 - 2013, , http://documentacion.ideam.gov.co/openbiblio/bvirtual/022976/MemoriaTecnicaPDI2.pdf, Instituto de Hidrología, Meteorología y Estudios Ambientales. Bogotá D.C. Recuperado de; Rodríguez, J., Peña, V., (2013) Análisis de Dinámicas de Cambio de las Coberturas de la Tierra en Colombia, Escala 1:100.000 Periodos 2000-2002 y 2005-2009, , http://documentacion.ideam.gov.co/openbiblio/bvirtual/023677/Analisisdinamicas.pdf, IDEAM, Recuperado de; IDEAM, IAvH, Invemar, IIAP, (2019) Informe del estado del ambiente y los recursos naturales renovables, 2017-2018, , http://documentacion.ideam.gov.co/openbiblio/bvirtual/023890/EstadoMedioAmbiente.pdf, Sinchi. Bogotá D.C. Recuperado de; Moreno, H., Tinjacá, Z., (2018) Plan de Manejo del Parque Nacional Natural Serranía de los Yariguíes, , Parques Nacionales; Naturales de Colombia, , https://www.parquesnacionales.gov.co/portal/wp-content/uploads/2020/10/plan-de-manejo-pnn-serrania-de-los-yariguies.pdf, Recuperado de; Ortiz, R., (2020) Análisis de los cambios de cobertura del suelo en el departamento del Guaviare en los años 2002-2018 y estimación para el año 2030 (Tesis de especialización), , https://repository.unimilitar.edu.co/handle/10654/37345, Universidad Militar Nueva Granada, Bogotá D.C. Colombia. Recuperado de; (2016) Sistema de Parques Nacionales Naturales de Colombia, , http://www.parquesnacionales.gov.co/portal/es/sistema-de-parques-nacionales-naturales/, Recuperado de; Pontius, R., Shusas, E., McEachern, M., Detecting important categorical land changes while accounting for persistence (2004) Agriculture, Ecosystems &amp; Environment, 101 (2-3), pp. 251-268. , https://doi.org/10.1016/j.agee.2003.09.008; Ramos, E., Meza, F., Hernández, C., Distribution and conservation status of Andinobates virolinensis (Dendrobatidae), a threatened andean poison frog endemic to Colombia (2018) Herpetological conservation and biology, 13 (1), pp. 58-69; (2005) Declaración del Parque Nacional Natural Serranía de los Yariguíes, , https://www.parquesnacionales.gov.co/portal/wp-ontent/uploads/2015/04/yariguies.pdf, Ministerio de Ambiente, Vivienda y Desarrollo Territorial. Recuperado de; Rodríguez, E., Armenteras, D., Alumbraros, J., Land use and land cover change in the Colombian Andes: dynamics and future scenarios (2013) Journal of Land Use Science, 8 (2), pp. 154-174. , https://doi.org/10.1080/1747423X.2011.650228; Consolidación de la metodología general de evaluación de tierras para la zonificación con fines agropecuarios a nivel nacional (2013) Metodología a Escala General (1:100.000), , http://bibliotecadigital.agronet.gov.co/handle/11438/8489, Recuperado de; Uribe, E., El cambio climático y sus efectos en la biodiversidad en América Latina (2015), https://www.cepal.org/sites/default/files/publication/files/39855/S1501295_es.pdf, Comisión Económica para América Latina y el Caribe (CEPAL). Recuperado de; Vergara, P., Los saberes campesinos como estrategia de desarrollo rural en la Serranía de los Yariguíes (Santander, Colombia) (2018) Anales de Geografía de la Universidad Complutense, 38 (2), pp. 461-477. , https://doi.org/10.5209/AGUC.62488; Vergara, P., Reconocimiento territorial participativo de la Serranía d e lo s Ya ri g u íe s, m i c ro c u e n ca la Cinco Mil, (Santander-Colombia/ (2018) Revista de Investigación Agraria y Ambiental, 9 (2), pp. 217-230. , https://doi.org/10.22490/21456453.2269</t>
  </si>
  <si>
    <t>Buitrago, P.A.V.; Universidad Pedagógica y Tecnológica de Colombia, Colombia; email: paulina.vergara@uptc.edu.co</t>
  </si>
  <si>
    <t>Corporacion Universitaria Lasallista</t>
  </si>
  <si>
    <t>Rev. Lasa. Invest.</t>
  </si>
  <si>
    <t>2-s2.0-85132974486</t>
  </si>
  <si>
    <t>Pedraza M.L., Espinosa-Ramírez A.J.</t>
  </si>
  <si>
    <t>57766394700;57765096800;</t>
  </si>
  <si>
    <t>The legacy of arsenic and mercury in the Ramsar Ayapel wetland complex (Córdoba, Colombia): An approach to the Magdalena-Cauca macro-basin [EL LEGADO DEL ARSÉNICO Y MERCURIO EN EL COMPLEJO CENAGOSO RAMSAR DE AYAPEL, (CÓRDOBA, COLOMBIA): APROXIMACIÓN A LA MACROCUENCA MAGDALENA-CAUCA]</t>
  </si>
  <si>
    <t>Acta Biologica Colombiana</t>
  </si>
  <si>
    <t>10.15446/ABC.V27N2.89084</t>
  </si>
  <si>
    <t>https://www.scopus.com/inward/record.uri?eid=2-s2.0-85132899894&amp;doi=10.15446%2fABC.V27N2.89084&amp;partnerID=40&amp;md5=86dbb01a262f1eb806e651df9144b360</t>
  </si>
  <si>
    <t>Escuela de Biología, Facultad de Ciencias, Grupo de Investigación Unidad de Ecología en Sistemas Acuáticos UDESA, Universidad Pedagógica y Tecnológica de Colombia, Tunja, Colombia</t>
  </si>
  <si>
    <t>Pedraza, M.L., Escuela de Biología, Facultad de Ciencias, Grupo de Investigación Unidad de Ecología en Sistemas Acuáticos UDESA, Universidad Pedagógica y Tecnológica de Colombia, Tunja, Colombia; Espinosa-Ramírez, A.J., Escuela de Biología, Facultad de Ciencias, Grupo de Investigación Unidad de Ecología en Sistemas Acuáticos UDESA, Universidad Pedagógica y Tecnológica de Colombia, Tunja, Colombia</t>
  </si>
  <si>
    <t>Located in the northern extreme of South America, Colombia is one of the most mercury contaminated countries in the world, a situation that threatens its natural wealth and highly endemic neotropical biodiversity and adds to its multiple environmental and social conflicts. Internationally designated as a Ramsar site, the Ayapel wetland complex registers the catching of 23 % of the fish production of the Magdalena-Cauca macro-basin, while at the same time is under intense alluvial mining pressure. Exposure to two endocrine disruptors [mercury (Hg) and arsenic (As)] was traced in fish for human consumption, water and sediments collected in the central marshes of Ayapel, Escobillas and Paticos. Previously unreported concentrations of arsenic were found in sediments and water. This is quite a relevant finding, since it is a carcinogen and because local rice crops are supplied by the water of the marsh system, which may increase toxicological risk for the people of the region. In addition, 96 % of the fish registered statistically significant contents of both Hg and As. The fish blanquillo (Sorubim cuspicaudus) was found to contain the highest levels of both pollutants, while the bocachico (Prochilodus magdalenae) registered the highest level of Hg in the last 15 years for the studied area. Framed in mercury variation in the macro-basin´s ichthyofauna (1993-2020), a warning is issued about unmonitored impacts on food webs and the urgency of intersectoral actions to protect biodiversity and human health. © 2022, Universidad Nacional de Colombia. All rights reserved.</t>
  </si>
  <si>
    <t>Las autoras agradecen a la División de Investigaciones de la Universidad Pedagógica y Tecnológica de Colombia por la financiación recibida con la Convocatoria 009 de 2018 para el desarrollo de la tesis de maestría en Ciencias Biológicas “Diagnóstico de contaminación por mercurio y arsénico en Bocachico (Prochilodus magdalenae) y Bagre rayado (Pseudoplatystoma magdaleniatum) en la ciénaga de Ayapel y el riesgo de exposición asociado a su consumo”. Así mismo, al grupo de investigación Unidad de Ecología en Sistemas Acuáticos-UDESA y a las comunidades de pescadores del complejo cenagoso que participaron y colaboraron con las encuestas aplicadas en este trabajo. Por último, se agradece a los revisores del presente artículo, quienes contribuyeron en el mejoramiento y enfoque del escrito, mediante sus comentarios y observaciones.</t>
  </si>
  <si>
    <t>(2007) Toxicological Profile for Arsenic, , https://wwwn.cdc.gov/TSP/ToxProfiles/ToxProfiles.aspx?id=22&amp;tid=3, (01 de enero de); (1999) Toxicological Profile for Mercury. Regulations and Advisories, , https://www.atsdr.cdc.gov/ToxProfiles/tp46-c7.pdf, Agency for Toxic Substances and Disease Registry (ATSDR) (01 de enero de); Alonso, D., Latorre, S., Castillo, E., Brandão, P., Environmental occurrence of arsenic in Colombia: A review (2014) Environmental Pollution, 186, pp. 272-281. , https://doi.org/10.1016/j.envpol.2013.12.009; Alonso, D., Pérez, R., Okio, C., Castillo, E., Assessment of mining activity on arsenic contamination in surface water and sediments in southwestern area of Santurbán paramo, Colombia (2020) Journal of Environmental Management, 264, pp. 1-10. , https://doi.org/10.1016/j.jenvman.2020.110478; Álvarez, J., Caracterización limnológica de las ciénagas de Arcial, El Porro y Cintura (río San Jorge) y Bañó, Charco Pescao y Pantano Bonito (río Sinú), departamento de Córdoba (2010) Colombia Diversidad Biótica IX. Ciénagas de Córdoba: Biodiversidad, ecología y manejo ambiental, pp. 509-558. , https://issuu.com/diversidadbiotica/docs/dbix22-limnologia, En J. Rangel (Ed). Instituto de Ciencias Naturales, Universidad Nacional de Colombia; (2013) Tallas mínimas de captura para el aprovechamiento sostenible de las principales especies de peces, crustáceos y moluscos comerciales de Colombia, , http://sepec.aunap.gov.co/Archivos/Cartilla%20-%20TALLAS%20MINIMAS_Digital%20(2).pdf, Autoridad Nacional de Acuicultura y Pesca (AUNAP) y Universidad del Magdalena–UniMagdalena; Batista, B., Souza, J.M. O., De Souza, S. S., Barbosa, F., Speciation of arsenic in rice and estimation of daily intake of different arsenic species by Brazilians through rice consumption (2011) Journal of Hazardous Materials, 191 (1-3), pp. 342-348. , https://doi.org/10.1016/j.jhazmat.2011.04.087; Bergman, A., Heindel, J., Jobling, S., Kidd, K., Zoeller, R., (2013) State of the Science of Endocrine Disrupting Chemicals 2012, , https://apps.who.int/iris/bitstream/handle/10665/78102/WHO_HSE_PHE_IHE_2013.1_eng.pdf?sequence=1&amp;isAllowed=y, (Eds). Summary for Decision-Makers. United Nations Environment Programme and the World Health Organization; Bundschuh, J., Litter, M., Parvez, F., Román-Ross, G., Nicolli, H., Jean, J., Liu, C., Toujaguez, R., One century of arsenic exposure in Latin America: A review of history and occurrence from 14 countries (2012) Science of the Total Environment, 429, pp. 2-35. , https://doi.org/10.1016/j.scitotenv.2011.06.024; Carranza-Lopez, L., Caballero-Gallardo, K., Cervantes-Ceba-llos, L., Turizo-Tapia, A., Olivero-Verbel, J., Multicompartment mercury Contamination in Major Gold Mining Districts at the Department of Bolivar, Colombia (2019) Archives of Environmental Contamination and Toxicology, 76, pp. 640-649. , https://doi.org/10.1007/s00244-019-00609-w; (2007) Plan de manejo ambiental del complejo de humedales de Ayapel, , http://www.planesmojana.com/documentos/estudios/11.Plan%20de%20manejo%20ambiental%20del%20complejo%20de%20humedales%20de%20%20AYAPEL.pdf; Crump, K., Trudeau, V., Mercury-induced reproductive impairment in fish (2009) Environmental Toxicoloxy and Chemistry, 28 (5), pp. 895-907. , https://doi:10.1897/08-151.1; Da Silva, E., Soares, A. M. V. M., Is there a distinct tropical ecotoxicology? (2010) Integrated Environmental Assessment and Management, 6 (2), pp. 313-314. , https://doi.org/10.1002/ieam.45; Gracia, L., Marrugo, J., Alvis, E., Contaminación por mercurio en humanos y peces en el municipio de Ayapel, Córdoba, Colombia, 2009 (2010) Revista Facultad Nacional de Salud Pública, 28 (2), pp. 118-124. , https://revistas.udea.edu.co/index.php/fnsp/article/view/1753; Gutiérrez, B. F., Ruiz Agudelo, C. A., Fish as bioindicators: coal and mercury pollution in Colombia’s ecosystems (2020) Environmental Science and Pollution Research, 27, pp. 27541-27562. , https://doi.org/10.1007/s11356-020-09159-4; (2015) Estudio Nacional del Agua 2014, , http://documentacion.ideam.gov.co/openbiblio/bvirtual/023080/ENA_2014.pdf, IDEAM; (2019) Estudio Nacional del Agua 2018, , IDEAM; (2001) Estudio Ambiental de la Cuenca Magdalena-Cauca y elementos para su ordenamiento territorial, , http://documentacion.ideam.gov.co/openbiblio/bvirtual/000051/EstudioAmbientalCMagdalena-Cauca.pdf; (2015) Documentos de Evaluación de Riesgos en Inocuidad de Alimentos, , https://www.ins.gov.co/Direcciones/Vigilancia/Publicaciones%20ERIA%20y%20Plaguicidas/ER%20MERCURIO%20EN%20PECES.pdf, Evaluación de Riesgo de Mercurio en Peces de Aguas Continentales en Colombia; Jiménez-Segura, L., Ortega, H., Chuctaya, J., Jiménez, P., Carvajal-Vallejos, F., Rivadeneira, J., Mojica, J., Tognelli, M., Estado de conservación y distribución de los peces de agua dulce de los Andes Tropicales (2016) Estado de conservación y distribución de la biodiversidad de agua dulce en los Andes tropicales, pp. 23-56. , https://www.iucn.org/es/content/estado-de-conser-vacion-y-distribucion-de-la-biodiversidad-de-agua-dul-ce-en-los-andes-tropicales, En M. Tognelli, C. Lasso, C. Bota-Sierra, L. Jiménez-Segura y N. Cox. (Eds). Unión Internacional para la Conservación de la Naturaleza y de los Recursos Naturales (UICN); Khan, K., Chakraborty, R., Bundschuh, J., Bhattacharya, P, Parvez, F., Health effects of arsenic exposure in Latin America: An overview of the past eight years of research (2020) Science of the Total Environment, 710, p. 136071. , https://doi.org/10.1016/j.scitotenv.2019.136071; Lázaro, W. L., Díez, S., Bravo, A. G., da Silva, C. J, Igná-cio, Á. R. A., Guimaraes, J. R. D., Cyanobacteria as regulators of methylmercury production in periphyton (2019) Science of the Total Environment, 668, pp. 723-729. , https://doi.org/10.1016/j.scitotenv.2019.02.233; López-Barrera, E. A., Barragán-Gonzales, R. G., Metals and Metalloid in Eight Fish Species Consumed by Citizens of Bogotá D. C., Colombia, and Potential Risk to Humans (2016) Journal of Toxicology and Environmental Health, Part A, 79 (5), pp. 232-243. , https://doi.org/10.1080/15287394.2016.1149130; Mancera-Rodríguez, N., Álvarez-León, R., Estado del conocimiento de las concentraciones de mercurio y otros metales pesados en peces dulceacuícolas de Colombia (2006) Acta Biológica Colombiana, 11 (1), pp. 3-23. , https://revistas.unal.edu.co/index.php/actabiol/article/view/27140; Marrugo-Negrete, J., Benítez, L. N., Olivero-Verbel, J., Lans, E., Vázquez, F., Spatial and seasonal mercury distribution in the Ayapel Marsh, Mojana region, Colombia (2010) International Journal of Environmental Health Research, 20 (6), pp. 451-459. , https://doi.org/10.1080/09603123.2010.499451; Marrugo-Negrete, J., Ruiz-Guzmán, J., Ruiz-Fernández, A., Biomagnification of Mercury in Fish from Two Gold Mining-Impacted Tropical Marshes in Northern Colombia (2018) Archive of Environmental Contamination and Toxicology, 74 (1), pp. 121-130. , https://doi.org/10.1007/s00244-017-0459-9; Marrugo-Negrete, J., Olivero Verbel, J., Lans Ceballos, E., Benitez, L. N., Total mercury and methylmercury concentrations in fish from the Mojana region of Colombia (2008) Environmental Geochemistry and Health, 30, pp. 21-30. , https://doi.org/10.1007/s10653-007-9104-2; Mestrot, A., Planer-Friedrich, B., Feldmann, J., Biovolatilisation: a poorly studied pathway of the arsenic biogeochemical cycle (2013) Environmental Science: Processes &amp; Impacts, 15 (9), pp. 1639-1784. , https://doi.org/10.1039/c3em00105a; (2016) Plan estratégico sectorial para la eliminación del uso del mercurio. La ruta hacia un beneficio sostenible del oro, , https://www.minenergia.gov.co/documents/10180/0/PES+Eliminaci%C3%B3n+Mercurio+(1).pdf/e2774fb2-e2a3-4229-8103-2183e5a71e18, Ministerio de Minas y Energía, Agencia Nacional de Minería (ANM), Unidad de Planeación Minero Energética (UPME), Servicio Geológico Colombiano (SGC) y Gobernación de Antioquia; Obrist, D., Kirk, J., Zhang, L., Sunderland, E., Jiskra, M., Selin, N., Areview of global environmental mercury processes in response to human and natural perturbations: Changes of emissions, climate, and land use (2018) Ambio, 47, pp. 116-140. , https://doi.org/10.1007/s13280-017-1004-9; Pinzón-Bedoya, C. H., Pinzón-Bedoya, M. L., Pinedo-Hernández, J., Urango-Cárdenas, I., Marrugo-Negrete, J., Assessment of Potential Health Risks Associated with the Intake of Heavy Metals in Fish Harvested from the Largest Estuary in Colombia (2020) International Journal of Environmental Research and Public Health, 17 (8), p. 2921. , https://doi.org/10.3390/ijerph17082921; (2019) Proyecto de informe del Plenario de la Plataforma Intergubernamental Científico-normativa sobre Diversidad Biológica y Servicios de los Ecosistemas sobre la labor realizada en su séptimo período de sesiones Adición Resumen para los encargados de la formulación de políticas del informe de la evaluación mundial de la diversidad biológica y los servicios de los ecosistemas de la Plataforma Intergubernamental Científico-normativa sobre Diversidad Biológica y Servicios de los Ecosistemas, , https://ipbes.net/sites/default/files/ipbes_7_10_add.1_es.pdf, https://doi.org/10.21789/22561498.1616; (2015) Política Integral Para El Desarrollo de La Pesca Sostenible En Colombia, , https://www.aunap.gov.co/2018/politica-integral-para-el-desarrollo-de-la-pesca-sostenible-en-colombia.pdf; Puerta, Y., Aguirre, N., Vélez, F., Sistema cenagoso de Ayapel como posible sitio Ramsar en Colombia (2016) Gestión y Ambiente, 19 (1), pp. 110-122. , http://www.redalyc.org/articulo.oa?id=169446378007; Rangel, E., Montañez, L., Luévanos, M., Balagurusamy, N., Impacto del arsénico en el ambiente y su transformación por microorganismos (2015) Terra Latinoamericana, 33, pp. 103-118. , https://www.redalyc.org/articulo.oa?id=57339210001; Ricaurte, L. F., Patiño, J. E., Restrepo Zambrano, D. F., Arias-G, J. C., Acevedo, O., Aponte, C., Medina, R., Junk, W., A Classification System for Colombian Wetlands: an Essential Step Forward in Open Environmental Policy-Making (2019) Wetlands, 39, pp. 971-990. , https://doi.org/10.1007/s13157-019-01149-8; Rintala, E.-M., Ekholm, P., Koivisto, P., Peltonen, K., Venäläinen, E., The intake of inorganic arsenic from long grain rice and rice-based baby food in Finland – Low safety margin warrants follow up (2014) Food Chemistry, 150, pp. 199-205. , https://doi.org/10.1016/j.foodchem.2013.10.155; Rúa, A., Flórez, M., Palacio, J., Variación espacial y temporal en los contenidos de mercurio, plomo, cromo y materia orgánica en sedimento del complejo de humedales de Ayapel, Córdoba, noroccidente colombiano (2013) Revista Facultad de Ingeniería Universidad de Antioquia, 69, pp. 244-255. , https://revistas.udea.edu.co/index.php/ingenieria/issue/view/1655; (2016) Atlas Geoquímico de Colombia, , https://srvags.sgc.gov.co/Archivos_Geoportal/Recursos_Minerales/UNIDOS_ATLAS/Atlas_Geoquimico_de_Colombia_Version_2016.pdf, Versión 2016; Sun, H.-S., Xiang, P., Luo, J., Hong, H., Lin, H., Li, H.-B., Ma, L. Q., Mechanisms of arsenic disruption on gonadal, adrenal and thyroid endocrine systems in humans: A review (2016) Environment International, 95, pp. 61-68. , https://doi.org/10.1016/j.envint.2016.07.020; Taylor, V., Goodale, B., Raab, A., Schwerdtle, T., Reimer, K., Conklin, S., Karagas, M. R., Francesconi, K. A., Human exposure to organic arsenic species from seafood (2017) Science of the Total Environment, 580, pp. 266-282. , https://doi.org/10.1016/j.scitotenv.2016.12.113; Teixeira, M. C., Caldeira Santos, A., Silva Fernandes, C., Chakmeng, J., Arsenic contamination assessment in Brazil – past, present and future concerns: A historical and critical review (2020) Science of the Total Environment, 730, pp. 138-217. , https://doi:10.1016/j.scitotenv.2020.138217; (2000) Guidance for Assessing Chemical Contaminant Data for Use in Fish Advisories. Volume 2: Risk Assessment and Fish Consumption Limits, , https://www.epa.gov/sites/production/files/2018-11/documents/guidance-assess-chemical-contaminant-vol2-third-edition.pdf, Third Edition; (2019) Global Mercury Assessment 2018, , https://wedocs.unep.org/handle/20.500.11822/27579, (1 de enero de). UN Environment Programme, Chemicals and Health Branch Geneva, Switzerland; Villamil, E., Hidroarsenicismo crónico regional endémico en Argentina (2015) Acta Bioquímica Clínica Latinoamericana, 49 (1), pp. 83-104. , https://www.redalyc.org/pdf/535/53541285009.pdf; Vos, J., Dybing, E., Greim, H., Ladefoged, O., Lambré, C., Tarazona, J., Brandt, I., Vethaak, D., Health Effects of Endocrine-Disrupting Chemicals on Wildlife, with Special Reference to the European Situation (2000) Critical Reviews in Toxicology, 30 (1), pp. 71-133. , https://doi.org/10.1080/10408440091159176; (2004) IARC Monographs on the Evaluation of Carcinogenic Risk to Humans, 84. , https://publications.iarc.fr/Book-And-Report-Series/Iarc-Monographs-On-The-Identification-Of-Carcinogenic-Hazards-To-Humans/Some-Drinking-Water-Disinfectants-And-Contaminants-Including-Arsenic-2004, Some drinking-water disinfectants and contaminants, including arsenic; Zapata, L., Usma, J., (2013) Guía de las especies Migratorias de la Biodiversidad en Colombia, 2. , https://awsassets.panda.org/downloads/migratoriaspeces_42_web_final.pdf, (Eds). Volumen Peces. Ministerio de Ambiente y Desarrollo Sostenible; Zhu, X., Kusaka, Y., Sato, K., Zhang, Q., The Endocrine Disruptive Effects of Mercury (2000) Environmental Health and Preventive Medicine, 4 (4), pp. 174-183. , https://doi/10.1007/BF02931255</t>
  </si>
  <si>
    <t>Espinosa-Ramírez, A.J.; Escuela de Biología, Colombia; email: adriana.espinosa@uptc.edu.co</t>
  </si>
  <si>
    <t>0120548X</t>
  </si>
  <si>
    <t>2-s2.0-85132899894</t>
  </si>
  <si>
    <t>Morales-Alba A.F., Carvajal-Cogollo J.E., Morales I.</t>
  </si>
  <si>
    <t>57437190800;56534044900;35068587900;</t>
  </si>
  <si>
    <t>Bees in agricultural systems: taxonomic and functional diversity review and research perspectives [ABEJAS EN SISTEMAS AGRÍCOLAS: REVISIÓN DE LA DIVERSIDAD TAXONÓMICA Y FUNCIONAL Y PERSPECTIVAS DE INVESTIGACIÓN]</t>
  </si>
  <si>
    <t>10.15446/ABC.V27N2.92192</t>
  </si>
  <si>
    <t>https://www.scopus.com/inward/record.uri?eid=2-s2.0-85132877659&amp;doi=10.15446%2fABC.V27N2.92192&amp;partnerID=40&amp;md5=c6ece23ff6bc0b702c6e1f7ffe45e43e</t>
  </si>
  <si>
    <t>Grupo Sistemática Biológica-SisBio, Laboratorio de Entomología, Programa de Biología, Universidad Pedagógica y Tecnológica de Colombia, Av. Central del Norte 39-115, Tunja, Boyacá, Colombia; Grupo de Investigación Biodiversidad y Conservación, Museo de Historia Natural Luis Gonzalo Andrade, Programa de Biología, Universidad Pedagógica y Tecnológica de Colombia, Tunja, Boyacá, Colombia</t>
  </si>
  <si>
    <t>Morales-Alba, A.F., Grupo Sistemática Biológica-SisBio, Laboratorio de Entomología, Programa de Biología, Universidad Pedagógica y Tecnológica de Colombia, Av. Central del Norte 39-115, Tunja, Boyacá, Colombia, Grupo de Investigación Biodiversidad y Conservación, Museo de Historia Natural Luis Gonzalo Andrade, Programa de Biología, Universidad Pedagógica y Tecnológica de Colombia, Tunja, Boyacá, Colombia; Carvajal-Cogollo, J.E., Grupo Sistemática Biológica-SisBio, Laboratorio de Entomología, Programa de Biología, Universidad Pedagógica y Tecnológica de Colombia, Av. Central del Norte 39-115, Tunja, Boyacá, Colombia; Morales, I., Grupo Sistemática Biológica-SisBio, Laboratorio de Entomología, Programa de Biología, Universidad Pedagógica y Tecnológica de Colombia, Av. Central del Norte 39-115, Tunja, Boyacá, Colombia, Grupo de Investigación Biodiversidad y Conservación, Museo de Historia Natural Luis Gonzalo Andrade, Programa de Biología, Universidad Pedagógica y Tecnológica de Colombia, Tunja, Boyacá, Colombia</t>
  </si>
  <si>
    <t>Bees are insects of great ecological importance since they are responsible for processes such as pollination in natural and agricultural environments, contributing to the health and resilience of ecosystems. We conducted a review to address the taxonomic and functional dimensions of the bees’ diversity in palm, potato, coffee, granadilla, gulupa and passion fruit crops. Using keywords and Boolean operators we searched for information in databases. Curves analogous of species accumulation were constructed and a complementarity analysis was carried out to assess taxonomic diversity. We used a cluster analysis to identify functional types and evaluate the functional richness of each crop. Nineteen publications of bees associated with crops, with records of 116 species, were found. Palm cultivation presented the highest richness with 48 species, followed by potato (44) and coffee (41). We identified 11 functional types, where the most representative was bees with corbicula, eusocial, that nest in any cavity (ScEuCc). Functional richness was higher in coffee (3.33), followed by potato (2.83) and gulupa (2.00). The high diversity of bees in agroecosystems seems to be related to the proximity of each crop to forest fragments, according to what could be analyzed from the publications. Agroecosystems could offer an alternative resource to bees by allowing them to combat the decline of their habitats, so we suggest expanding research on the benefits of agricultural crops on the bee community. © 2022, Universidad Nacional de Colombia. All rights reserved.</t>
  </si>
  <si>
    <t>Universidad Pedagógica y Tecnológica de Colombia, UPTC: BPIN 2020000100003</t>
  </si>
  <si>
    <t>A la Dirección de Investigaciones y la Vicerrectoría de Investigación y Extensión de la Universidad Pedagógica y Tecnológica de Colombia (UPTC), Dr. Enrique Vera López y a Laura Rivera por su gestión, colaboración y apoyo a la formación de investigadores (convocatoria 18 de 2019 – Jóvenes investigadores 2020 “Aportando a la agenda 2030-Objetivos de Desarrollo Sostenible (ODS)”). Al grupo de investigación Sistemática Biológica de la UPTC por su apoyo logístico. Este manuscrito se realizó en el marco del proyecto BPIN 2020000100003, financiado por el sistema general de regalías.</t>
  </si>
  <si>
    <t>Aizen, M. A., Aguiar, S., Biesmeijer, J. C., Garibaldi, L. A., Inouye, D. W., Jung, C., Inouye, D. W., Seymour, C. L., Global agricultural productivity is threatened by increasing pollinator dependence without a parallel increase in crop diversification (2019) Global Change Biology, 25 (10), pp. 3516-3527. , https://doi.org/10.1111/gcb.14736; Akamine, E. K., Girolami, D. G., (1959) Pollination and fruit set in yellow passion fruit, p. 39. , Hawaii Agriculture Experimental Station, University of Hawaii. Technical Bulletin; Arias-Suárez, J. C., Ocampo-Pérez, J. A., Urrea-Gómez, R., La polinización natural en el maracuyá (Passiflora edulis f. flavicarpa Degener) como un servicio reproductivo y ecosistémico (2014) Agronomía Mesoamericana, 25 (1), pp. 73-83. , https://doi.org/10.15517/am.v25i1.14200; Banaszak, J., Twerd, L., Importance of thermophilous habitats for protection of wild bees (Apiformes) (2018) Community Ecology, 19 (3), pp. 239-247. , https://doi.org/10.1556/168.2018.19.3.5; Barrientos-Restrepo, E. M., (2012) Abejas visitantes de papa (Solanum tuberosum l.), en tres agroecosistemas de los departamentos de Cundinamarca y Boyacá, Colombia, , [Tesis de Maestría]. Facultad de Ciencias; Bezerra, A. D. M., Pacheco Filho, A. J. S., Bomfim, I. G., Smagghe, G., Freitas, B. M., Agricultural area losses and pollinator mismatch due to climate changes endanger passion fruit production in the Neotropics (2019) Agricultural Systems, 169, pp. 49-57. , https://doi.org/10.1016/j.agsy.2018.12.002; Bravo-Monroy, L., Tzanopoulos, J., Potts, S. G., Ecological and social drivers of coffee pollination in Santander, Colombia (2015) Agriculture, Ecosystems &amp; Environment, 211, pp. 145-154. , https://doi.org/10.1016/j.agee.2015.06.007; Brieva-Oviedo, E., Núñez-Avellaneda, L. A., Biología reproductiva de la palma amarga (Sabal mauritiiformis: Arecaceae): especie económicamente importante para la Costa Caribe colombiana (2020) Caldasia, 42 (2), pp. 278-293. , https://doi.org/10.15446/caldasia.v42n2.75595; Buchholz, S., Gathof, A. K., Grossmann, A. J., Kowarik, I., Fischer, L. K., Wild bees in urban grasslands: Urbanisation, functional diversity and species traits (2020) Landscape and Urban Planning, 196, p. 103731. , https://doi.org/10.1016/j.landurbplan.2019.103731; Buchmann, S. L., Buzz pollination in angiosperms (1983) Handbook of experimental pollination biology, pp. 73-113. , En C. E. Jones, y R. J. Little, (Eds). Scientific and Academic Editions; Calle, Z., Guariguata, M. R., Giraldo, E., Chará, J., La producción de maracuyá (Passiflora edulis) en Colombia: perspectivas para la conservación del hábitat a través del servicio de polinización (2010) Interciencia, 35 (3), pp. 207-212; Cadotte, M. W., Carscadden, K., Mirotchnick, N., Beyond species: functional diversity and the maintenance of ecological processes and services (2011) Journal of Applied Ecology, 48 (5), pp. 1079-1087. , https://doi.org/10.1111/j.1365-2664.2011.02048.x; Casanoves, F., Pla, L., Di Rienzo, J. A., Valoración y análisis de la diversidad funcional y su relación con los servicios ecosistémicos (2011) CATIE, p. 119; Chauzat, M.-P., Carpentier, P., Martel, A. C., Bougeard, S., Cougoule, N., Porta, P., Lachaize, J., Fauconet, J.-P., Influence of pesticide residues on honey bee (Hymenoptera: Apidae) colony health in France (2009) Environmental Entomology, 38 (3), pp. 514-523. , https://doi.org/10.1603/022.038.0302; Da Silva, C. I., Gomes, N., Correia da Rocha, L., Garófalo, C. A., The importance of plant diversity in maintaining the pollinator bee, Eulaema nigrita (Hymenoptera: Apidae) in sweet passion fruit fields (2012) Revista de Biología Tropical, 60 (4), pp. 1553-1565. , https://doi.org/10.15517/rbt.v60i4.2073; De Luca, P. A., Vallejo-Marin, M., What’s the ‘buzz’ about? The ecology and evolutionary significance of buzz-pollination (2013) Current Opinion in Plant Biology, 16 (4), pp. 429-435. , https://doi.org/10.1016/j.pbi.2013.05.002; Decourtye, A., Alaux, C., Le Conte, Y., Henry, M., Toward the protection of bees and pollination under global change: present and future perspectives in a challenging applied science (2019) Current Opinion in Insect Science, 35, pp. 123-131. , https://doi.org/10.1016/j.cois.2019.07.008; Di Rienzo, J. A., Casanoves, F., Balzarini, M. G., González, L., Tablada, y M., Robledo, C. W., (2008) InfoStat, versión 2008, , Grupo InfoStat, FCA, Universidad Nacional de Córdoba, Argentina; Díaz, S., Lavorel, S., De Bello, F., Quétier, F., Grigulis, K., Robson, M., Incorporating plant functional diversity effects in ecosystem service assessments (2007) Proceeding of National Academy of Sciences of the United States of America, 104 (52), pp. 20684-20689. , https://doi.org/10.1073/pnas.0704716104, y y y; Dodge, B., (2005) Motores de búsqueda y álgebra booleana, , http://usuaris.tinet.cat/mrpte/recursos/motors.pdf, (01 enero de). Recuperado el 15 noviembre de 2020 de; Ellis, K. E., Barbercheck, M. E., Management of overwintering cover crops influences floral resources and visitation by native bees (2015) Environmental Entomology, 44 (4), pp. 999-1010. , https://doi.org/10.1093/ee/nvv086; (2008) FAOSTAT. Food and Agriculture Organization of the United Nations, , http://faostat.fao.org, La Papa; (2016) FAOSTAT. Food and Agriculture Organization of the United Nations, , http://faostat.fao.org; Forrest, J. R., Thorp, R. W., Kremen, C., Williams, N. M., Contrasting patterns in species and functional trait diversity of bees in an agricultural landscape (2015) Journal of Applied Ecology, 52 (3), pp. 706-715. , https://doi.org/10.1111/1365-2664.12433; Franco, Y., Alzate, F., Peláez, J. M., Factores ambientales incidentes en la población de Xylocopa y su efecto en el cultivo de granadilla en tres veredas del municipio de Guarne (Colombia) (2007) Revista Universidad Católica de Oriente, 24, pp. 73-86; Garibaldi, L. A., Steffan-Dewenter, I., Kremen, C., Morales, J. M., Bommarco, R., Cunningham, S. A., Carvalheiro, L. G., Klein, A. M., Stability of pollination services decreases with isolation from natural areas despite honey bee visits (2011) Ecology Letters, 14, pp. 1062-1072. , https://doi.org/10.1111/j.1461-0248.2011.01669.x; González-Betancourt, V. H., González, M., Cuellar, Y., Notas biológicas y taxonómicas sobre los abejorros del maracuyá del género Xylocopa (Hymenoptera: Apidae, Xylocopini) en Colombia (2009) Acta Biológica Colombia, 14 (2), pp. 31-40; Guerrero-Olaya, N. Y., Núñez-Avellaneda, L. A., Ecología de la polinización de Syagrus smithii (Arecaceae), una palma cantarofila de la Amazonia Colombiana (2017) Revista Peruana de Biología, 24 (1), pp. 43-54. , https://doi.org/10.15381/rpb.v24i1.13102; Gutiérrez-Chacón, C., Fornoff, F., Ospina-Torres, R., Klein, A, Pollination of granadilla (Passiflora ligularis) benefits from large wild insects (2018) Journal of Economic Entomology, 111 (4), pp. 1526-1534. , https://doi.org/10.1093/jee/toy133, M; Herrera, O. V., Sabogal-Sabogal, J. E., (2016) Evaluación de la polinización de café Coffea arabica con abejas nativas (Apidae: Meliponini) en un cultivo agroecológico en la Mesa–Cundinamarca, , [Tesis]. Facultad de Ciencias Agropecuarias; Hoiss, B., Krauss, J., Potts, S. G., Roberts, S., Steffan-Dewenter, I., Altitude acts as an environmental filter on phylogenetic composition, traits and diversity in bee communities (2012) Proceedings of the Royal Society B. Biological Sciences, 279 (1746), pp. 4447-4456. , https://doi.org/10.1098/rspb.2012.1581; Inouye, D. W., The terminology of floral larceny (1980) Ecology, 61, pp. 1251-1252. , https://doi.org/10.2307/1936841; (2020) Boletín Alertas Tempranas Deforestación; Jaramillo-Delgado, A., (2012) Efecto de las abejas silvestres en la polinización del café (Coffea arabica: Rubiaceae) en tres sistemas de producción en el departamento de Antioquia, , [Tesis de Maestría]. Escuela de Biociencias; Janzen, D. H., The natural history of mutualisms (1985) The biology of mutualism, pp. 40-99. , En; Kaluza, B. F., Wallace, H., Keller, A., Heard, T. A., Jeffers, B., Drescher, N., Blüthgen, N., Leonhardt, S. D., Generalist social bees maximize diversity intake in plant species‐rich and resource‐abundant environments (2017) Ecosphere, 8 (3), p. e01758. , https://doi.org/10.1002/ecs2.1758; Kleijn, D., Winfree, R., Bartomeus, I., Carvalheiro, L. G., Henry, M., Isaacs, R., Klein, A.-M., Potts, S. G., Delivery of crop pollination services is an insufficient argument for wild pollinator conservation (2015) Nature Communications, 6 (1), pp. 1-9. , https://doi.org/10.1038/ncomms8414; Klein, A.-M., Vaissiere, B. E., Cane, J. H., Steffan-Dewenter, I., Cunningham, S. A., Kremen, C., Tscharntke, T., Importance of pollinators in changing landscapes for world crops (2007) Proceedings of the Royal Society B, 274 (1608), pp. 303-313. , https://doi.org/10.1098/rspb.2006.3721; Laliberté, E., Wells, J. A., DeClerck, F., Metcalfe, D. J., Catterall, C. P., Queiroz, C., Aubin, I., Mayfield, M., Land‐use intensification reduces functional redundancy and response diversity in plant communities (2010) Ecology letter, 13 (1), pp. 76-86. , https://doi.org/10.1111/j.1461-0248.2009.01403.x; Leal, D. A., Gómez, A. P., Bautista, G. V., Barbosa, D. C., Oferta alimenticia para abejas Apis mellifera en café (2018) Pasuncha-Cundinamarca. Perspectivas, 11, pp. 20-28; Linsley, E., The ecology of solitary bees (1958) Hilgardia, 27 (19), pp. 543-599; McCravy, K. W., Geroff, R. K., Gibbs, J., Bee (Hymenoptera: Apoidea: Anthophila) functional traits in relation to sampling methodology in a restored tallgrass prairie (2019) Florida Entomologist, 102 (1), pp. 134-140. , https://doi.org/10.1653/024.102.0122; Medina-Gutiérrez, J., Ospina-Torres, R., Nates-Parra, G., Efectos de la variación altitudinal sobre la polinización en cultivos de gulupa (Passiflora edulis F. edulis) (2012) Acta Biológica Colombiana, 17 (2), pp. 379-393; Michener, C. D., Comparative social behavior of bees (1969) Annual Review of Entomology, 14 (1), pp. 299-342. , https://doi.org/10.1146/annurev.en.14.010169.001503; Michener, C. D., Evolution of the nests of bees (1964) American Zoologist, 4 (2), pp. 227-239. , https://www.jstor.org/stable/3881295; Moreno, C. E., (2001) Métodos para medir la biodiversidad, p. 84. , M&amp;T–Manuales y Tesis SEA; Nates-Parra, G., (2006) Abejas Corbiculadas de Colombia: Hymenoptera: Apidae, p. 156. , CO-BAC; Nates-Parra, G., (2016) Iniciativa Colombiana de Polinizadores-Abejas – ICPA, p. 364. , Bogotá, D. C. Departamento de Biología, Universidad Nacional de Colombia; Nagamitsu, T., Inoue, T., Aggressive foraging of social bees as a mechanism of floral resource partitioning in an Asian tropical rainforest (1997) Oecologia, 110 (3), pp. 432-439. , https://doi.org/10.1007/s004420050178; Nicholls, C. I., Altieri, M. A., Plant biodiversity enhances bees and other insect pollinators in agroecosystems (2013) Agronomy for Sustainable Development, 3 (2), pp. 257-274. , https://doi.org/10.1007/s13593-012-0092-y; Núñez, L. A., Carreño, J., Biología reproductiva de Mauritia flexusosa en Casanare, Orinoquia colombiana (2013) Serie Editorial Recursos Hidrobiológicos y pesqueros Continentales de Colombia, pp. 119-150. , En C. A. Lasso, A. Rial, y González, (Eds). Instituto de Investigación de Recursos Biológicos Alexander von Humboldt; Núñez, L. A., Carreño, J., Las abejas sin aguijón (Apidae: Meliponini) visitantes florales de palmas (Arecaceae) en Colombia, y su papel en la polinización (2016) Iniciativa Colombiana de Polinizadores-Abejas-ICPA, pp. 215-238. , En G. Nates-Parra. Bogotá, DC Departamento de Biología, Universidad Nacional de Colombia; Núñez-Avellaneda, L. A., Carreño, J. I., Polinización por abejas en Syagrus orinocensis (Arecaceae) en la Orinoquia colombiana (2017) Acta Biológica Colombiana, 22 (2), pp. 221-233; Ollerton, J., Pollinator diversity: distribution, ecological function, and conservation (2017) Annual Review of Ecology, Evolution, and Systematics, 48, pp. 353-376. , https://doi.org/10.1146/annurev-ecolsys-110316-022919; Patel, V., Pauli, N., Biggs, E., Barbour, L., Boruff, B., Why bees are critical for achieving sustainable development (2020) Ambio, 50, pp. 49-59. , https://doi.org/10.1007/s13280-020-01333-9; Plaza-Ortega, V., Velasco, Y. M., Gallego-Ropero, M. C., Oferta polínica para abejas en sistemas cafeteros en el municipio de Popayán, Cauca (2017) BMEUV, 17 (2), pp. S15-S15; Rao, S., Stephen, W. P., Abundance and diversity of native bumble bees associated with agricultural crops: the Willamette Valley experience (2010) Psyche: A Journal of Entomology, pp. 1-9. , https://doi.org/10.1155/2010/354072; Ricotta, C., de Bello, F., Moretti, M., Caccianiga, M., Cerabolini, B. E., Pavoine, S., Measuring the functional redundancy of biological communities: a quantitative guide (2016) Methods in Ecology and Evolution, 7 (11), pp. 1386-1395. , https://doi.org/10.1111/2041-210X.12604; Rodríguez-Calderón, A. T., Abejas del Maracuyá: Género Xylocopa Latreille, 1802 (2016) Iniciativa Colombiana de Polinizadores-Abejas-ICPA, pp. 173-184. , En G. Nates-Parra. Bogotá, DC Departamento de Biología, Universidad Nacional de Colombia; Rodríguez-Parilli, S. A., Velásquez, M., Contribución de biomasa de la comunidad de abejas (Hymenoptera: Apoidea) en bosque de galería del estado Guárico, Venezuela (2013) Entomotropica, 27 (3), pp. 111-117; Sepúlveda-Cano, P. A., (2013) Diversidad de abejas (Hymenoptera: Apoidea: Anthophila) en cultivos de papa (Solanum tuberosum L.) y su efecto en la Polinización, , [Tesis Doctoral]. Facultad de Ciencias Agrarias; Sepúlveda-Cano, P. A., Smith-Pardo, A. H., Hoyos, R. A., Efecto del arreglo espacial del agroecosistema sobre la diversidad de abejas (Hymenoptera: Apoidea) en cultivos de papa (Solanum tuberosum) en Antioquia, Colombia (2017) Revista Colombiana de Entomología, 43 (1), pp. 55-63; Shaw, J. P., Taylor, S. J., Dobson, M. C., Martin, N. H., Pollinator isolation in Louisiana iris: legitimacy and pollen transfer (2017) Evolutionary Ecology Research, 18 (4), pp. 429-441; Suárez, J. C., Pérez, J. O., Gómez, R. U., Sistemas de polinización en granadilla (Passiflora ligularis Juss.) como base para estudios genéticos y de conservación (2016) Acta Agronomica, 65 (2), pp. 197-203. , http://dx.doi.org/10.15446/acag.v65n2.49278; Villéger, S., Mason, N. W., Mouillot, D., New multidimensional functional diversity indices for a multifaceted framework in functional ecology (2008) Ecology, 89 (8), pp. 2290-2301. , https://doi.org/10.1890/07-1206.1</t>
  </si>
  <si>
    <t>Morales, I.; Grupo Sistemática Biológica-SisBio, Av. Central del Norte 39-115, Colombia; email: irina.morales@uptc.edu.co</t>
  </si>
  <si>
    <t>2-s2.0-85132877659</t>
  </si>
  <si>
    <t>Morlà C.G., García M.R.</t>
  </si>
  <si>
    <t>57462591500;57191168208;</t>
  </si>
  <si>
    <t>THE EMERGENCE OF QUALITY JOURNALISM IN THE IBERO-AMERICAN CONTEXT: A READING FROM THE PROPOSAL OF PIERRE BOURDIEU [La emergencia de un periodismo de calidad en el contexto iberoamericano: una lectura desde la propuesta de Pierre Bourdieu]</t>
  </si>
  <si>
    <t>Contratexto</t>
  </si>
  <si>
    <t>10.26439/contratexto2022.n037.5620</t>
  </si>
  <si>
    <t>https://www.scopus.com/inward/record.uri?eid=2-s2.0-85132848850&amp;doi=10.26439%2fcontratexto2022.n037.5620&amp;partnerID=40&amp;md5=92a995358110a2e92f5998c33be2d5c5</t>
  </si>
  <si>
    <t>Universitat Autònoma de Barcelona, Spain; Universidad Autónoma de la Ciudad de México, Mexico</t>
  </si>
  <si>
    <t>Morlà, C.G., Universitat Autònoma de Barcelona, Spain; García, M.R., Universidad Autónoma de la Ciudad de México, Mexico</t>
  </si>
  <si>
    <t>In the current context of financialization and digital metanarrative, a reflection on quality journalism linked to emerging journalistic proposals in Ibero- America is urgently needed. For this reason, this article reviews the work of Pierre Bourdieu on the concepts of field, doxa and habitus and connects them to the current debates in the disciplinary matrix of journalism. The article proposes a necessary distinction between quality journalism and the narrative arising from a financialized media field. The text constitutes a theoretical contribution by articulating Bourdieu's theories with the debate about quality journalism. Finally, the article discusses the need to consider the role of Communication faculties as drivers of the journalistic field. © 2022 The Korean Society of Radiology.</t>
  </si>
  <si>
    <t>Communication faculties; Ibero-America; journalistic field; media field; quality journalism</t>
  </si>
  <si>
    <t>Almiron, N., La convergencia de intereses entre banca y grupos de comunicación: el caso de SCH y PRISA (2007) Zer, 22, pp. 41-67; Almiron, N., Conglomerats de comunicació al segle xxi: financiarització i dèficit democràtic (2008) L'Espill, 28, pp. 60-74; Almiron, N., (2010) Journalism in crisis. Corporate media and financialization, , Hampton Press; Alsius, S., Cap a una gran base de dades per a l'estudi de l'ètica periodística (2011) Periodística, 13, pp. 27-57; Beckett, C., (2008) SuperMedia. Saving journalism so it can save the world, , Wiley-Blackwell; Bilbeny, N., (2012) Ética del periodismo. La defensa del interés público por medio de una información libre, veraz y justa, , Universitat Autònoma de Barcelona; Blöbaum, B., (2014) Trust and journalism in a digital environment, , https://reutersinstitute.politics.ox.ac.uk/sites/default/files/Trust%20and%20Journalism%20in%20a%20Digital%20Environment.pdf, Reuters Institute for The Study of Journalism; Blood, R., A few thoughts on journalism and what can weblogs do about it (2004) Rebecca Blood, , http://www.rebeccablood.net/essays/what_is_journalism.html, (15 de abril); Borden, S. L., (2007) Journalism as practice. MacIntyre, virtue ethics and the press, , Ashgate; Borden, S. L., Pritchard, M. S., Conflict of interest journalism (2001) Conflict of interest in the professions, pp. 30-46. , En M. Davis &amp; A. Stark (Eds), Oxford University Press; Borrat, H., (1989) El periódico, actor político, , Gustavo Gili; Borrat, H., Hacia una teoría de la especialización periodística (1993) Anàlisi, 15, pp. 80-81; Borrat, H., Comunicación periodística especializada: narración y análisis de la historia inmediata social, política, económica o cultural desde las ciencias sociales (1998) Primeres Jornades sobre continguts acadèmics i docència del Departament de Periodisme i de CC. de la Comunicació, pp. 3-6. , En; Borrat, H., Paradigmas alternativos y redefiniciones conceptuales en comunicación periodística (2002) Anàlisi, 28, pp. 55-77; Bourdieu, P., (1972) Esquisse d'une theorie de la practique, , Droz; Bourdieu, P., (1991) El sentido práctico, , Taurus. (Obra original publicada en 1980); Bourdieu, P., (1996) Cosas dichas, , Gedisa; Bourdieu, P., (1997) Espacio social y campo de poder, , Anagrama; Bourdieu, P., Wacquant, L., (2008) Una invitación a la sociología reflexiva, , Siglo XXI Editores. (Obra original publicada en 1992); Bruno, N., Nielsen, R. K., (2012) Survival is success. Journalistic online start-ups in Western Europe, , Reuters Institute for the Study of Journalism; Bustamante, E., Los amos de la información, de ayer a hoy (2010) Traficantes de información. La historia oculta de los grupos de comunicación españoles, pp. 5-9. , En P. Serrano (Comp), Akal; Carey, J., (1989) Communication as Culture, , Unwin Hyman Ltd; Chillón, A., El "giro lingüístico" y su incidencia en el estudio de la comunicación periodística (1998) Anàlisi, 22, pp. 63-98; Chillón, A., (2014) La palabra facticia. Literatura, periodismo y comunicación, , Aldea Global; Codina, L., Guallar, J., Cura de continguts i fonts d'informació obertes per a comunicadors: relacions estratègiques en un periodisme de qualitat (2019) Comunicació: Revista de Recerca i d'Anàlisi, 36 (2), pp. 71-86; Curran, J., Seaton, J., (2009) Power without responsibility: press, broadcasting and internet in Britain, , Routledge; Davies, N., (2008) Flat Earth News: an award-winning reporter exposes falsehood, distortion and propaganda in the global media, , Chatto and Windus; Davis, M., Why journalism is a profession? (2010) Journalism ethics: a philosophical approach, , En C. Meyers (Comp), Oxford University Press; Deuze, M., What is journalism? Professional identity and ideology of journalists reconsidered (2005) Journalism: Theory, Practice and Criticism, 6 (4), pp. 443-465. , https://doi.org/10.1177/1464884905056815; Duch, L., (2009) Mito, interpretación y cultura, , Herder; Elliott, D., Ozar, D., An explanation and a method for the ethics of journalism (2010) Journalism ethics: a philosophical approach, pp. 9-24. , https://doi.org/10.1093/acprof:oso/9780195370805.003.0001, En C. Meyers (Comp), Oxford University Press; Gallego, J., Luengo, M., (2014) Periodismo social, , Síntesis; Garde, C., (2021) Atrapats dins la gàbia de miralls: la comunicació de xarxes en temps de COVID-19. Una proposta de glossari per revertir les inèrcies del capitalisme de la vigilància [Comunicación], , (2 de julio). IV Congrés Internacional de Recerca en Comunicació, Universitat Autònoma de Barcelona, España; Gardner, H., Csikszentmihalyi, M., Damon, W., (2001) Good work: when excellence and ethics meet, , Basic Books; Garcés, M., (2013) Un mundo común, , Ediciones Bellaterra; Gayà Morlà, C., (2015) El periodismo de interacción social, una propuesta de dinamización del campo periodístico. La aplicación en el caso de las tripulaciones abandonadas en el Mediterráneo, , [Tesis doctoral]. Universitat Autònoma de Barcelona; Gómez Mompart, J. L., Complejidad social y calidad informativa: hacia un periodismo glocal (2013) Austral Comunicación, 2 (2), pp. 219-238; Gómez Mompart, J. L., Gutiérrez Lozano, J. F., Palau Sampío, D., La calidad periodística en España según la percepción de los periodistas (2015) Estudios sobre el Mensaje Periodístico, 13 (21), pp. 13-30. , https://doi.org/10.5209/rev_ESMP.2015.v21.50647; González, J., Educación, tecnología y cultura: una propuesta de investigación exploratoria (1998) Estudios sobre las Culturas Contemporáneas, Época II, 7, pp. 153-164. , (IV); Hamelink, C., (1984) Finanzas e información. Un estudio de intereses convergentes, , Instituto Latinoamericano de Estudios Transnacionales; Nueva Imagen; Harvey, D., El neoliberalismo como destrucción creativa (2008) Apuntes del Cenes, 27 (45), pp. 10-34. , https://revistas.uptc.edu.co/index.php/cenes/article/view/3032; Kovach, B., Rosenstiel, T., (2001) Elements of journalism, , Crown; Kovach, B., Rosenstiel, T., (2012) Elementos del periodismo, , Aguilar; Kunelius, R., Ruusunoksa, L., Mapping professional imagination (2008) Journalism Studies, 9 (5), pp. 662-678. , https://doi.org/10.1080/14616700802207581; Levy, D., Beyond fatalism? New perspectives on the future of public interest journalism (2011) Nordicom Information, 33 (1-2), pp. 3-23; Lloyd, J., (2004) What the media are doing to our politics, , Constable; McManus, J. H., (1994) Market-driven journalism: let the citizen beware?, , Sage; McQuail, D., (1992) Media performance. Mass communication and the public interest, , Sage; Martínez-Albertos, J. L., (1983) Curso general de redacción periodística, , Mitre; Meyers, C., Introduction. Ethics theory and decision making (2010) Journalism ethics: a philosophical approach, pp. 3-8. , En C. Meyers (Ed), Oxford University Press; Mosco, V., La economía política de la comunicación: una actualización diez años después (2006) Cuadernos de Información y Comunicación, 11, pp. 57-79; Nerone, J., Barnhurst, K. G., News form and the media environment: a network of represented relationship (2003) Media, Culture &amp; Society, 25 (1), pp. 111-124; O'Donnell, P., Mcknight, D., (2012) Journalism at the speed of bytes. Australian newspapers in the 21st century, , University of Sydney, Department of Media and Communications; Örnebring, H., (2009) The two professionalisms of journalism: journalism and the changing context of work [Working paper], , Reuters Institute for the Study of Journalism; Romero-Rodríguez, L. M., Tejedor, S., Castillo-Abdul, B., From the immediacy of the cybermedia to the need for slow journalism: experiences from Ibero- America (2021) Journalism Practice, , https://doi.org/10.1080/17512786.2020.1870530; Rowe, D., Obituary for the newspaper? Tracking the tabloid (2011) Journalism, 12 (4), pp. 449-466. , https://doi.org/10.1177/1464884910388232; Rusiñol, P., (2013) Papel mojado. La crisis de la prensa y el fracaso de los periódicos en España, , Debate; Salaverría, R., Digital journalism: 25 years of research. Review article (2019) El Profesional de la Información, 28 (1). , https://doi.org/10.3145/epi.2019.ene.01; Starr, P., Adiós a la era de los periódicos (2009) Letras Libres, 127, pp. 18-26; Vassallo de Lopes, M., Fuentes Navarro, R., (2002) Comunicación, campo y objeto de estudio, , ITESO; Vidal Castell, D., (2000) Alteritat i presència, , [Tesis doctoral]. Universitat Autònoma de Barcelona; Vidal Castell, D., La transformació de la teoria del periodisme: una crisi de paradigma? (2002) Anàlisi, 28, pp. 21-54; Vidal Castell, D., (2013) Set obstacles per a la veritat en el periodisme avui i 20 noms fonamentals que cal llegir i que han innovat en la seva història (i dels quals hem d'aprendre en el context actual), , http://www.somatents.com/set-obstacles-per-a-la-veritat-en-el-periodisme-avui/#.VG9mcxZTmz4, Somatents; Vidal Castell, D., Las fake-news como recurso de legitimación de los medios convencionales. Análisis discursivo de artículos publicados en los principales diarios de Barcelona (2017-2019) (2020) Actas del VII Congreso Internacional de la AE-IC. Comunicación y Diversidad, pp. 2591-2615. , En Asociación Española de Investigación de la Comunicación; Zeller, C., Los medios y la formación de la voz en una sociedad democrática (2001) Anàlisi, 26, pp. 121-144; Zeller, C., El periodismo en la era de las desigualdades (2017) Clivatge, 5, pp. 332-356. , https://revistes.ub.edu/index.php/clivatge/article/view/18614; Zuboff, S., (2020) La era del capitalismo de la vigilancia, , Paidós</t>
  </si>
  <si>
    <t>Universidad de Lima</t>
  </si>
  <si>
    <t>Contratexto.</t>
  </si>
  <si>
    <t>2-s2.0-85132848850</t>
  </si>
  <si>
    <t>Valderrama E.-L., Polanco J.-A.</t>
  </si>
  <si>
    <t>57764418000;57205183830;</t>
  </si>
  <si>
    <t>Tourism Recreation Research</t>
  </si>
  <si>
    <t>https://www.scopus.com/inward/record.uri?eid=2-s2.0-85132827638&amp;doi=10.1080%2f02508281.2022.2072653&amp;partnerID=40&amp;md5=6f86dac7a24fff5f4f3f386220fb3281</t>
  </si>
  <si>
    <t>Universidad Pedagógica y Tecnológica de Colombia, Tunja, Colombia; Faculty of Economic and Administrative Sciences at, Universidad de Medellín. PhD in Socio-Economics of Development, Universidad de Medellín, Medellín, Colombia</t>
  </si>
  <si>
    <t>Valderrama, E.-L., Universidad Pedagógica y Tecnológica de Colombia, Tunja, Colombia; Polanco, J.-A., Faculty of Economic and Administrative Sciences at, Universidad de Medellín. PhD in Socio-Economics of Development, Universidad de Medellín, Medellín, Colombia</t>
  </si>
  <si>
    <t>The relationship between rural tourism (RT) and sustainable territory development (STD) depends on formal and informal relationships. There is uncertainty in these relationships. Collaborative governance (CG) could explain this relationship and address the influence of RT on STD. This paper aims to understand how CG mediates the relationship between RT and STD. A systematic literature review was carried out using a mixed sequential approach, starting with the definition of the search equation. A total of 324 records were analysed to determine the knowledge map of the relationship between RT, CG and STD. The quantitative approach was the input for the qualitative approach, where 63 documents were selected with the PRISMA methodology and analysed with the Grounded Theory. The main contribution was the construction of a theoretical model that explains how CG mediates the relationship between RT and STD with the capacity for joint action. Networks, endogeneity, and empowerment influence elements in the capacity for joint action, which in turn influences procedural/institutional arrangements, leadership, knowledge, and resources for the environmental, sociocultural, and economic dimensions of STD. This approach is conceptually tentative in nature, and theoretical development is needed with additional research from empirical case studies conducted in diverse scenarios in countries with different regimes. © 2022 Informa UK Limited, trading as Taylor &amp; Francis Group.</t>
  </si>
  <si>
    <t>collaborative governance; literature review; Rural tourism; sustainable territory development</t>
  </si>
  <si>
    <t>Ansell, C., Gash, A., Collaborative governance in theory and practice (2008) Journal of Public Administration Research and Theory, 18 (4), pp. 543-571; Barandiarán, X., Restrepo, N., Luna, Á., Collaborative governance in tourism: Lessons from etorkizuna eraikiz in the basque country (2019) Tourism Review, 74 (4), pp. 902-914; Beaumont, N., Dredge, D., Local tourism governance: A comparison of three network approaches (2010) Journal of Sustainable Tourism, 18 (1), pp. 7-28; Blancas, F.J., Lozano-Oyola, M., González, M., Guerrero, F.M., Caballero, R., How to use sustainability indicators for tourism planning: The case of rural tourism in andalusia (Spain) (2011) Science of the Total Environment, 412-413, pp. 28-45; Blanco, E., A social-ecological approach to voluntary environmental initiatives: The case of nature-based tourism (2011) Policy Sciences, 44 (1), pp. 35-52; Bramwell, B., Lane, B., Critical research on the governance of tourism and sustainability introduction (2011) Journal of Sustainable Tourism, 19 (4), pp. 411-421; Bramwell, B., Lane, B., What drives research on sustainable tourism? (2015) Journal of Sustainable Tourism, 23 (1), pp. 1-3; Brundtland, G.H., Our common future—call for action (1987) Environmental Conservation, 14 (4), pp. 291-294; Butler, R.W., Tourism, environment, and sustainable development (1991) Environmental Conservation, 18 (3), pp. 201-209; Carson, D.A., Carson, D.B., Hodge, H., Understanding local innovation systems in peripheral tourism destinations (2014) Tourism Geographies, 16 (3), pp. 457-473; Cawley, M., Gillmor, D.A., Integrated rural tourism:: Concepts and practice (2008) Annals of Tourism Research, 35 (2), pp. 316-337; Cortés-Leal, J.A., Aranda-Camacho, Y., Relational dynamics for the active management to tourist activity in the township of palomino, dibulla, Colombia [dinámicas relacionales para la gestión activa de la actividad turística en el corregimiento de palomino, dibulla, Colombia] (2017) Cuadernos de Desarrollo Rural, 14 (79), pp. 1-22; Cortés-Pérez, H.D., Escobar-Sierra, M., Galindo-Monsalve, R., (2020) Influence of lifestyle and cultural traits on the willingness to telework: A case study in the aburrá valley, , Global Business Review, 30; Creswell, J.W., (2014) Research design: Qualitative, quantitative, and mixed methods approaches, , SAGE Publications; Dower, M., Recreation, tourism and the farmer (1973) Journal of Agricultural Economics, 24 (3), pp. 465-477; Emerson, K., Nabatchi, T., Evaluating the productivity of collaborative governance regimes: A performance matrix (2015) Public Performance and Management Review, 38 (4), pp. 717-747; Emerson, K., Nabatchi, T., Balogh, S., An integrative framework for collaborative governance (2012) Journal of Public Administration Research and Theory, 22 (1), pp. 1-29; Eusébio, C., Kastenholz, E., Breda, Z., Tourism and sustainable development of rural destinations: A stakeholders’ view (2014) Revista Portuguesa de Estudos Regionais, 36 (1), pp. 13-21; Ferrari, G., Mondéjar-Jiménez, J., Vargas-Vargas, M., Environmental sustainable management of small rural tourist enterprises (2010) International Journal of Environmental Research, 4 (3), pp. 407-414; Feyers, S., Stein, T., Klizentyte, K., Bridging worlds: Utilizing a multi-stakeholder framework to create extension-tourism partnerships (2020) Sustainability (Switzerland), 12 (1), pp. 1-23; Fleischer, A., Felsenstein, D., Support for rural tourism: Does it make a difference? (2000) Annals of Tourism Research, 27 (4), pp. 1007-1024; Friese, S., (2019), ATLAS. ti 8 Windows Manual. 72; García, J.L., (2015), El turismo rural como factor diversificador de rentas en la tradicional economía agraria. January 1996; Ghoochani, M., Ghanian, O., Khosravipour, M., Sustainable tourism development performance in the wetland areas: A proposed composite index (2020) Tourism Review, 75 (5), pp. 745-764. , –,. September; Guntoro, B., Udomsade, J., Dynamics of conflict and cooperation in sustainable tourism development in tribal community of northern Thailand (2006) Kasetsart Journal - Social Sciences, 27 (1), pp. 128-139; Hart, C., (1998) Doing a literature review: Releasing the Social Science research imagination, , https://books.google.com.co/books?id=tc8LS6qa%5C_KIC, SAGE Publications; Hatipoglu, B., Alvarez, M.D., Ertuna, B., Barriers to stakeholder involvement in the planning of sustainable tourism: The case of the thrace region in Turkey (2016) Journal of Cleaner Production, 111, pp. 306-317; Hernández Sampieri, R., Fernández Collado, C., Baptista Lucio, P., (2010) Metodología de la investigación, , McGraw-Hill; Ibanescu, B.C., Stoleriu, O.M., Munteanu, A., Iaţu, C., The impact of tourism on sustainable development of rural areas: Evidence from Romania (2018) Sustainability (Switzerland), 10 (10), pp. 1-19; Jenkins, T., Oliver, T., (2001) Integrated Tourism: A conceptual Framework, , University of Wales, Working Paper 1. SPRITE Project; Joo, J., Choi, J.J., Kim, N., Examining roles of tour dure producers for social capital and innovativeness in community-based tourism (2019) Sustainability (Switzerland), 11 (19), pp. 1-17; Kantar, S., Svržnjak, K., Development of sustainable rural tourism (2017) DETUROPE, 9 (1), pp. 26-34. , https://www.scopus.com/inward/record.uri?eid=2-s2.0-85028827159%26partnerID=40%26md5=1631a47c0fd34549d5243960606a6c8c; Keyim, P., Tourism and rural development in western China: A case from turpan (2015) Community Development Journal, 51 (4), pp. 534-551; Keyim, P., Tourism collaborative governance and rural Community Development in Finland: The case of vuonislahti (2017) Journal of Travel Research, 57 (4), pp. 483-494; Lakner, Z., Kiss, A., Merlet, I., Oláh, J., Máté, D., Grabara, J., Popp, J., Building coalitions for a diversified and sustainable tourism: Two case studies from Hungary (2018) Sustainability (Switzerland), 10 (4), pp. 1-23; Lambe, R.A., Smardon, R.C., Commercial highway landscape reclamation: A participatory approach (1986) Landscape Planning, 12 (4), pp. 353-385; Lane, B., Sustainable rural tourism strategies: A tool for development and conservation (1994) Journal of Sustainable Tourism, 2 (1-2), pp. 102-111; Lane, B., What is rural tourism? (1994) Journal of Sustainable Tourism, 2 (1-2), pp. 7-21; Li, P., Ryan, C., Cave, J., Chinese rural tourism development: Transition in the case of qiyunshan, anhui. - 2008-2015 (2016) Tourism Management, 55, pp. 240-260; Liberati, A., Altman, D.G., Tetzlaff, J., Mulrow, C., Gøtzsche, P.C., Ioannidis, J.P.A., Clarke, M., Moher, D., The PRISMA statement for reporting systematic reviews and meta-analyses of studies that evaluate health care interventions: Explanation and elaboration (2009) PLoS Medicine, 6 (7), pp. 1-27; Liu, Z., Sustainable tourism development: A critique (2003) Journal of Sustainable Tourism, 11 (6), pp. 459-475; Long, P., Lane, B., Rural tourism development (2000) Trends in outdoor recreation, leisure and tourism, pp. 299-308. , CABI Publishing, &amp;,. W. C. Gartner &amp; D. W. Lime (Eds; Machado, V., Carrasco, P., Contreiras, J.P., Duarte, A.P., Gouveia, D., Governing locally for sustainability: Public and private organizations’ perspective in surf tourism at aljezur, costa vicentina, Portugal (2018) Tourism Planning and Development, 15 (6), pp. 692-704; Marsden, T., Mobilizing the regional eco-economy: Evolving webs of agri-food and rural development in the UK (2010) Cambridge Journal of Regions, Economy and Society, 3 (2), pp. 225-244; Marzo-Navarro, M., Pedraja-Iglesias, M., Vinzón, L., Key variables for developing integrated rural tourism (2017) Tourism Geographies, 19 (4), pp. 575-594; Marzo–Navarro, M., Desarrollo del turismo rural integrado desde la perspectiva de los residentes: Modelo propuesto (2017) PASOS. Revista de Turismo y Patrimonio Cultural, 15 (4), pp. 841-859; Mbaiwa, J., The problems and Prospects of sustainable tourism development in the Okavango delta, Botswana (2005) Journal of Sustainable Tourism, 13 (3), pp. 203-227; Mcareavey, R., Mcdonagh, J., Sustainable rural tourism: Lessons for rural development (2011) Sociologia Ruralis, 51 (2), pp. 175-194; McGehee, N.G., Knollenberg, W., Komorowski, A., The central role of leadership in rural tourism development: A theoretical framework and case studies (2015) Journal of Sustainable Tourism, 23 (8-9), pp. 1277-1297; Nayak, D., Upadhyay, V., Puri, B., Tourism at protected areas: Sustainability or policy crunch? (2019) IIM Kozhikode Society &amp; Management Review, 8 (2), pp. 156-170; Newby, H., Locality and rurality: The restructuring of rural social relations (1986) Regional Studies, 20 (3), pp. 209-215; North, D., (1990) Institutions, institutional change and economic performance (Political Economy of Institutions and Decisions), , Cambridge University Press; Oliver, T., Jenkins, T., Sustaining rural landscapes: The role of integrated tourism (2003) Landscape Research, 28 (3), pp. 293-307; (2013), Gobernanza para el sector turismo y su medición; (2018) Tourism and the sustainable development goals–good practices in the Americas, , UNWTO; Park, D., Yoon, Y., Developing sustainable rural tourism evaluation indicators (2011) International Journal of Tourism Research, 13 (5), pp. 401-415; Pennington-Gray, L., Schroeder, A., Gale, T., Co-management as a framework for the development of a tourism area response network in the Rural Community of curanipe, maule region, Chile (2014) Tourism Planning and Development, 11 (3), pp. 292-304; Priskin, J., Issues and opportunities in planning and managing nature-based tourism in the central coast region of western Australia (2003) Australian Geographical Studies, 41 (3), pp. 270-286; Pujiyono, B., Kismartini, Y., &amp; Dwimawanti, T., H, I., Stakeholder analysis on tourism collaborative governance in tanjung lesung tourism, pandeglang regency, banten province, Indonesia (2019) African Journal of Hospitality, Tourism and Leisure, 8 (3), pp. 1-11; Pulido-Fernández, J.I., Pulido-Fernández, M.C., Proposal for an Indicators system of Tourism Governance at tourism destination level (2018) Social Indicators Research, 137 (2), pp. 695-743; Purnomo, S., Rahayu, E.S., Riani, A.L., Suminah, S., Udin, U., Empowerment model for sustainable tourism village in an emerging country (2020) Journal of Asian Finance, Economics and Business, 7 (2), pp. 261-270; Quaranta, G., Citro, E., Salvia, R., Economic and social sustainable synergies to promote innovations in rural tourism and local development (2016) Sustainability (Switzerland), 8 (7), pp. 1-15; Restrepo, N., Clavé, S.A., Institutional thickness and regional tourism development: Lessons from antioquia (2019) Colombia. Sustainability (Switzerland), 11 (9), pp. 1-25; Richards, G., Hall, D., (2003) Tourism and sustainable community development (Vol. 7), , Psychology Press; Rodriguez-Giron, S., Vanneste, D., Social capital at the tourist destination level: Determining the dimensions to assess and improve collective action in tourism (2019) Tourist Studies, 19 (1), pp. 23-42; Rowley, J., Slack, F., Conducting a literature review (2004) Management Research News, 27 (6), pp. 31-39; Ryan, C., Huimin, G., Meng, F., Community participation and social impacts of tourism (2009) Tourism in China, pp. 257-276. , Ryan C., Huimin G., (eds), Routledge, &amp;,. (Eds; Saufi, A., O’Brien, D., Wilkins, H., Inhibitors to host community participation in sustainable tourism development in developing countries (2014) Journal of Sustainable Tourism, 22 (5), pp. 801-820; Saxena, G., Clark, G., Oliver, T., Ilbery, B., Conceptualizing integrated rural tourism (2007) Tourism Geographies, 9 (4), pp. 347-370; Saxena, G., Ilbery, B., Integrated rural tourism a border case study (2008) Annals of Tourism Research, 35 (1), pp. 233-254; Sharpley, R., Sharpley, R., Telfer, D.J., Tourism, development and the environment (2009) Tourism and development: Concepts and issues, 2nd edition, , Channel View Publications,. &amp;, (Eds; Siakwah, P., Musavengane, R., Leonard, L., Tourism Governance and attainment of the Sustainable Development Goals in Africa (2019) Tourism Planning and Development, pp. 1-29; Stoffelen, A., Vanneste, D., Tourism and cross-border regional development: Insights in European contexts (2017) European Planning Studies, 25 (6), pp. 1013-1033; Strauss, A., Corbin, J., (2002), http://www.academia.edu/download/38537364/Teoria_Fundamentada.pdf, Bases de la investigación cualitativa: técnicas y procedimientos para desarrollar la teoría fundamentada; Sugito, T., Sulaiman, A.I., Sabiq, A., Faozanudin, M., Kuncoro, B., Community empowerment model of coastal border based on ecotourism (2019) Masyarakat, Kebudayaan Dan Politik, 32 (4), pp. 363-377; Tosun, C., Stages in the emergence of a participatory tourism development approach in the developing world (2005) Geoforum; Journal of Physical, Human, and Regional Geosciences, 36 (3), pp. 333-352; Vanneste, D., Ryckaert, L., Knowledge management in tourism: Policy and governance applications, bridging tourism theory and practice (2015) Journal of Tourism and Cultural Change, 13 (4), pp. 367-370; Ventura, F., Brunori, G., Milone, P., Berti, G., The rural Web : A synthesis (2002) Unfolding webs: The dynamics of regional rural development, pp. 149-175. , van der Ploeg J.D., Marsden T., (eds), Royal Van Gorcum, &amp;,. (Eds; Verbole, A., (1997) Rural tourism and sustainable development: A case study on Slovenia, , Ashgate Publishing Ltd; Wall, G., Sustainable development: Political rhetoric or analytical construct? (2002) Tourism Recreation Research, 27 (3), pp. 89-91; Wall, G., Mathieson, A., (2006) Tourism: Change, impacts, and opportunities, , Pearson Education; Waltman, L., van Eck, N.J., Noyons, E.C.M., A unified approach to mapping and clustering of bibliometric networks (2010) Journal of Informetrics, 4 (4), pp. 629-635; Yeh, S.P., Fotiadis, A.K., Social interactions in rural tourism: A host perspective case study (2014) Revista de Cercetare Si Interventie Sociala, 46 (46), pp. 131-143; Zarokosta, H., Koutsouris, A., Local stakeholders’ participation in (sustainable) tourism development: The case of the south kynouria municipality, Greece (2014) Revista Portuguesa de Estudos Regionais, 36 (1), pp. 35-42; Zhou, L., Huang, Z., Sustainable development of rural tourism in China: Challenges and policies (2004) Economic Geography, 24 (4), pp. 572-576; Zhuang, H., Lassoie, J.P., Wolf, S.A., Ecotourism development in China: Prospects for expanded roles for non-governmental organisations (2011) Journal of Ecotourism, 10 (1), pp. 46-63</t>
  </si>
  <si>
    <t>Valderrama, E.-L.; Universidad de Medellín, Colombia; email: eliana.valderrama@uptc.edu.co</t>
  </si>
  <si>
    <t>2-s2.0-85132827638</t>
  </si>
  <si>
    <t>Mercado-Gomez J.D., Morales-Puentes M.E., Gonzalez M.A., Velasco J.A.</t>
  </si>
  <si>
    <t>54793358000;24802537400;16241391000;55422240200;</t>
  </si>
  <si>
    <t>Seasonal droughts during the Miocene drove the evolution of Capparaceae towards Neotropical seasonally dry forests [Las seqrnas estacionales del Mioceno impulsaron la evolucion de Capparaceae hacia los bosques neotropicales estacionalmente secos]</t>
  </si>
  <si>
    <t>https://www.scopus.com/inward/record.uri?eid=2-s2.0-85132811277&amp;doi=10.15517%2frev.biol.trop..v70i1.47504&amp;partnerID=40&amp;md5=0f76eef589c8147348cca3eb6732b99f</t>
  </si>
  <si>
    <t>Grupo Evolucion y Sistematica Tropical, Departamento de Biologfa y Quimica, Universidad de Sucre, Sincelejo, Colombia; Grupo Sistematica Biologica, Herbario UPTC, Universidad Pedagogica y Tecnologica de Colombia, Tunja, Boyaca, Colombia; Laboratorio de genetica de la Conservacion, Instituto de Investigacion de Recursos Biologicos Alexander von Humboldt, Bogota, Colombia; Instituto de Ciencias de la Atmosfera y Cambio Climatico, Universidad Nacional Autonoma de Mexico, Ciudad de Mexico, Mexico</t>
  </si>
  <si>
    <t>Mercado-Gomez, J.D., Grupo Evolucion y Sistematica Tropical, Departamento de Biologfa y Quimica, Universidad de Sucre, Sincelejo, Colombia; Morales-Puentes, M.E., Grupo Sistematica Biologica, Herbario UPTC, Universidad Pedagogica y Tecnologica de Colombia, Tunja, Boyaca, Colombia; Gonzalez, M.A., Laboratorio de genetica de la Conservacion, Instituto de Investigacion de Recursos Biologicos Alexander von Humboldt, Bogota, Colombia; Velasco, J.A., Instituto de Ciencias de la Atmosfera y Cambio Climatico, Universidad Nacional Autonoma de Mexico, Ciudad de Mexico, Mexico</t>
  </si>
  <si>
    <t>Introduction: Neotropical seasonally dry forest (NSDF) climatic constraints increased endemism, and phylo-genetic niche conservatism in species that are restricted to this biome. NSDF have a large number of endemic Capparaceae taxa, but it is unknown if phylogenetic niche conservatism has played a role in this pattern. Objective: We carried out an evolutionary analysis of the climatic niche of neotropical species of Capparaceae to identify whether the climatic constraints of NSDF have played a major role throughout the family’s evolu¬tionary history. Methods: Using three chloroplastic (ndhF, matK, rbcL) and one ribosomal (rsp3) DNA sequences, we pro¬posed a date phylogeny to reconstruct the evolutionary climatic niche dynamics of 24 Neotropical species of Capparaceae. We tested the relationship between niche dissimilarity and phylogenetic distance between species using the Mantel test. Likewise, we used a set of phylogenetic comparative methods (PGLS) on the phylogeny of Capparaceae to reconstruct the main evolutionary historic events in their niche. Results: Capparaceae originated in humid regions and subsequently, convergent evolution occurred towards humid and dry forest during the aridification phases of the Middle Miocene (16-11 Mya). However, adaptation towards drought stress was reflected only during the precipitation of the coldest quarter, where we found phylo¬genetic signal (Pagel X,) for gradual evolution and, therefore, evidence of phylogenetic niche conservatism. We found convergent species-specific adaptations to both drought stress and rainfall during the Miocene, suggesting a non-phylogenetic structure in most climatic variables. Conclusions: Our study shows how the Miocene climate may have influenced the Capparaceae speciation toward driest environments. Further, highlights the complexity of climatic niche dynamics in this family, and therefore more detailed analyses are necessary in order to better understand the NSDF climatic constrictions affected the evolution of Capparaceae. © by Revista de Biología Tropical.</t>
  </si>
  <si>
    <t>Climate; Comparative methods; Miocene; Niche; Phylogeny</t>
  </si>
  <si>
    <t>The first author acknowledges the doctoral scholarships 647 of COLCIENCIAS and “Uni-versidad de Sucre” for the financial support of his doctoral studies. In addition, we thank Thomas Defler and Richard Abbott for its commentaries to the manuscript and English revision.</t>
  </si>
  <si>
    <t>Angulo, D. F., Ruiz-Sanchez, E., Sosa, V., Niche conservatism in the Mesoamerican seasonal tropical dry forest orchid Barkeria (Orchidaceae) (2012) Evolutio-nary Ecology, 26, pp. 991-1010; Arango, A., Villalobos, F., Prieto-Torres, D. A., Guevara, R., The phylogenetic diversity and structure of the seasonally dry forests in the Neotropics (2021) Journal of Biogeography, 48 (1), pp. 176-186; Banda, K., Delgado-Salinas, A., Dexter, K. G., Linares- Palomino, R., Oliveira-Filho, A., Prado, D., Pullan, M., Pennington, R. T, Plant diversity patterns in neotropical dry forests and their conservation implications (2016) Science, 353 (6306), pp. 1383-1387; Beilstein, M. A., Nagalingum, N. S., Clements, M. D., Manchester, S. R., Mathews, S., (2010) Dated molecular phylogenies indicate a Miocene origin for; Arabidopsis thaliana Proceedings of the National Academy of Sciences, 107 (43), pp. 18724-18728; Berry, E. W., Fossil plants from Bolivia and their bearing upon the age of the uplift of the Eas¬tern Andes (1917) Proceedings of United States National Museum, 54 (2229), pp. 103-164; Bouckaert, R., Heled, J., Kuhnert, D., Vaughan, T., Wu, C. H., Xie, D., Suchard, M. A., Drum-mond, A. J., BEAST 2: A Software Platform for Bayesian Evolutionary Analysis (2014) PLOS Computa¬tional Biology, 10 (4), p. e1003537; Bougeard, S., Dray, S., Supervised Multiblock Analysis in R with the ade4 Package (2018) Journal of Statistical Software, 86 (1), pp. 1-17; Broennimann, O., Fitzpatrick, M. C., Pearman, P. B., Petitpierre, B., Pellissier, L., Yoccoz, N. G., Thuiller, W., Guisan, A., Measuring ecological niche overlap from occurrence and spatial environmental data (2012) Global Ecology and Biogeogra¬phy, 21 (4), pp. 481-497; Cardinal-McTeague, W. M., Sytsma, K. J., Hall, J. C., Biogeography and diversification of Brassi- cales: A 103 million year tale (2016) Molecular Phylogene-tics and Evolution, 99, pp. 204-224; Churchill, S., Linares, E., (1995) Prodromus bryologiae novo-granatensis. Introduccion a la Flora de Mus- gos de Colombia, , Biblioteca Jose Jeronimo Triana, Colombia; Cooper, N., Jetz, W., Freckleton, R. P., Phyloge-netic comparative approaches for studying niche con¬servatism (2010) Journal of Evolutionary Biology, 25 (12), pp. 2529-2539; Cornejo, X., Iltis, H., The reinstatement of Beautempsia (Capparaceae) and a key to the genera of neotropical Capparaceae with variously stellate or peltate indumenta (2008) Journal of the Botanical Research Institute of Texas, 3 (2), pp. 683-689; Cornejo, X., Iltis, H. H., The reinstatement of Capparidastrum (Capparaceae) (2008) Harvard Papers in Botany, 13 (2), pp. 229-236; Cornejo, X., Iltis, H. H., A revision of the Ame-rican species of the genus Crateva (Capparaceae) (2008) Harvard Papers in Botany, 13 (1), pp. 121-135; Cornejo, X., Iltis, H. H., A revision of Coli- codendron (Capparaceae) (2008) Journal of the Botanical Research Institute of Texas, 2 (1), pp. 75-93; Cornejo, X., Iltis, H. H., Studies in Capparaceae XXVII: Six new taxa and new combination in Qua- drella (2010) Journal of the Botanical Research Institute of Texas, 4 (1), pp. 75-91; Cornejo, X., Iltis, H. H., Lectotypification and a new combination in Cynophalla (Capparaceae) (2010) Rodriguesia, 61 (1), pp. 153-155; Cornejo, X., Iltis, H. H., Capparaceae (2012) La flora de Jalisto y Areas colindantes, pp. 1-71. , S. Car vajal, &amp; L. M. Gonzalles Villareal (Eds), Universidad de Guadalajara, Mexico; Cornejo, X., Iltis, H. H., Hispaniolanthus: A new genus of Capparaceae endemic to Hispaniola (2009) Har-vard Papers in Botany, 14 (1), pp. 9-14; Cornejo, X., Maciel, J. R., Marques, J. S., Neto, R. L. S., Costa-e-Silva, M. B., (2016) Capparaceae in Lista de Especies da Flora do Brasil, , Jardim Botanico do Rio de Janeiro, Brasil; Crisp, M. D., Cook, L. G., Phylogenetic niche conservatism: What are the underlying evolutionary and ecological causes? (2012) New Phytologist, 196 (3), pp. 681-694; Darriba, D., Taboada, G. L., Doallo, R., Posada, D., jModelTest 2: More models, new heuris¬tics and parallel computing (2012) Nature Methods, 9 (8), pp. 772-772; De-Nova, J. A., Medina, R., Montero, J. C., Weeks, A., Rosell, J. A., Olson, M. E., Eguiarte, L. E., Maga- llon, S., Insights into the historical construc-tion of species-rich Mesoamerican seasonally dry tropical forests: The diversification of Bursera (Burse- raceae, Sapindales) (2012) New Phytologist, 193, pp. 276-287; Di Cola, V., Broennimann, O., Petitpierre, B., Breiner Frank, T., D’Amen, M., Randin, C., Engler, R., Guisan, A., ecospat: An R package to support spatial analyses and modeling of species niches and distri-butions (2016) Ecography, 40 (6), pp. 774-787; Diaz-Pulido, G., Diaz-Ruiz, M., Diversity of benthic marine algae of the Colombian Atlantic (2003) Biota Colombiana, 4 (2), pp. 203-246; Donoghue, M., A Phylogenetic perspective on the distribution of plant diversity (2008) the Light of Evolution, Volume II: Biodiversity and Extinction, pp. 247-266. , J. Avise, S. Hubbell, &amp; F. Ayala (Eds) Natio-nal Academies Press; Dormann, C. F., Elith, J., Bacher, S., Buchmann, C., Carl, G., Carre, G., Garcia Marquez, J., Lautenbach, S., Collinearity: A review of methods to deal with it and a simulation study evaluating their performance (2013) Ecography, 36 (1), pp. 27-46. , https://doi.org/10.1111/j.1600-0587.2012.07348.x; Edgar, R., MUSCLE: Multiple sequence alignment with high accuracy and high throughput (2004) Nucleic Acids Research, 32 (5), pp. 1792-1797; Engelbrecht, B. M. J., Kursar, T. A., Comparative drought-resistance of seedlings of 28 species of co-occurring tropical woody plants (2003) Oecologia, 136 (3), pp. 383-393; Fourment, M., Gibbs, M. J., PATRISTIC: A pro-gram for calculating patristic distances and graphi-cally comparing the components of genetic change (2006) BMC Evolutionary Biology, 6 (1), p. 1; Freshwater, D. W., Fredericq, S., Butler, B. S., Hom- mersand, M. H., Chase, M. W., A gene phylogeny of the red algae (Rhodophyta) based on plastid rbcL (1994) Proceedings of the National Academy of Sciences, 91 (15), pp. 7281-7285; Gandolfo, M. A., Nixon, K. C., Crepet, W. L., A new fossil flower from the Turonian of New Jersey: Dressiantha bicarpellata gen. et sp. nov. (Cappara-les) (1998) American Journal of Botany, 85 (7), pp. 964-974; Gentry, A., Diversity and floristic composition of neotropical dry forests (1995) Seasonally Dry Tro-pical Forests, pp. 146-194. , S. H. Bullock, H. A. Mooney, &amp; E. Medina (Eds), Cambridge University Press; Harmon, L. J., Weir, J., Brock, C., Glor, R. E., Challen-ger, W., GEIGER: Investigating evolutionary radiations (2008) Bioinformatics, 24, pp. 129-131; Herazo-Vitola, F., Mendoza-Cifuentes, H., Mercado- Gomez, J., Estructura y composicion floristica del bosque seco tropical en los Montes de Maria (Sucre - Colombia) (2017) Ciencia en Desarrollo, 5 (1), pp. 79-90; Hernandez, C. E., Rodriguez-Serrano, E., Avaria-Llautu- reo, J., Inostroza-Michael, O., Morales-Pallero, B., Boric-Bargetto, D., Canales-Aguirre, C. B., Meade, A., Using phylogenetic information and the comparative method to evaluate hypotheses in macroecology (2013) Methods in Ecology and Evolution, 4 (5), pp. 401-415; Hernandez-Hernandez, T., Brown, J. W., Schlumpberger, B. O., Eguiarte, L. E., Magallon, S., Beyond aridification: Multiple explanations for the elevated diversification of cacti in the New World Succulent Biome (2014) New Phytologist, 202 (4), pp. 1382-1397; Hernandez-Hernandez, T., Colorado, W. B., Sosa, V., Molecular evidence for the origin and evolu¬tionary history of the rare American desert monotypic family Setchellanthaceae (2013) Organisms Diversity &amp; Evolution, 13 (4), pp. 485-496; Hijmans, R., Cameron, S., Parra, J., Jones, P., Jarvis, A., Very high resolution interpolated climate surfaces for global land areas (2005) International Journal of Climatology, 25, pp. 1965-1978; Holmgren, P., Holmgren, N., Barnett, L., (1990) Index Herbariorum. Part I: The Herbaria of the World, , Octava edicion (Octava ed). International Associa-tion for Plant Taxonomy The New York Botanical Garden; Ingram, T., Mahler, D. L., SURFACE: Detec¬ting convergent evolution from comparative data by fitting Ornstein-Uhlenbeck models with stepwise Akaike Information Criterion (2013) Methods in Ecology andEvolution, 4 (5), pp. 416-425; Kers, L. E., Capparaceae (2003) The families and genera of vascular plants: V Flowering plants, dicotyledons: Malvales, Capparales, and non-betalain Caryophyllales, pp. 36-56. , K. Kubitzki, &amp; C. Bayer (Eds), Springer; Lavin, M., Floristic and geographic stability of discontinuous seasonally dry tropical forests explains patterns of plant phylogeny and endemism (2006) Neotro¬pical savannas and seasonally dry forests: Plant biodiversity, biogeographic patterns and conserva¬tion, pp. 433-447. , R. Pennington, J. Ratter, &amp; G. Lewis (Eds), CRC Press; Lewis, L., McCourt, R. M., Green algae and the origin of land plants (2004) American Journal of Botany, Pi, (10), pp. 1535-1556; Lorea-Hernandez, F. G., Capparaceae (2004) Flora del Bajio y de regiones adyacentes, , J. Rze dowski Rotter, &amp; G. Calderon de Rzedowski (Eds), Insituto de Ecologia A.C. y CONABIO; Mercado-Gomez, J., Escalante, T., Areas of endemism of the Neotropical species of Capparaceae (2018) Biological Journal of the Linnean Society, 126 (3), pp. 507-520; Mercado-Gomez, J., Escalante, T., Track analysis of Neotropical species of Capparaceae (2020) Australian Systematic Botany, 33, pp. 129-136; Mercado-Gomez, J., Gonzales, M., Morales-Puentes, M. E., Synopsis of Capparaceae to the flora of Colombia (2019) Rodriguesia, 70, pp. 1-23. , (e00232018); Mercado-Gomez, J., Morales-Puentes, M. E., A new species of Capparidastrum (Capparaceae Juss.) from the Cauca inter Andean valley of Colombia (2020) Phytotaxa, 439 (3), pp. 276-286; Mercado-Gomez, J., Prieto-Torres, D. A., Gonzalez, M., Morales-Puentes, M., Escalante, T., Rojas, O., Climatic affinities of neotropical species of Capparaceae: An approach from ecological niche modelling and numerical ecology (2020) Botanical Journal of The Linnean Society, 193, pp. 1-13; Michel, P., Payton, I. J., Lee, W. G., During, H. J., Impact of disturbance on above-ground water storage capacity of bryophytes in New Zealand indigenous tussock grassland ecosystems (2013) New Zealand Journal of Ecology, 37 (1), pp. 114-126; Moore, W., Robertson, J. A., Explosive adaptive radiation and extreme phenotypic diversity within ant-nest beetles (2014) Current Biology, 24 (20), pp. 2435-2439; Morrone, J., Biogeographical regionalisation of the Neotropical region (2014) Zootaxa, 3752 (1), pp. 1-110; Munkemuller, T., Boucher, F. C., Thuiller, W., Lavergne, S., Phylogenetic niche conservatism - com-mon pitfalls and ways forward (2015) Functional Ecology, 29 (5), pp. 627-639; Murphy, P. G., Lugo, A. E., Ecology of tropical dry forest (1986) Annual Review of Ecology and Systema- tics, 17, pp. 67-88; Newman, M., Capparaceae Juss (2007) Flora del valle de Tehuacan-Cuicatl-an, , R. Medina Lemos (Ed), Instituto de Biologia, Universidad Nacional Autono¬ma de Mexico; Olson, D., Dinerstein, E., Wikramanayake, E., Burgess, N., Powell, G., Underwood, E., D’Amico, J., Kassem, K., Terrestrial eco-regions of the world: A new map of life on Earth (2001) Bioscience, 51 (11), pp. 933-938; Pagel, M. D., Modelling the evolution of conti-nuously varying characters on phylogenetic trees (2002) Morphology, shape and phylogeny, pp. 269-286. , P. L. MacLeod, &amp; N. Foley (Eds), Taylor and Francis; Paun, O., Turner, B., Trucchi, E., Munzinger, J., Chase, M. W., Samuel, R., Processes driving the adaptive radiation of a tropical tree (Diospyros, Ebe- naceae) in New Caledonia, a biodiversity hotspot (2016) Systematic Biology, 65 (2), pp. 212-227; Pennington, R. T., Lavin, M., Oliveira-Filho, A., Woody plant diversity, evolution, and ecology in the tropics: Perspectives from seasonally dry tropical forests (2009) Annual Review of Ecology, Evolution, and Systematics, 40 (1), pp. 437-457; Pennington, R. T., Lavin, M., Prado, D. E., Pendry, C. A., Pell, S. K., Butterworth, C. A., Historical climate change and speciation: Neotropical seasonally dry forest plants show patterns of both Tertiary and Quaternary diversification (2004) Philosophical Transac¬tions of the Royal Society of London Series B: Biolo¬gical Sciences, 359 (1443), pp. 515-538; Prieto-Torres, D. A., Rojas-Soto, O. R., Recons-tructing the Mexican Tropical Dry Forests via an autoecological niche approach: Reconsidering the ecosystem boundaries (2016) PLoS ONE, 11 (3), p. e0150932; Rambaut, A., Drummond, A. J., Xie, D., Baele, G., Suchard, M. A., Posterior Summarization in Bayesian Phylogenetics Using Tracer 1.7 (2018) Systematic Biology, 67 (5), pp. 901-904; Revell, L. J., phytools: An R package for phylogene¬tic comparative biology (and other things) (2012) Methods in Ecology and Evolution, 3 (2), pp. 217-223; Ruiz-Zapata, T., Capparis L. (Capparoideae-Cappa- raceae) en el estado Trujillo, Venezuela (2005) Ernestia, 15 (1-4), pp. 27-50; Ruiz-Zapata, T., Capparis L. subgenero Calanthea DC. en Venezuela (2006) Ernstia, 16 (2), pp. 113-127; Sarkinen, T., Pennington, R. T., Lavin, M., Simon, M. F., Hughes, C. E., Evolutionary islands in the Andes: Persistence and isolation explain high endemism in Andean dry tropical forests (2012) Journal of Biogeography, 39 (5), pp. 884-900; Sexton, J., Montiel, J., Shay, J., Stephens, M., Slatyer, R., Evolution of ecological niche breadth (2017) Annual Review of Ecology, Evolution, and Systema-tics, 48 (1), pp. 183-206; Soberon, J., Peterson, T., Interpretation of models of fundamental ecological niches and species’ distri¬butional areas (2005) Biodiversity Informatics, 2, pp. 1-10; Stroud, J., Losos, J., Ecological opportunity and adaptive radiation (2016) Annual Review of Ecology, Evolu¬tion, and Systematics, 47 (1), pp. 507-532; Tan, J., Slattery, M. R., Yang, X., Jiang, L., Phylo¬genetic context determines the role of competition in adaptive radiation (2016) Proceedings of the Royal Society B: Biological Sciences, 283 (1833), p. 20160241; Thiers, B., (2018) Index Herbariorum: A global directory of public herbaria and associated staff, , http://sweetgumnybgorg/ih, (January). New York Botanical Garden; Warren, D. L., Glor, R. E., Turelli, M., Environ-mental niche equivalency versus conservatism: Quan¬titative approaches to niche evolution (2008) Evolution, 62 (11), pp. 2868-2883; Willis, C. G., Franzone, B. F., Xi, Z., Davis, C. C., The establishment of Central Americanm igratory corridors and the biogeographic origins of seasonally dry tropical forests in Mexico (2014) Frontiers in Genetics, 5 (433), pp. 1-14</t>
  </si>
  <si>
    <t>Mercado-Gomez, J.D.; Grupo Evolucion y Sistematica Tropical, Colombia; email: jorge.mercado@unisucre.edu.co</t>
  </si>
  <si>
    <t>2-s2.0-85132811277</t>
  </si>
  <si>
    <t>Coha-Vesga P.M., Rojas-Arias N., Valença G.P.</t>
  </si>
  <si>
    <t>57762063100;57216489274;57200949604;</t>
  </si>
  <si>
    <t>Selective oxidation of ethanol into acetaldehyde catalyzed by novel Mg-Mo/MCM-41 mesoporous molecular meshes</t>
  </si>
  <si>
    <t>https://www.scopus.com/inward/record.uri?eid=2-s2.0-85132737706&amp;doi=10.22201%2ficat.24486736e.2022.20.1.1482&amp;partnerID=40&amp;md5=0068c70b2abbdd772fdf0688f53f5471</t>
  </si>
  <si>
    <t>Universidad Pedagógica y Tecnológica de Colombia, Departamento de Ingeniería Metalúrgica, Boyacá, Tunja, 150003, Colombia; Universidade Estadual de Campinas, Laboratório para Estudos de Processos de Adsorção e Catálise, Campinas-SP, Brazil; Postgraduate Program in Materials Science and Engineering, Federal University of São Carlos, São Carlos1356-905, Brazil</t>
  </si>
  <si>
    <t>Coha-Vesga, P.M., Universidad Pedagógica y Tecnológica de Colombia, Departamento de Ingeniería Metalúrgica, Boyacá, Tunja, 150003, Colombia, Universidade Estadual de Campinas, Laboratório para Estudos de Processos de Adsorção e Catálise, Campinas-SP, Brazil; Rojas-Arias, N., Universidad Pedagógica y Tecnológica de Colombia, Departamento de Ingeniería Metalúrgica, Boyacá, Tunja, 150003, Colombia, Postgraduate Program in Materials Science and Engineering, Federal University of São Carlos, São Carlos1356-905, Brazil; Valença, G.P., Universidade Estadual de Campinas, Laboratório para Estudos de Processos de Adsorção e Catálise, Campinas-SP, Brazil</t>
  </si>
  <si>
    <t>MCM-41 mesoporous molecular sieves impregnated with MgO, MoO3, and Mo2C were synthesized using a wet impregnation method. The compounds developed herein, were characterized by means of XRD, SEM-EDS and FT-IR techniques. The production capacity of acetaldehyde from ethanol was analyzed by catalytic processes employing as-synthesized MCM-41. The obtained results show that the changes in crystallinity of MCM-41 were generated by the impregnation of oxides, which generate damage to the structure of MCM-41. Nevertheless, the characteristics of the compounds show a favorable reactivity behavior, allowing them to be used as heterogeneous catalyst material due to the similarity of the characteristics between MCM-41 with and without Mg and Mo oxides. The catalytic tests show the influence between the type of catalyst used and the temperature applied to the selective process of acetaldehyde from ethanol, obtaining the best results in the samples impregnated with Mo2C at 250 °C, with a production percentage of acetaldehyde of 80.7% and 77.9% for the catalysts impregnated with 0.5% and 2.0% Mg and 3.0% Mo carbide, respectively. © 2022 Universidad Nacional Autonoma de Mexico. All rights reserved.</t>
  </si>
  <si>
    <t>acetaldehyde; catalytic process; ethanol; MCM-41 mesoporous molecular sieve</t>
  </si>
  <si>
    <t>Universidad Pedagógica y Tecnológica de Colombia, UPTC; Coordenação de Aperfeiçoamento de Pessoal de Nível Superior, CAPES</t>
  </si>
  <si>
    <t>The support given by CAPES (the University of Campinas) and the Universidad Pedagógica y Tecnológica de Colombia, by providing material and equipment necessary for the research, is greatly appreciated.</t>
  </si>
  <si>
    <t>Barthos, R., Széchenyi, A., Solymosi, F., Efficient H2 Production from Ethanol over Mo2C/C Nanotube Catalyst (2008) Catalysis Letters, 120 (3–4), pp. 161-165. , https://doi.org/10.1007/s10562-007-9265-8; Beck, J. S., Vartuli, J. C., Roth, W. J., Leonowicz, M. E., Kresge, C. T., Schmitt, K. D., Schlenker, J., A new family of mesoporous molecular sieves prepared with liquid crystal templates (1992) Journal of the American Chemical Society, 114 (27), pp. 10834-10843. , https://doi.org/10.1021/ja00053a020; Bentahar, S., Dbik, A., Khomri, M. El, Messaoudi, N. El, Lacherai, A., Adsorption of methylene blue, crystal violet and congo red from binary and ternary systems with natural clay: Kinetic, isotherm, and thermodynamic (2017) Journal of Environmental Chemical Engineering, 5 (6), pp. 5921-5932. , https://doi.org/10.1016/j.jece.2017.11.003; Borrell, T. A., (2010) Nuevos materiales ultrafuncionales: Cerámica/nanofibras de carbono, , http://hdl.handle.net/10651/12840, [tesis, Universidad de Oviedo]. Repositorio UO; Cai, C., Wang, H., Han, J., Synthesis and characterization of ionic liquid-functionalized aluminosilicate MCM-41 hybrid mesoporous materials (2011) Applied Surface Science, 257 (23), pp. 9802-9808. , https://doi.org/10.1016/j.apsusc.2011.06.025; Cánepa, A. L., Vaschetti, V. M., Pájaro, K. C., Eimer, G. A., Casuscelli, S. G., Cortés Corberán, V., Selective oxidation of ethanol on V-MCM-41 catalysts (2020) Catalysis Today, 356, pp. 464-470. , https://doi.org/10.1016/j.cattod.2019.09.052; Costa, J. A. S., de Jesus, R. A., Santos, D. O., Mano, J. F., Romão, L. P. C., Paranhos, C. M., Recent progresses in the adsorption of organic, inorganic, and gas compounds by MCM-41-based mesoporous materials (2020) Microporous and Mesoporous Materials, 291, p. 109698. , https://doi.org/10.1016/j.micromeso.2019.109698; Fang, Y., Li, J., Sheng, N., Wang, X., Chen, D., Cai, M., Dai, L., Enhanced catalytic oxidation of anthracene by deposition of MoO3 and WO3 nanoparticles on MCM-41 (2020) Molecular Catalysis, 497, p. 111209. , https://doi.org/10.1016/j.mcat.2020.111209; Farkas, A. P., Solymosi, F., Adsorption and reactions of ethanol on Mo2C/Mo(100) (2007) Surface Science, 601 (1), pp. 193-200. , https://doi.org/10.1016/j.susc.2006.09.023; Gui, C. X., Li, Q. J., Lv, L. L., Qu, J., Wang, Q. Q., Hao, S. M., Yu, Z. Z., Core–shell structured MgO@ mesoporous silica spheres for enhanced adsorption of methylene blue and lead ions (2015) RSC Advances, 5 (26), pp. 20440-20445. , https://doi.org/10.1039/C5RA02596F; Higashimoto, S., Hu, Y., Tsumura, R., Iino, K., Matsuoka, M., Yamashita, H., Anpo, M., Synthesis, characterization and photocatalytic reactivities of Mo-MCM-41 mesoporous molecular sieves: Effect of the Mo content on the local structures of Mo-oxides (2005) Journal of Catalysis, 235 (2), pp. 272-278; Jin, S., Cui, K., Guan, H., Yang, M., Liu, L., Lan, C., Preparation of mesoporous MCM-41 from natural sepiolite and its catalytic activity of cracking waste polystyrene plastics (2012) Applied Clay Science, 56, pp. 1-6. , https://doi.org/10.1016/j.clay.2011.11.012; Jira, R., Acetaldehyde from Ethylene-A Retrospective on the Discovery of the Wacker Process (2009) Angewandte Chemie International Edition, 48 (48), pp. 9034-9037. , https://doi.org/10.1002/anie.200903992; Karnjanakom, S., Suriya-umporn, T., Bayu, A., Kongparakul, S., Samart, C., Fushimi, C., Abudula, A., Guan, G., High selectivity and stability of Mg-doped Al-MCM-41 for in-situ catalytic upgrading fast pyrolysis bio-oil (2017) Energy Conversion and Management, 142, pp. 272-285. , https://doi.org/10.1016/j.enconman.2017.03.049; Kishor, R., Ghoshal, A. K., Amine-Modified Mesoporous Silica for CO2 Adsorption: The Role of Structural Parameters (2017) Industrial &amp; Engineering Chemistry Research, 56 (20), pp. 6078-6087. , https://doi.org/10.1021/acs.iecr.7b00890; Klinthongchai, Y., Prichanont, S., Praserthdam, P., Jongsomjit, B., Synthesis, characteristics and application of mesocellular foam carbon (MCF-C) as catalyst for dehydrogenation of ethanol to acetaldehyde (2020) Journal of Environmental Chemical Engineering, 8 (3), p. 103752. , https://doi.org/10.1016/j.jece.2020.103752; Kresge, C.T., Leonowicz, M.E., Roth, W.J., Vartuli, J.C., Beck, J.S., Ordered mesoporous molecular sieves synthesized by a liquid-crystaltemplatemechanism (1992) Nature, 359 (6397), pp. 710-712. , https://doi.org/10.1038/359710a0; Li, W. B., Zhuang, M., Wang, J. X., Catalytic combustion of toluene on Cu-Mn/MCM-41 catalysts: Influence of calcination temperature and operating conditions on the catalytic activity (2008) Catalysis Today, 137 (2–4), pp. 340-344. , https://doi.org/10.1016/j.cattod.2007.11.002; Li, W. B., Zhuang, M., Xiao, T. C., Green, M. L. H., MCM-41 Supported Cu−Mn Catalysts for Catalytic Oxidation of Toluene at Low Temperatures (2006) The Journal of Physical Chemistry B, 110 (43), pp. 21568-21571. , https://doi.org/10.1021/jp063580g; Liang, Z., Zhao, Z., Sun, T., Shi, W., Cui, F., Enhanced adsorption of the cationic dyes in the spherical CuO/mesosilica nano composite and impact of solution chemistry (2017) Journal of Colloid and Interface Science, 485, pp. 192-200. , https://doi.org/10.1016/j.jcis.2016.09.028; Liu, J., Wei, X., Xue, J., Su, H., Preparation and adsorption properties of mesoporous material PS-MCM-41 with low-silicon content peanut shell ash as silicon source (2020) Materials Chemistry and Physics, 241, p. 122355. , https://doi.org/10.1016/j.matchemphys.2019.122355; Liu, J., Chen, F., Li, C., Lu, L., Hu, C., Wei, Y., Huang, Q., Characterization and utilization of industrial microbial waste as novel adsorbent to remove single and mixed dyes from water (2019) Journal of Cleaner Production, 208, pp. 552-562. , https://doi.org/10.1016/j.jclepro.2018.10.136; Liu, Y., Pan, Y., Wang, Z.-J., Kuai, P., Liu, C.-J., Facile and fast template removal from mesoporous MCM-41 molecular sieve using dielectric-barrier discharge plasma (2010) Catalysis Communications, 11 (6), pp. 551-554. , https://doi.org/10.1016/j.catcom.2009.12.017; Lopez, L., Montes, V., Kušar, H., Cabrera, S., Boutonnet, M., Järås, S., Syngas conversion to ethanol over a mesoporous Cu/MCM-41 catalyst: Effect of K and Fe promoters (2016) Applied Catalysis A: General, 526, pp. 77-83. , https://doi.org/10.1016/j.apcata.2016.08.006; Luttrell, W. E., Acetaldehyde (2009) Journal of Chemical Health &amp; Safety, 16 (5), pp. 43-44; Medeiros, P. R., Appel, L. G., The influence of the Ce–Mo–Sn preparation methods on ethanol oxidation (2002) Applied Catalysis A: General, 231 (1-2), pp. 125-130. , https://doi.org/10.1016/S0926-860X(02)00075-3; Mohamed, R. M., Shawky, A., Mkhalid, I. A., Facile synthesis of MgO and Ni-MgO nanostructures with enhanced adsorption of methyl blue dye (2017) Journal of Physics and Chemistry of Solids, 101, pp. 50-57. , https://doi.org/10.1016/j.jpcs.2016.10.009; Mukherjee, S., Akshay, M., Samanta, A. N., Amine-impregnated MCM-41 in post-combustion CO2 capture: Synthesis, characterization, isotherm modelling (2019) Advanced Powder Technology, 30 (12), pp. 3231-3240. , https://doi.org/10.1016/j.apt.2019.09.032; Peng, W., Li, J., Chen, B., Wang, N., Luo, G., Wei, F., Mesoporous MgO synthesized by a homogeneous-hydrothermal method and its catalytic performance on gas-phase acetone condensation at low temperatures (2016) Catalysis Communications, 74, pp. 39-42. , https://doi.org/10.1016/j.catcom.2015.11.001; Pires, E., Miranda, E., Valença, G., Gas-phase enzymatic esterificationonimmobilizedlipasesinMCM-41molecularsieves (2002) AppliedBiochemistryandBiotechnology, 98, pp. 963-976. , https://doi.org/10.1007/978-1-4612-0119-9_78; Pirouzmand, M., Anakhatoon, M. M., Ghasemi, Z., One-step biodiesel production from waste cooking oils over metal incorporated MCM-41; positive effect of template (2018) Fuel, 216, pp. 296-300. , https://doi.org/10.1016/j.fuel.2017.11.138; Pirouzmand, M., Asadi, M., Mohammadi, A., The remarkable activity of template-containing Mg/MCM-41 and Ni/MCM-41 in CO2 sequestration (2018) Greenhouse Gases: Science and Technology, 8 (3), pp. 462-468. , https://doi.org/10.1002/ghg.1753; Paloschi, R. S., (2002) Acoplamento não Oxidativo de Metano sobre Metais Suportados em Sólidos Microporosos, , Universidade Estadual de Campinas; Ramazani, Z., Elhamifar, D., Norouzi, M., Mirbagheri, R., Magnetic mesoporous MCM-41 supported boric acid: A novel, efficient and ecofriendly nanocomposite (2019) Composites Part B: Engineering, 164, pp. 10-17. , https://doi.org/10.1016/j.compositesb.2018.11.063; Rana, R. K., Viswanathan, B., Mo incorporation in MCM-41 type zeolite (1998) Catalysis Letters, 52, pp. 25-29. , https://doi.org/10.1023/A:1019019403375; Rodriguez-Gomez, A., Holgado, J. P., Caballero, A., Cobalt Carbide Identified as Catalytic Site for the Dehydrogenation of Ethanol to Acetaldehyde (2017) ACS Catalysis, 7 (8), pp. 5243-5247. , https://doi.org/10.1021/acscatal.7b01348; Rosales-Calderon, O., Arantes, V., A review on commercial-scale high-value products that can be produced alongside cellulosic ethanol (2019) Biotechnology for Biofuels, 12 (1), p. 240. , https://doi.org/10.1186/s13068-019-1529-1; Safa, M. A., Ma, X., Oxidation kinetics of dibenzothiophenes using cumene hydroperoxide as an oxidant over MoO3/Al2O3 catalyst (2016) Fuel, 171, pp. 238-246. , https://doi.org/10.1016/j.fuel.2015.12.050; Santos, J., Catalytic Decomposition of Hydrazine on Tungsten Carbide: The Influence of Adsorbed Oxygen (2002) Journal of Catalysis, 210 (1), pp. 1-6. , https://doi.org/10.1006/jcat.2002.3634; Saraiva, M. S., Fernandes, C. I., Nunes, T. G., Nunes, C. D., Calhorda, M. J., New Mo(II) complexes in MCM-41 and silica: Synthesis and catalysis (2014) Journal of Organometallic Chemistry, 751, pp. 443-452. , https://doi.org/10.1016/j.jorganchem.2013.07.081; Shan, J., Janvelyan, N., Li, H., Liu, J., Egle, T. M., Ye, J., Flytzani-Stephanopoulos, M., Selective non-oxidative dehydrogenation of ethanol to acetaldehyde and hydrogen on highly dilute NiCu alloys (2017) Applied Catalysis B: Environmental, 205, pp. 541-550. , https://doi.org/10.1016/j.apcatb.2016.12.045; Shan, J., Liu, J., Li, M., Lustig, S., Lee, S., Flytzani-Stephanopoulos, M., NiCu single atom alloys catalyze the CH bond activation in the selective non-oxidative ethanol dehydrogenation reaction (2018) Applied Catalysis B: Environmental, 226, pp. 534-543. , https://doi.org/10.1016/j.apcatb.2017.12.059; Sharma, L., Kakkar, R., Hierarchically structured magnesium based oxides: synthesis strategies and applications in organic pollutant remediation (2017) CrystEngComm, 19 (46), pp. 6913-6926. , https://doi.org/10.1039/C7CE01755C; Sikarwar, P., Kumar, U. K. A., Gosu, V., Subbaramaiah, V., Catalytic oxidative desulfurization of DBT using green catalyst (Mo/MCM-41) derived from coal fly ash (2018) Journal of Environmental Chemical Engineering, 6 (2), pp. 1736-1744. , https://doi.org/10.1016/j.jece.2018.02.021; Stefanidis, S. D., Natural magnesium oxide (MgO) catalysts: A cost-effective sustainable alternative to acid zeolites for the in situ upgrading of biomass fast pyrolysis oil (2016) Applied Catalysis B: Environmental, 196, pp. 155-173. , https://doi.org/10.1016/j.apcatb.2016.05.031; Sun, J., Wang, Y., Recent Advances in Catalytic Conversion of Ethanol to Chemicals (2014) ACSCatalysis, 4 (4), pp. 1078-1090. , https://doi.org/10.1021/cs4011343; Uphade, B., Yamada, Y., Akita, T., Nakamura, T., Haruta, M., Synthesis and characterization of Ti-MCM-41 and vapor-phase epoxidation of propylene using H2 and O2 over Au/Ti-MCM-41 (2001) Applied Catalysis A: General, 215 (1–2), pp. 137-148. , https://doi.org/10.1016/S0926-860X(01)00527-0; Vinu, A., Ariga, K., Saravanamurugan, S., Hartmann, M., Murugesan, V., Synthesis of highly acidic and well ordered MgAl-MCM-41 and its catalytic performance on the isopropylation of m-cresol (2004) Microporous and mesoporous materials, 76 (1-3), pp. 91-98. , https://doi.org/10.1016/j.micromeso.2004.07.036; Wang, T., Wu, G., Guan, N., Li, L., Nitridation of MgO-loaded MCM-41 and its beneficial applications in base-catalyzed reactions (2012) Microporous andMesoporous Materials, 148 (1), pp. 184-190. , https://doi.org/10.1016/j.micromeso.2011.07.024; Yang, R., Li, D., Li, A., Yang, H., Adsorption properties and mechanisms of palygorskite for removal of various ionic dyes from water (2018) Applied Clay Science, 151, pp. 20-28. , https://doi.org/10.1016/j.clay.2017.10.016; Yasyerli, S., Filizgok, S., Arbag, H., Yasyerli, N., Dogu, G., Ru incorporated Ni–MCM-41 mesoporous catalysts for dry reforming of methane: Effects of Mg addition, feed composition and temperature (2011) International Journal of Hydrogen Energy, 36 (8), pp. 4863-4874. , https://doi.org/10.1016/j.ijhydene.2011.01.120; Zhang, J., Kanno, M., Zhang, J., Ohnishi, R., Toriyabe, K., Matsuhashi, H., Kamiya, Y., Preferential oligomerization of isobutene in a mixture of isobutene and 1-butene over sodium-modified 12-tungstosilicic acid supported on silica (2010) Journal of Molecular Catalysis A: Chemical, 326 (1–2), pp. 107-112. , https://doi.org/10.1016/j.molcata.2010.04.017; Zhao, L., Sotoodeh, F., Smith, K. J., Increased surface area of unsupported Mo2C catalyst by alkali-treatment (2010) Catalysis Communications, 11 (5), pp. 391-395. , https://doi.org/10.1016/j.catcom.2009.11.008; Zheng, J., Chen, Z., Fang, J., Wang, Z., Zuo, S., MCM-41 supported nano-sized CuO-CeO2 for catalytic combustion of chlorobenzene (2020) Journal of Rare Earths, 38 (9), pp. 933-940. , https://doi.org/10.1016/j.jre.2019.06.005</t>
  </si>
  <si>
    <t>Coha-Vesga, P.M.; Universidad Pedagógica y Tecnológica de Colombia, Boyacá, Colombia; email: pablo.coha@uptc.edu.co</t>
  </si>
  <si>
    <t>2-s2.0-85132737706</t>
  </si>
  <si>
    <t>Rojas-Arias N., Blanco-Zuñiga C.R., Rojas-Arias S.F.</t>
  </si>
  <si>
    <t>57216489274;57250158200;57223923204;</t>
  </si>
  <si>
    <t>Influence of radon gas removal on the oxygenation of thermal water bodies in the Paipa-Boyacá area</t>
  </si>
  <si>
    <t>https://www.scopus.com/inward/record.uri?eid=2-s2.0-85132731622&amp;doi=10.22201%2ficat.24486736e.2022.20.1.1641&amp;partnerID=40&amp;md5=5e71899b72a436243016ecc5ca53b8f6</t>
  </si>
  <si>
    <t>Universidad Pedagógica y Tecnológica de Colombia, Tunja-Boyacá, Colombia; Postgraduate Program in Materials Science and Engineering, Federal University of São Carlos, São Carlos, Brazil</t>
  </si>
  <si>
    <t>Rojas-Arias, N., Universidad Pedagógica y Tecnológica de Colombia, Tunja-Boyacá, Colombia, Postgraduate Program in Materials Science and Engineering, Federal University of São Carlos, São Carlos, Brazil; Blanco-Zuñiga, C.R., Universidad Pedagógica y Tecnológica de Colombia, Tunja-Boyacá, Colombia; Rojas-Arias, S.F., Universidad Pedagógica y Tecnológica de Colombia, Tunja-Boyacá, Colombia, Postgraduate Program in Materials Science and Engineering, Federal University of São Carlos, São Carlos, Brazil</t>
  </si>
  <si>
    <t>In this work, the effect of radon gas removal was studied for thermal water samples subjected to aeration and dissolved oxygen (DO) transfer processes. The prototype used in this work consisted of the application of a diffusion aeration system, usually used in water treatment processes, and the incorporation of a camera with the presence of LR-115 passive detectors, used for the measurement of radon gas. The Pylon ABC-6 active measurement method was used as a reference mechanism for radon gas concentration, while the dissolved oxygen measurement was measured simultaneously using a digital oximeter. The results obtained show that the DO transfer process is accompanied by an optimal removal of the radon gas present in the water samples, with a reception data of 1.5 ± 0.2 kBq·m-3, 61% of the value initially obtained. These data show that DO transfer processes have a great contribution to the removal of radon gas present in water bodies. © 2022 Universidad Nacional Autonoma de Mexico. All rights reserved.</t>
  </si>
  <si>
    <t>diffusion aeration system; dissolved oxygen (DO); LR-115 passive detectors; radon gas; Thermal water</t>
  </si>
  <si>
    <t>The support of this work was given by the department of physics and engineering og the Universidad Pedagógica y Tecnológica de Colombia -UPTC. The authors are grateful to this institution for providing the material and equipment necessary during the research.</t>
  </si>
  <si>
    <t>Abdelrahman, H. A., Boyd, C. E., Effects of mechanical aeration on evaporation rate and water temperature in aquaculture ponds (2018) Aquaculture Research, 49 (6), pp. 2184-2192. , https://doi.org/10.1111/are.13674; Bahadori, A., Vuthaluru, H.B., SimpleArrhenius-typefunction accurately predicts dissolved oxygen saturation concentrations in aquatic systems (2010) Process Safetyand Environmental Protection, 88 (5), pp. 335-340. , https://doi.org/10.1016/j.psep.2010.05.002; Battino, R., The Ostwald coefficient of gas solubility (1984) Fluid Phase Equilibria, 15 (3), pp. 231-240. , https://doi.org/10.1016/0378-3812(84)87009-0; Baudron, P., Combining radon, short-lived radium isotopes and hydrodynamic modeling to assess submarine groundwater discharge from an anthropized semiarid watershed to a Mediterranean lagoon (Mar Menor, SE Spain) (2015) Journal of Hydrology, 525, pp. 55-71. , https://doi.org/10.1016/j.jhydrol.2015.03.015; Baysal, R. T., Gunduz, O., The Impacts of Geothermal Fluid Discharge on Surface Water Quality with Emphasis on Arsenic (2016) Water, Air, &amp; Soil Pollution, 227 (5), p. 165. , https://doi.org/10.1007/s11270-016-2866-3; Binesh, A., Mohammadi, S., Mowlavi, A. A., Parvaresh, P., Evaluation of the radiation dose from radon ingestion and inhalation in drinking water (2010) International Journal of Water Resources and Environmental Engineering, 2 (7), pp. 174-178. , https://doi.org/https://doi.org/10.5897/IJWREE.9000019; Blanco-Zuñiga, C. R., Rojas-Arias, N., Peña-Pardo, L. Y., Mendoza-Oliveros, M. E., Martinez-Ovalle, S. A., Study of the influence of clays on the transfer of dissolved oxygen in water (2021) Ingeniería, 26 (1), pp. 1-8. , https://doi.org/https://doi.org/10.14483/23448393.15846; Blanco-Zúñiga, C., Rojas-Arias, N., Dissolved oxygen transfer using flatandcurves paddle-wheel on a mechanical aerator (2021) Prospectiva, 19 (1), pp. 1-10. , https://doi.org/http:://doi.org/10.15665/rp.v19i1.2527; Brown, T. W., Tucker, C. S., Rutland, B. L., Performance evaluation of four different methods for circulating water in commercial-scale, split-pond aquaculture systems (2016) Aquacultural Engineering, 70, pp. 33-41. , https://doi.org/10.1016/j.aquaeng.2015.12.002; Butler, I. B., Schoonen, M. A. A., Tickard, D. T., Removal of dissolved oxygen from water: A comparison of four common techniques (1994) Talanta, 41 (2), pp. 211-215. , https://doi.org/10.1016/0039-9140(94)80110-X; Dien, L. D., Hiep, L. H., Faggotter, S. J., Chen, C., Sammut, J., Burford, M. A., Factors driving low oxygen conditions in integrated rice-shrimp ponds (2019) Aquaculture, 512, p. 734315. , https://doi.org/10.1016/j.aquaculture.2019.734315; Espinal, D., (2000) Spray and Aeration System for Removing Volatile Compounds, , (Patent No. 6,123,750). United States Patent; Commission Recommendation of 20 December 200, on the Protection of the Public against Exposure to Radon in Drinking Water Supplies (2001) Official Journal of the European Union. L, 344, pp. 85-88; Council Directive 2013/51/EURATOM laying down requirements for the protection of the health of the general public with regard to radioactive substances in water intended for human consumption (2013) Official Journal of the European Union, pp. 1-10. , November 1998; Faisca, M. C., Teixeira, M. M. G. R., Bettencourt, A. O., Indoor Radon Concentrations in Portugal - A National Survey (1992) Radiation Protection Dosimetry, 45 (1–4), pp. 465-467. , https://doi.org/10.1093/rpd/45.1-4.465; Hedo, E. B., (2016) Actualidad Jurídica Ambiental, (60), pp. 47-48; Hills, R. G., Viskanta, R., Modeling of unsteady temperature distribution in rivers with thermal discharges (1976) Water Resources Research, 12 (4), pp. 712-722. , https://doi.org/10.1029/WR012i004p00712; (2020) ImageJ, , https://imagej.nih.gov/ij/download.html, Available in; Jalili-Majareshin, A., Behtash, A., Rezaei-Ochbelagh, D., Radon concentration in hot springs of the touristic city of Sarein and methods to reduce radon in water (2012) Radiation Physics and Chemistry, 81 (7), pp. 749-757. , https://doi.org/10.1016/j.radphyschem.2012.03.015; Janik, C., Chemical data collection and geochemical applications in reservoir engineering (1985) Geothermal Resources Council, Course on Engineering and Economic Assessment of the Geothermal Resources, , August 1985, Hawaii; Jaramillo, J. S., Cardona, A., León, S., Valencia, V., Vinasco, C., Geochemistry and geochronology from Cretaceous magmatic and sedimentary rocks at 6°35′ N, western flank of the Central cordillera (Colombian Andes): Magmatic record of arc growth and collision (2017) Journal of South American Earth Sciences, 76, pp. 460-481. , https://doi.org/10.1016/j.jsames.2017.04.012; Kindle, C. H., Mercer, B. W., Elmore, R. P., Blair, S. C., Myers, D. A., (1984) Geothermal injection treatment: process chemistry, field experiences, and design options (No. PNL-4767), , https://doi.org/10.2172/6281733, Pacific Northwest Lab., Richland, WA (USA); Kowalski, E., Mazierski, J., Effects of cooling water discharges from a power plant on reservoir water quality (2008) Oceanological and Hydrobiological Studies, 37 (2), pp. 107-118. , https://doi.org/10.2478/v10009-008-0001-5; Kumar, G., Engle, C. R., Hanson, T. R., Tucker, C. S., Brown, T. W., Bott, L. B., Roy, L. A., Torrans, E. L., Economics of alternative catfish production technologies (2018) Journal of the World Aquaculture Society, 49 (6), pp. 1039-1057. , https://doi.org/10.1111/jwas.12555; Matos, L. E., Riesgo de cáncer en exposiciones ocupacionales (1997) Rev Gerencia Ambiental, 33, pp. 36-42; Lagos, M. D., Sajo-Bohus, L., Garzón, M. S., Gómez, I. V., Martínez-Ovalle, S. A., Radon concentration in hydrogeothermal deposit and spas of Boyacá, Colombia (2019) Applied Radiation and Isotopes, 145, pp. 131-136. , https://doi.org/10.1016/j.apradiso.2018.12.020; Lamarre, B.L., (1989) Radon Removal Method, , (Patent No. US 4,869,832). United States Patent; Lan, W.-R., Huang, X.-G., Lin, L., Li, S.-X., Liu, F.-J., Thermal discharge influences the bioaccumulation and bioavailability of metals in oysters: Implications of ocean warming (2020) Environmental Pollution Journal, 259, p. 113821. , https://doi.org/10.1016/j.envpol.2019.113821; Lee, K. D., Yoon, Y. D., Ko, K. D., (2010) Groundwater radon reduction apparatus, , (Patent No. EP 2248767A1). European Patent Office; (2019) Optical microscopes, , https://www.leica-microsystems.com/es/363, Available in; Lin, S. H., Fan, L. T., Hwang, C. L., Digital Simulation of the Effect of Thermal Discharge on Stream Water Quality (1973) Journal of the American Water Resources Association, 9 (4), pp. 689-702. , https://doi.org/10.1111/j.1752-1688.1973.tb01791.x; GeologicalFactors (2004) Developmentsin EarthandEnvironmentalSciences, pp. 38-235. , https://doi.org/10.1016/S1571-9197(04)80003-X, MiomirM.Komatina; Moreno-Sánchez, M., Hincapié-J, G., Ossa-M, C. A., Toro-Toro, L. M., Geological and structural characterization of some shear zones in the quebradagrande complex near to manizales and villamaria (2016) Revista Boletín de Geología, 38 (4), pp. 15-27. , https://doi.org/10.18273/revbol.v38n4-2016001; Moreno, V., Bach, J., Baixeras, C., Font, L., Radon levels in groundwaters and natural radioactivity in soils of the volcanic region of La Garrotxa, Spain (2014) Journal of Environmental Radioactivity, 128, pp. 1-8. , https://doi.org/10.1016/j.jenvrad.2013.10.021; Moreno, V., Bach, J., Zarroca, M., Font, L., Roqué, C., Linares, R., Characterization of radon levels in soil and groundwater in the North Maladeta Fault area (Central Pyrenees) and their effects on indoor radon concentration in a thermal spa (2018) Journal of Environmental Radioactivity, 189, pp. 1-13. , https://doi.org/10.1016/j.jenvrad.2018.03.001; Petar, P., Scaling and Corrosion Potential of Selected Geothermal Waters in Serbia (1991) UNU Geothermal Training Programme, pp. 1-46; (2017) High Quality, High Performance in Radon Products, , PYLON; Rajca, M., Bodzek, M., Tomaszewska, B., Tyszer, M., Kmiecik, E., Wątor, K., Prevention of scaling during the desalination of geothermal water by means of nanofiltration (2017) Desalination and water treatment, 73, pp. 198-207. , https://doi.org/10.5004/dwt.2017.20557; Ródenas, C., Gómez, J., Soto, J., Maraver, F., Natural radioactivity of spring water used as spas in Spain (2008) Journal of Radioanalytical and Nuclear Chemistry, 277 (3), pp. 625-630. , https://doi.org/10.1007/s10967-007-7158-3; Rojas-Arias, N., Sandoval-Garzón, M. A., Medina-Higuera, J. D., Sajo-Bohus, L., Martínez-Ovalle, S. A., Seasonal variation of the S-index as it relates to the concentration of 222Rn inside a bunker that stores radioactive material (2020) Applied Radiation and Isotopes, 162, p. 109173. , https://doi.org/10.1016/j.apradiso.2020.109173; Rojas Romero, J. A., (2010) Tratamiento de aguas residuales. Teoría y principios de diseño, , (E. C. de Ingeniería (Ed); 3rd ed). Escuela Colombiana de Ingeniería; Sakoda, A., Ishimori, Y., Tschiersch, J., Evaluation of the intake of radon through skin from thermal water (2016) Journal of Radiation Research, 57 (4), pp. 336-342. , https://doi.org/10.1093/jrr/rrw024; Sander, R., Compilation of Henry’s law constants (version 4.0) for water as solvent (2015) Atmospheric Chemistry and Physics, 15 (8), pp. 4399-4981. , https://doi.org/10.5194/acp-15-4399-2015; Soto, J., Fernandez, P., Quindos, L., Gomezarozamena, J., Radioactivity in Spanish spas (1995) Science of The Total Environment, 162 (2–3), pp. 187-192. , https://doi.org/10.1016/0048-9697(95)04454-9; Talwani, P., Moore, W. S., Chiang, J., Radon anomalies and microearthquakes at Lake Jocassee, South Carolina (1980) Journal of Geophysical Research, 85 (B6), p. 3079. , https://doi.org/10.1029/JB085iB06p03079; Tchobanoglous, G., Burton, F. L., Stensel, H. D., (2003) Wastewater engineering treatment and reuse (No. 628.3 T252s), , Boston, US: McGraw-Hill Higher Education; Thu, H. N. P., Thang, N. Van, Loan, T. T. H., Dong, N. Van, Hao, L. C., Natural radioactivity and radon emanation coefficient in the soil of Ninh Son region, Vietnam (2019) Applied Geochemestry, 104, pp. 176-183. , https://doi.org/10.1016/j.apgeochem.2019.03.019; Tomaszewska, B., Bodzek, M., Kmiecik, E., Boron removal from geothermal water using DOW chemical high separation BWRO membrane (2016) Desalination and Water Treatment, 57 (57), pp. 27477-27484. , https://doi.org/10.1080/19443994.2016.1176962; Tomaszewska, B., Dendys, M., Zero-waste initiatives – waste geothermal water as a source of medicinal raw material anddrinkingwater (2018) Desalinationandwatertreatment, 112, pp. 12-18. , https://doi.org/10.5004/dwt.2018.22216; Uby, L., Next steps in clean water oxygen transfer testing–A critical review of current standards (2019) Water research, 157, pp. 415-434. , https://doi.org/10.1016/j.watres.2019.03.063; (2008) Sources and effects of ionizing radiation: Report to General Assembly with Scientific Annexes; Vogiannis, E. G., Nikolopoulos, D., Radon sources and associated risk in terms of exposure and dose (2015) Frontiers in public health, 2, p. 207. , https://doi.org/10.3389/fpubh.2014.00207; Wang, M., Yu, Y. J., Analysis of Water Heat Pollution of Thermal Discharge in Surface Water Source Heat Pump System (2013) Applied Mechanics and Materials, pp. 368-370. , https://doi.org/10.4028/www.scientific.net/AMM.368-370.364; (2009) Handbook on Indoor Radon: A Public Health Perspective, , World Health Organization; Zeitoun, M. M., Mehana, E. E., Impact of water pollution with heavy metals on fish health: overview and uptdates (2014) Global Veterinaria, 12, pp. 219-231</t>
  </si>
  <si>
    <t>Rojas-Arias, N.; Universidad Pedagógica y Tecnológica de Colombia, Tunja-Boyacá, Colombia; email: nicolas.rojas@estudante.ufscar.br</t>
  </si>
  <si>
    <t>2-s2.0-85132731622</t>
  </si>
  <si>
    <t>Ospina N.S.</t>
  </si>
  <si>
    <t>57164928100;</t>
  </si>
  <si>
    <t>English teachers’ continuing education: Teachers trace possible paths in their regions [La formación permanente del profesorado de inglés: Docentes trazan posibles rutas en sus regiones]</t>
  </si>
  <si>
    <t>Revista Complutense de Educacion</t>
  </si>
  <si>
    <t>10.5209/rced.74080</t>
  </si>
  <si>
    <t>https://www.scopus.com/inward/record.uri?eid=2-s2.0-85132667272&amp;doi=10.5209%2frced.74080&amp;partnerID=40&amp;md5=980066502d95d9f9e0b272d43549be6c</t>
  </si>
  <si>
    <t>Universidad de Antioquia, Colombia</t>
  </si>
  <si>
    <t>Ospina, N.S., Universidad de Antioquia, Colombia</t>
  </si>
  <si>
    <t>This research study reports the possible continuing education paths that a group of English teachers trace in their regions. This is a multiple case study based on the principles of qualitative research carried out in Antioquia, Colombia. Document analysis, semi structured interviews and group interviews were the data collection methods. Results evidence the need to: Contextualize the professional development agendas, plan in-service education within the framework of a systematic process, offer graduate education in the distant regions apart from the cities, and finally, ensure that the institutions and the teacher educators in charge of in-service education offer high-quality programs. In conclusion, it is necessary to reconsider the traditional perspective of continuing education in order to establish a policy that promotes situated learning opportunities for English teachers in the country, in which teachers have the opportunity to lead their own learning process and to participate in the construction of the in-service education agendas. © 2022, Universidad Compultense Madrid. All rights reserved.</t>
  </si>
  <si>
    <t>continuing education; foreign language; language policy; teacher</t>
  </si>
  <si>
    <t>Álvarez, J.A., Cárdenas, M., González, A., Cobertura vs Continuidad: dos Retos para el Desarrollo Profesional para los Docentes de Inglés en el Marco de Colombia Bilingüe (2015) En Fundamentos para el Desarrollo Profesional de los Profesores de Inglés, pp. 169-222. , Universidad de Nariño; Barrios, J., Vergara, L., Teherán, G., Serpa, L., (2019) Análisis del desarrollo del programa de Colombia Bilingüe Un estudio en dos instituciones públicas de la ciudad de Cartagena, , http://ojs.unicolombo.edu.co/index.php/adelante-ahead/article/view/177, Recuperado 10 de mayo, 2021, de; Bermúdez, J., Fandiño, Y., Ramírez, A., Percepciones de directivos y Docentes de instituciones educativas distritales sobre la implementación del Programa Bogotá Bilingüe (2014) Voces y Silencios: Revista Latinoamericana de Educación, 5 (2), pp. 135-171. , https://doi.org/10.18175/vys5.2.2014.04; Cárdenas, M., Encuentros y desencuentros en la formación de profesores de inglés en Colombia: Una mirada a las políticas del programa nacional de bilingüismo (2010) Formacao de Professores de Linguas na America Latina e Transformacao Social, 4, pp. 19-44; Clandinin, J., Husu, J., (2017) The SAGE handbook of research on teacher education, , (Eds). SAGE Publications, Ltd; Coffee, A., Atkinson, P., (2003) Encontrar el sentido a los datos cualitativos: estrategias complementarias de investigación, , (Zimmerman, E. traductora). Editorial Universidad de Antioquia. (Publicación original 1996); De Mejía, M., The National Bilingual Plan in Colombia: Imposition or Opportunity? (2011) Apples Journal of Applied Language Studies, , https://jyx.jyu.fi/handle/123456789/37104, Recuperado 12 de diciembre, 2020, de; Denzin, N., (2009) Qualitative inquiry under fire, , Left Coast Press, Inc; Denzin, N., Linconln, Y., (2008) Strategies of qualitative inquiry, , SAGE Publications; Denzin, N., Linconln, Y., (2018) The SAGE handbook of qualitative research, , SAGE Publications; Fandiño, Y., Bermúdez, J., Planificación y política lingüística en Colombia desde el plurilingüismo (2016) Revista de la Universidad de La Salle, , https://ciencia.lasalle.edu.co/ruls/vol2016/iss69/8/, Recuperado 5 diciembre, 2020, de; Fontana, A., Frey, J., La entrevista. De una posición neutral al compromiso político (2015) Manual de investigación cualitativa. Métodos de recolección análisis de datos, pp. 140-202. , En Gedisa; Galindo, A., Moreno, L., Educación bilingüe (español-inglés) en tres Instituciones educativas públicas del Quindío, Colombia: estudio de caso (2019) Lenguaje, 47 (2), pp. 648-684. , https://doi.org/10.25100/lenguaje.v47i3.6906; Gimeno, J., Pérez, A., La función y formación del profesor/a en la enseñanza para la comprensión. Diferentes perspectivas (1995) Comprender y transformar la enseñanza, pp. 398-429. , En Ediciones Morata; González, A., On alternative and additional certifications in English language teaching: the case of Colombian EFL teachers’ professional development (2009) Ikala Revista de Lenguaje y Cultura, , https://revistas.udea.edu.co/index.php/ikala/article/view/2638, Recuperado 15 junio, 2020, de; Granados, C., Formación inicial de docentes de lenguas extranjeras (2015) Nodos y Nudos, 4 (39), pp. 59-69. , https://doi.org/10.17227/01224328.4356; Heck, R., (2004) Studying educational and social policy, theoretical concepts and research methods, , Lawrence Erlbaum; Hurie, A. H., ¿Inglés para la paz? Colonialidad, ideología neoliberal y expansión discursiva en Colombia Bilingüe (2018) Íkala, Revista de Lenguaje y Cultura, 23 (2), pp. 333-354. , https://doi.org/10.17533/udea.ikala.v23n02a09; Imbernón, F., (2020) Desarrollo personal, profesional e institucional y formación del profesorado algunas tendencias para el siglo XXI, pp. 49-67. , https://dialnet.unirioja.es/servlet/articulo?codigo=7447586, P. Recuperado 15 mayo, 2020, de; Imbernón, F., (2014) Calidad de la enseñanza y formación del profesorado, un cambio necesario, , Barcelona: Ediciones Octaedro, S.L; Imbernón, F., Una nueva formación permanente del profesorado para un nuevo desarrollo profesional y colectivo (2009) Revista Brasileira de Formaçao de Professores, 1 (1), pp. 31-42; (2007) La formación y el desarrollo profesional del profesorado, hacia una nueva cultura profesional, , Editorial GRAO; Imbernón, F., Sacristán, G., Rodríguez, C., Martínez, Sureda, J., El (2017); profesorado, su formación y el trabajo educativo, , [Manuscrito en preparación]. Departamento de Didáctica y Organización Educativa, Universidad de Barcelona; Johnson, K., The Sociocultural Turn and Its Challenges for Second Language Teacher Education (2006) TESOL Quarterly, 40 (1), pp. 235-257; Johnson, K., (2009) Second Language Teacher Education: A sociocultural Perspective, , Routledge; Johnson, K., Freeman, D., Teacher learning in second language teacher Education: A socially situated perspective (2001) Revista Brasileira de Linguística Aplicada, 1 (1), pp. 53-69. , http://dx.doi.org/10.1590/S1984-63982001000100004; Johnson, K., Golombek, P., A sociocultural theoretical perspective on teacher professional development (2011) En Research on Second Language Teacher Education: A Sociocultural Perspective on Professional Development, pp. 1-12. , https://doi.org/10.4324/9780203844991, Taylor and Francis; Kvale, S., (2009) Interviews: learning the craft of qualitative interviewing, , SAGE Publications; Marcelo, C., Vaillant, D., (2013) Desarrollo profesional docente, , Narcea, S.A. de Ediciones; Martínez, K., Soto, J., Límites y alcances del bilingüismo en el contexto del Plan Nacional de Desarrollo en Colombia 2014-2018 (2018), pp. 29-58. , http://investigaciones.uniatlantico.edu.co/revistas/index.php/CEDOTIC/article/view/2120/2872, Recuperado 10 mayo, 2021, de Medina, J. (2010). La formación permanente del profesorado desde la teoría de la complejidad. En Tendencias de la formación permanente del profesorado Horsori Editorial, S, L; Mejía-Mejía, S., ¿Vamos hacia una Colombia Bilingüe? Análisis de la brecha académica entre el sector público y privado en la educación del inglés (2016) Educación y Educadores, 19 (2), pp. 223-237; Menken, K., García, O., (2010) Negotiating Language Policies in Schools: Educators as Policymakers, , Routledge; Merriam, Sh, (1998) Qualitative Research and Case Study Applications in Education: Revised and Expanded from Case Study Research in Education, , Jossey-Bass Publishers; (2015) Colombia la mejor educada en el 2025, , http://www.mineducacion.gov.co/1759/articles-356137_foto_portada.pdf; (2013) Sistema colombiano de formación de educadores y lineamientos de política, , https://www.mineducacion.gov.co/1759/articles-345485_anexo1.pdf; (2010) Educación de calidad el camino para la prosperidad, , https://www.mineducacion.gov.co/1759/w3-article-259478.html?_noredirect=1; (2005) Programa Nacional de Bilingüismo, , https://www.mineducacion.gov.co/1621/articles-132560_recurso_pdf_programa_nacional_bilinguismo.pdf; Mora, R., Chiquito, T., Zapata, J., (2019) Bilingual Education Policies in Colombia: Seeking Relevant and Sustainable Frameworks for Meaningful Minority Inclusion, , https://doi.org/10.1007/978-3-030-05496-0_4; Patarroyo, M., Textbooks Decontextualization within Bilingual Education in Colombia (2016) Enletawa Journal, , https://revistas.uptc.edu.co/index.php/enletawa_journal/article/view/7541, Recuperado 10 noviembre, 2020, de; Perrenoud, Ph, (2007) Desarrollar la práctica reflexiva en el oficio de enseñar, profesionalización y razón pedagógica, , Graó; Ramos, B., Vargas, N., Algunas reflexiones sobre el Plan Nacional de Bilingüismo, sus impactos y realidades en el departamento de Boyacá (2012) Enletawa Journal, , https://revistas.uptc.edu.co/index.php/enletawa_journal/article/view/2574, Recuperado 10 noviembre, 2020, de; Ricento, T., Hornberger, N., Unpeeling the onion: Language planning and policy and the ELT professional (1996) TESOL Quarterly, 30 (3), pp. 401-428; Richards, J., Farrell, T., (2005) Professional development for language teachers. Strategies for teacher learning, , Cambridge University Press; Robalino, M., (2006) Carrera y Evaluación Docente en América Latina, , https://opech.cl/_doc/carrera_y_evaluacion_docente_en_america_latina_robalino.pdf, Recuperado 15 De noviembre, 2020 de; Roldán, A., Peláez., O., Pertinencia de las políticas de enseñanza del inglés en una zona rural de Colombia: un estudio de caso en Antioquia (2017) Íkala, 22 (1), pp. 121-139. , https://doi.org/10.17533/udea.ikala.v22n01a08; Salazar, A., Bernal, E., Beneficios de la capacitación docente del programa municipal de bilingüismo en los grados de transición y primero en dos instituciones públicas de Neiva (2012) Revista Entornos, 25, pp. 226-243. , https://doi.org/10.25054/01247905.432; Sierra, N., Giraldo, E., Hablando de política lingüística y formación docente: las voces de los/las docentes dibujan sus propios retratos (2020) Revista Brasileira de Linguística Aplicada, 20 (1), pp. 163-188. , https://doi.org/10.1590/1984-6398201914737; Stake, R., (2006) Multiple case study analysis, , The Guilford Press; Tardif, M., (2004) Los saberes del docente y su desarrollo profesional, , Narcea; Vaillant, D., Marcelo, C., (2015) El ABC y D de la formación docente, , Narcea; Valencia, S., Montoya, O., Política Educativa y el desarrollo profesional docente en el departamento del Quindío (2015) Fundamentos para el desarrollo profesional de los profesores de inglés, pp. 327-361. , En Editorial Universitaria; Zwisler, J. James, Language Policy and the Construction of National Identity in Colombia (2018) Encuentros, 16 (1), pp. 133-146. , http://dx.doi.org/10.15665/.v16i01.700</t>
  </si>
  <si>
    <t>Ospina, N.S.; Universidad de AntioquiaColombia; email: nelly.sierra@udea.edu.co</t>
  </si>
  <si>
    <t>Rev. Complut. Educ.</t>
  </si>
  <si>
    <t>2-s2.0-85132667272</t>
  </si>
  <si>
    <t>Villarreal Amaris G.E., Pérez Aguas C.P., Usta Carrillo A.</t>
  </si>
  <si>
    <t>57761155500;57761501600;57761155600;</t>
  </si>
  <si>
    <t>Health and self-perceived quality of life of older adults in a Colombian Caribbean municipality [Salud y calidad de vida autopercibida de los adultos mayores en un municipio del caribe colombiano]</t>
  </si>
  <si>
    <t>10.14482/sun.38.1.613.042</t>
  </si>
  <si>
    <t>https://www.scopus.com/inward/record.uri?eid=2-s2.0-85132654783&amp;doi=10.14482%2fsun.38.1.613.042&amp;partnerID=40&amp;md5=c13908e2bceb18c23c18f214dbb24492</t>
  </si>
  <si>
    <t>Universidad de Sucre, Colombia</t>
  </si>
  <si>
    <t>Villarreal Amaris, G.E., Universidad de Sucre, Colombia; Pérez Aguas, C.P., Universidad de Sucre, Colombia; Usta Carrillo, A., Universidad de Sucre, Colombia</t>
  </si>
  <si>
    <t>Objective: To determine the relationship between quality of life and self-perceived health of the elderly treated in Health Services facilities of the elderly from a Colombian municipally Caribbean 2019. Method: A descriptive, cross-sectional study was carried out with an obervational design and a correlational pase, in a sample of 365 probabilistically selected older adults, who older adult program in the different health service providers from a Colombian municipally Caribbean. A sociodemographic survey, multicultural quality of life index and self-percei-ved health questionnaire were applied. Descriptive statistics and a multivariate logistic regression model were used. The confidentiality of the information, the anonymity of the participants, and the informed consent were filled out. Results: The overall perception of quality of life was 54%deficient as a regular, 56 % self-per-ceive their health as positive; and 44 % (161) as negative. The dimensions with the highest scores were Psychosocial Welfare (55%), Self-Care and Functioning (52 %), Interpersonal Functioning (52 %), Spiritual Satisfaction (60 %) and with lower score: physical well-being (51 %), social support (50) and personal satisfaction (51 %). Conclution: There was a relationship in the variables of quality of life and self-perceived health in terms of greater autonomy there is a good perception of health, but to greater physical deterioration, interpersonal dissatisfaction, poor social support older adults have low overall perception of their quality of life and health. © 2022, Universidad del Norte. All rights reserved.</t>
  </si>
  <si>
    <t>health; older adult; perception; quality of life</t>
  </si>
  <si>
    <t>Varela, LE, Gallego, EA., Percepción de la calidad de vida en un grupo de adultos mayores de Envigado (Colombia) (2015) Salud Soc Uptc, 2 (1), pp. 7-14; Censo nacional de población y vivienda-CNPV – 2018, , https://www.dane.gov.co/index.php/estadisti-cas-por-tema/demografia-y-poblacion; (2016), https://www.dane.gov.co/files/icer/2015/ICER_Bolivar_2015.pdf, DANE. Departamento de Bolívar; Villafuerte, J, Alonso, Y, Alonso Vila, Y, Alcaide, Y, Leyva, I, Arteaga, C Y., El bienestar y calidad de vida del adulto mayor, un reto para la acción intersectorial (2017) Medisur [Internet], 15 (1), pp. 85-92. , http://scielo.sld.cu/scielo.php?script=sci_arttext&amp;pi-d=S1727897X2017000100012&amp;lng=es, [citado 26 Sep. 2020]; Disponible en: doi.org; Elizabeth, Fajardo Ramos, Leonor, Córdoba Andrade, Elkin, Enciso Luna Jhon, Calidad de vida en adul-tos mayores: reflexiones sobre el contexto colombiano desde el modelo de Schalock y Verdugo (2016) Co-munidad y Salud [Internet], 14 (2), pp. 33-41. , http://ve.scielo.org/scielo.php?script=sci_arttext&amp;pid=S1690-32932016000200005&amp;lng=es, Dic [citado 20 Sep 2021]; (): Disponible en; Robles, AI, Rubio, B, De la Rosa, EV, Nava, AH, Generalidades y conceptos de calidad de vida en relación con los cuidados de salud (2016) El Residente, 11 (3), pp. 120-125; Marcial, N, Peña, BV, Escobedo, JS, Macías, A., Elementos objetivos y subjetivos en la calidad de vida de hogares rurales en Yehualtepec, Puebla (2016) Estud Soc, 48, pp. 278-303; Peláez, E, Débora, L, Delia, E., Factores asociados a la autopercepción de salud en adultos mayores (2015) Rev Cubana Salud Pública, 41 (4). , http://scielo.sld.cu/scielo.php?script=sci_arttext&amp;pid=S0864-34662015000400007&amp;lng=es, [Internet]. Dic [citado 20 Oct 2020]; Disponible en; Morcillo, V, Cáceres A de, L, Domínguez, P, Rodríguez, R, Torijano, M J., Desigualdades en la salud au-topercibida de la población española ˜ mayor de 65 años (2014) Gac.Sanit, 28 (16). , doi.org; Arleth, Herrera, Zuleima, Milanés, Eber, Pulido, Danny, Ramírez, Mónica, Pinillos, (2008) Confiabilidad de la escala Quality of Life Index (QLI-Sp) en pacientes hemodializados de dos unidades renales en Carta-gena, , [Tesis de grado]. Universidad de Cartagena, Facultad de Enfermería; Principios éticos para investigaciones en sa-lud, , https://www.wma.net/es/policies-post/declaracionde-helsinki-de-la-amm-princi-pios-eticos-para-las-investigaciones-medicas-en-seres-humanos/, Disponible en; (1993), Ministerio de Salud. Colombia. Resolución 8430 del 4 de octubre. de Por la cual se establecen las normas científicas, técnicas y administrativas para la investigación en salud; Olivi, A, Fadda, G, Pizzi, M., Evaluación de la calidad de vida de los adultos mayores en la ciudad de Val-paraíso (2015) Pap. Pob, 84, pp. 227-249; Vargas Ricardo, SR., Factores asociados a la calidad de vida relacionada con salud en adultos mayores Cartagena 2015, , [Tesis de maestría]. Universidad de Cartagena; Melguizo-Herrera, E, Ayala-Medrano, S, Grau-Coneo, M, Merchán-Duitama, A, Montes-Hernández, T, Payares-Martínez, C, Reyes-Villadiego, T., Calidad de vida de adultos mayores en centros de protección social en Cartagena (Colombia) (2014) Aquichan, 14 (3), pp. 537-548; Melguizo Herrera, E, Acosta López, A, Castellano, B., Factores asociados a la calidad de vida de adultos mayores. Cartagena (Colombia) (2012) Salud Barranquilla [Internet], 28 (2), pp. 261-268; Vargas-Ricardo, SS, Melguizo-Herrera, E., Calidad de vida en adultos mayores en Cartagena, Colombia (2017) Rev. Salud Pública, 19 (4), pp. 549-554. , https://doi.org/10.15446/rsap.v19n4.55806; Torres, WI, Flores, MM., Factores predictores del bienestar subjetivo en adultos mayor (2018) Revista de Psico-logía, 36 (1), pp. 9-48. , doi.org; Daza, Aponte, Cindy, Vaneska, Calidad de vida en la tercera edad (2015) Ajayu Órgano de Difusión Cien-tífica del Departamento de Psicología UCBSP, 13 (2), pp. 152-182. , http://www.scielo.org.bo/scielo.php?script=sci_arttext&amp;pid=S2077-21612015000200003&amp;ln-g=es&amp;tlng=es.2015, Recuperado el 20 de septiembre de 2021 de; Corugedo, MC, García, D, González, V, Crespo, GA, Calderín, M., Calidad de vida en adultos mayores del hogar de ancianos del municipio Cruces (2014) Rev Cubana Med Gen Integr, 30 (2), pp. 208-216; Muñoz, D, Gómez, O, Ballesteros, L., Factores correlacionados con la calidad de vida en pacientes diabé-ticos de bajo ingreso en Bogotá (2014) Rev. Salud Pública, 16 (2), pp. 246-259; Alfonso, FL, Soto, CD, Santos, FNA, Calidad de vida y apoyo social percibido en adultos mayores (2016) Rev Ciencias Médicas, 20 (1), pp. 47-53; Jocik-Hung, G, Taset-Álvarez, Y, Díaz-Coral, Y., Bienestar Subjetivo y Apoyo Social en el Adulto Mayor (2017) OLIMPIA. Revista de la Facultad de Cultura Física de la Universidad de Granma, 14 (46), pp. 306-326; Hassoun, H, Bermejo, JC., Villacieros, M., Relación entre bienestar espiritual, calidad de vida y sentido del sufrimiento en una población de ancianos religiosos residentes en centros españoles (2019) Gerokonos 2019. Gerokomos, 30 (3), pp. 124-129; Melguizo-Herrera, E, Ayala-Medrano, S, Grau-Coneo, M, Calidad de vida de adultos mayores en centros de protección social en Cartagena (Colombia) (2014) Aquichan, 14 (3), pp. 537-548; Flores-Herrera, BI, Castillo-Muraira, Y, Ponce-Martínez, D, Miranda-Posadas, C, Peralta-Cerda, EG, Du-rán-Badillo, T., Percepción de los adultos mayores acerca de su calidad de vida. Una perspectiva desde el contexto familiar (2018) Rev Enferm Inst Mex Seguro Soc, 26 (2), pp. 83-88; Arteaga, IA, Silvestre-Bedolla, DA., Calidad de vida en adultos mayores de Guerrero, México (2019) Univ. Salud, 21 (2), pp. 113-118. , doi.org; Tucumá, C. P., Autopercepción de la calidad de vida del adulto mayor en los centros de día de Bogotá (2019) Revista de Investigación e Innovación en Salud, 2, pp. 12-21. , http://revistas.sena.edu.co/index.php/rediis/article/view/2072, Recuperado el 9 de octubre de 2020 de; Cardona-Arias, JA, Giraldo, E, Maya, MA., Factores asociados con la calidad de vida relacionada con la salud en adultos mayores de un municipio colombiano, 2013 (2016) MÉD.UIS, 29 (1), pp. 17-27. , doi. org; Valdez-Huirache, MG, Álvarez-Bocanegra, C, Calidad de vida y apoyo familiar en adultos mayores a una unidad familiar (2018) Horiz. Sanitario [internet], 17 (2), pp. 113-121. , https://www.scielo.org.mx/scielo.php?scrip=sci_arttxt&amp;pid=2007-74592018000200113&amp;in-g=es, Abril [citado 10 oct 2020]; Disponi-ble en doi.org</t>
  </si>
  <si>
    <t>Usta Carrillo, A.; Universidad de SucreColombia; email: adeusta@hotmail.com</t>
  </si>
  <si>
    <t>2-s2.0-85132654783</t>
  </si>
  <si>
    <t>Pinzón-Sandoval E.H., Balaguera-López H.E., Becerra-Gonzalez M.E.</t>
  </si>
  <si>
    <t>57194001932;57208339001;57760686300;</t>
  </si>
  <si>
    <t>Phenological and physicochemical changes during fruit development in two peach cultivars in the high tropics [Cambios fenológicos y fisicoquímicos durante el desarrollo del fruto en dos cultivares de duraznero en trópico alto]</t>
  </si>
  <si>
    <t>https://www.scopus.com/inward/record.uri?eid=2-s2.0-85132636955&amp;doi=10.31910%2frudca.v25.n1.2022.1942&amp;partnerID=40&amp;md5=a73c83aa53de9054a9ebb8a01fbbf085</t>
  </si>
  <si>
    <t>Universidad Pedagógica y Tecnológica de Colombia, Facultad de Ciencias Agropecuarias, Boyacá, Tunja, Colombia; Universidad Nacional de Colombia, Facultad de Ciencias Agrarias, Departamento de Agronomía, Bogotá, Colombia</t>
  </si>
  <si>
    <t>Pinzón-Sandoval, E.H., Universidad Pedagógica y Tecnológica de Colombia, Facultad de Ciencias Agropecuarias, Boyacá, Tunja, Colombia; Balaguera-López, H.E., Universidad Nacional de Colombia, Facultad de Ciencias Agrarias, Departamento de Agronomía, Bogotá, Colombia; Becerra-Gonzalez, M.E., Universidad Pedagógica y Tecnológica de Colombia, Facultad de Ciencias Agropecuarias, Boyacá, Tunja, Colombia</t>
  </si>
  <si>
    <t>Several aspects of the development of the peach fruit under tropical conditions are unknown, this information allows agronomic practices to be carried out with technical criteria. Therefore, the objective was to determine the different changes and phenological changes of peach fruit depending on the Growing Degree Days (GDD) in the varieties ‘Dorado’ and ‘Rubidoux’, grown in the Colombian high tropics. This study randomly selected 51 trees and 100 flowers per plant that were in full flowering for sampling every 15 days until harvest to determine physical variables such as firmness, color index of the epidermis and pulp, and chemical properties such as soluble solids, titratable acidity, and respiratory rate. From full bloom to harvest, the Dorado and Rubidoux varieties took 1081.8 GDD (153 days) and 1667.1 GDD (205 days) respectively. The firmness increased in the two cultivars during phase 1 of development, then decreased until harvest. The color index of the epidermis and pulp increased during ripening, indicating yellow tones in the two varieties. The soluble solids increased continuously, with final values of 15.9 ± 0.9 and 15.5 ± 0.3 °Brix. The acidity increased during phase 2 and then decreased during ripening. The respiratory rate decreased between phase 1 and 3, with an increase in phase 2, which is related to the lignification of the endocarp in the two cultivars. These results contribute to the understanding of the development of the two peach cultivars under tropical conditions. © 2022 Universidad de Ciencias Aplicadas y Ambientales U.D.C.A. All Rights Reserved.</t>
  </si>
  <si>
    <t>Deciduous; Phenological characterization; Physicochemical characterization; Plant physiology; Prunus persica</t>
  </si>
  <si>
    <t>AFRICANO-PÉREZ, K.L., BALAGUERA-LÓPEZ, H.E., ALMANZA-MERCHÁN, P.J., CÁRDENASHERNÁNDEZ, J.F., HERRERA-ARÉVALO, A., Caracterización poscosecha del fruto de durazno [Prunus persica (L.) Bastch] cv. Dorado producido bajo condiciones de trópico alto (2016) Rev. Colombiana de Ciencias Hortícolas, 10 (2), pp. 232-240. , https://doi.org/10.17584/rcch.2016v10i2.5212; BONGHI, C., TRAINOTTI, L., BOTTON, A., TADIELLO, A., RASORI, A., ZILIOTTO, F., ZAFFALON, V., RAMINA, A., A microarray approach to identify genes involved in seed-pericarp crosstalk and development in peach (2011) BMC Plant Biology, 11, pp. 1-14. , https://doi.org/10.1186/1471-2229-11-107; BOUZAYEN, M., LATCHE, A., NATH, P., PECH, J.C., Mechanism of Fruit Ripening M (2010) Plant Developmental Biology - Biotechnological Perspectives, , https://doi.org/10.1007/978-3-642-02301-9_16, Pua, E.; Davey, M. (Eds). Springer (Berlin, Heidelberg); BROOKS, S.J., MOORE, J.N., MURPHY, J.B., Quantitative and qualitative changes in sugar content of peach genotypes [Prunus persica (L.) Batsch.] (1993) J. the American Society for Horticultural Science, 118 (1), pp. 97-100. , https://doi.org/10.21273/jashs.118.1.97; CASTRO, Á., PUENTES, G.A., Ciruelo y Duraznero (Prunus salicina Lindl.) - (Prunus persica (L.) Batsch.) (2012) Manual para el cultivo de frutales en el trópico, pp. 370-392. , Fischer, G. (Ed). Produmedios (Bogotá D.C); CEPEDA, M., VÉLEZ-SÁNCHEZ, J., BALAGUERA-LOPEZ, H., Analysis of growth and physicochemical changes in apple cv. Anna in a high-altitude tropical climate (2021) Rev. Colombiana De Ciencias Hortícolas, 15 (2), p. e12508. , https://doi.org/10.17584/rcch.2021v15i2.12508, A; CHAAR, J., ASTORGA, D., Determinación del requerimiento de frío y de calor en duraznero [Prunus persica (L.) Batsch.] mediante un modelo de correlación (2012) RIA: Revista Investigaciones Agropecuarias, 38 (3), pp. 289-298; CIRILLI, M., BASSI, D., CIACCIULLI, A., Sugars in peach fruit: A breeding perspective (2016) Horticulture Research, 3, pp. 1-12. , https://doi.org/10.1038/hortres.2015.67; DARDICK, C.D., CALLAHAN, A.M., CHIOZZOTTO, R., SCHAFFER, R.J., PIAGNANI, M.C., SCORZA, R., Stone formation in peach fruit exhibits spatial coordination of the lignin and flavonoid pathways and similarity to Arabidopsis dehiscence (2010) BMC Biology, 8, pp. 13-30. , https://doi.org/10.1186/1741-7007-8-13; DELA BRUNA, E., Curva de crescimento de frutos de pêssego em regiões subtropicais (2007) Rev. Brasileira de Fruticultura, 29 (3), pp. 685-689. , https://doi.org/10.1590/S0100-29452007000300050; DESNOUES, E., GIBON, Y., BALDAZZI, V., SIGNORET, V., GÉNARD, M., QUILOT-TURION, B., Profiling sugar metabolism during fruit development in a peach progeny with different fructose-to-glucose ratios (2014) BMC Plant Biology, 14, pp. 336-339. , https://doi.org/10.1186/s12870-014-0336-x; ETIENNE, A., GÉNARD, M., LOBIT, P., MBEGUIÉ-AMBÉGUIÉ, D., BUGAUD, C., What controls fleshy fruit acidity? A review of malate and citrate accumulation in fruit cells (2013) J. Experimental Botany, 64 (6), pp. 1451-1469. , https://doi.org/10.1093/jxb/ert035; FAMIANI, F., BATTISTELLI, A., MOSCATELLO, S., CRUZ-CASTILLO, J.G., WALKER, R.P., The organic acids that are accumulated in the flesh of fruits: occurrence, metabolism and factors affecting their contents – a review (2015) Rev. Chapingo, Serie Horticultura, 21 (2), pp. 97-128. , https://doi.org/10.5154/r.rchsh.2015.01.004; FAMIANI, F., CASULLI, V., BALDICCHI, A., BATTISTELLI, A., MOSCATELLO, S., WALKER, R.P., Development and metabolism of the fruit and seed of the Japanese plum Ozark premier (Rosaceae) (2012) J. Plant Physiology, 169 (6), pp. 551-560. , https://doi.org/10.1016/j.jplph.2011.11.020; FISCHER, G., CASIERRA-POSADA, F., VILLAMIZAR, C., Producción forzada de duraznero (Prunus persica (L.) Batsch) en el altiplano tropical de Boyacá (Colombia) (2011) Rev. Colombiana de Ciencias Hortícolas, 4 (1), pp. 19-32. , https://doi.org/10.17584/rcch.2010v4i1.1223; GALHO, A.S., LOPES, N.F., BACARIN, M.A., LIMA, M., Chemical composition and growth respiration in Psidium cattleyanum sabine fruits during the development cycle (2007) Rev. Brasileira de Fruticultura, 29 (1), pp. 61-66. , https://doi.org/10.1590/s0100-29452007000100014; HERNÁNDEZ, L.C., HERNÁNDEZ, G.M.S., Crecimiento y desarrollo del fruto de copoazú (Theobroma grandiflorum [Willd. Ex Spreng.] Schum.) en la Amazonia occidental Colombiana (2012) Agr. Col, 30 (1), pp. 95-102; LE DANTEC, L., CARDINET, G., BONET, J., FOUCHÉ, M., BOUDEHRI, K., MONFORT, A., POËSSEL, J.L., DIRLEWANGER, E., Development and mapping of peach candidate genes involved in fruit quality and their transferability and potential use in other Rosaceae species (2010) Tree Genetics and Genomes, 6 (6), pp. 995-1012. , https://doi.org/10.1007/s11295-010-0308-8; LIU, Z., MA, H., JUNG, S., MAIN, D., GUO, L., Developmental mechanisms of fleshy fruit diversity in Rosaceae (2020) Annual Review of Plant Biology, 71, pp. 547-573. , https://doi.org/10.1146/annurev-arplant-111119-021700; LO BIANCO, R., RIEGER, M., Partitioning of sorbitol and sucrose catabolism within peach fruit (2002) J. American Society for Horticultural Science, 127 (1), pp. 115-121. , https://doi.org/10.21273/jashs.127.1.115; MARIÑO-GONZÁLEZ, L.A., BUITRAGO, C.M., BALAGUERA-LOPEZ, H.E., MARTÍNEZ-QUINTERO, E., Effect of 1-methylcyclopropene and ethylene on the physiology of peach fruits (Prunus persica L.) cv. Dorado during storage (2019) Rev. Colombiana de Ciencias Hortícolas, 13 (1), pp. 46-54. , https://doi.org/10.17584/rcch.2019v13i1.8543; MARTINEZ-GONZÁLEZ, M., BALOIS-MORALES, R., ALIA-TEJACAL, I., CORTES-CRUZ, M., PALOMINO-HERMOSILLO, Y., LÓPEZ-GÚZMAN, G., Postharvest fruits: maturation and biochemical changes (2017) Rev. Mexicana de Ciencias Agrícolas, 8 (19), pp. 4075-4087. , https://doi.org/10.29312/remexca.v0i19.674; MATTEOLI, S., DIANI, M., MASSAI, R., CORSINI, G., REMORINI, D., A spectroscopy-based approach for automated nondestructive maturity grading of peach fruits (2015) IEEE Sensors J, 15 (10), pp. 5455-5464. , https://doi.org/10.1109/JSEN.2015.2442337; Estadísticas Agrícolas. Área, producción, rendimiento y participación municipal en el departamento por cultivo (2018), http://www.agronet.gov.co/estadistica/Paginas/default.aspx, Estadísticas Agrícolas. Disponible en internet desde: (con acceso el 12/08/2020); MIRANDA, D., CARRANZA, C., Caracterización, clasificación y tipificación de los sistemas de producción de caducifolios: ciruelo, duraznero, manzano y peral en zonas productoras de Colombia (2013) Los frutales caducifolios en Colombia. Situación actual, sistemas de cultivo y plan de desarrollo, pp. 87-113. , En: Miranda, D.; Fischer, G.; Carranza, C. (eds). Equilibrio Gráfico Editorial Ltda (Bogotá D.C); PAYASI, A., MISHRA, N.N., CHAVES, A.L.S., SINGH, R., Biochemistry of fruit softening: An overview (2009) Physiology and Molecular Biology of Plants, 15 (2), pp. 103-113. , https://doi.org/10.1007/s12298-009-0012-z; PINZÓN, E.H., CRUZ-MORILLO, A., FISCHER, G., Physiological aspects of peach (Prunus persica [L.] Batsch) in the high tropical zone: A review (2014) Rev. U.D.C.A Act. &amp; Div. Cient, 17 (2), pp. 401-411. , https://doi.org/10.31910/rudca.v17.n2.2014.243; PRASANNA, V., YASHODA, H.M., PRABHA, T.N., THARANATHAN, R.N., Pectic polysaccharides during ripening of mango (Mangifera indica L) (2003) J. Science of Food and Agriculture, 83 (11), pp. 1182-1186. , https://doi.org/10.1002/jsfa.1522; QUEVEDO, E., CASIERRA-POSADA, F., DARGHAN, A.E., Quality of peach fruits Jarillo cv. (Prunus persica L.) in Pamplona, Colombia (2018) Rev. Brasileira de Fruticultura, 40 (6), p. e040. , https://doi.org/10.1590/0100-29452018040; RODRIGUEZ, C.E., BUSTAMANTE, C.A., BUDDE, C.O., MÜLLER, G.L., DRINCOVICH, M.F., LARA, M.V., Peach fruit development: A comparative proteomic study between endocarp and mesocarp at very early stages underpins the main differential biochemical processes between these tissues (2019) Frontiers in Plant Science, 10 (715), pp. 1-19. , https://doi.org/10.3389/fpls.2019.00715; SILVA, D.F., SILVA, J.O., GONÇALVES, R., RIBEIRO, M., BRUCKNER, C., Curva de crescimento e padrão respiratório de frutos de genótipos de pessegueiro em região de clima subtropical (2013) Rev. Brasileira de Fruticultura, 35 (2), pp. 642-649. , https://doi.org/10.1590/S0100-29452013000200037; SLAUGHTER, D.C., CRISOSTO, C.H., TIWARI, G., Nondestructive determination of flesh color in clingstone peaches (2013) J. Food Engineering, 116 (4), pp. 920-925. , https://doi.org/10.1016/j.jfoodeng.2013.01.007</t>
  </si>
  <si>
    <t>2-s2.0-85132636955</t>
  </si>
  <si>
    <t>Can˜adas A.M., Espinosa P.F.F., Muñetón N.A.</t>
  </si>
  <si>
    <t>56303622000;55745361900;57652526400;</t>
  </si>
  <si>
    <t>Brauer configuration algebras defined by snake graphs and Kronecker modules</t>
  </si>
  <si>
    <t>10.3934/era.2022157</t>
  </si>
  <si>
    <t>https://www.scopus.com/inward/record.uri?eid=2-s2.0-85132512352&amp;doi=10.3934%2fera.2022157&amp;partnerID=40&amp;md5=e5109f7f594cbebdef7c26d369e4182f</t>
  </si>
  <si>
    <t>Departamento de Matemáticas, Universidad Nacional de Colombia, Edificio Yu Takeuchi 404, Kra 30 No 45–03, Bogotá, 11001000, Colombia; Escuela de Ingeniería Electrónica, Universidad Pedagógica y Tecnológica de Colombia, Calle 4 Sur No. 15–134, Boyacá, Sogamoso, 152210, Colombia</t>
  </si>
  <si>
    <t>Can˜adas, A.M., Departamento de Matemáticas, Universidad Nacional de Colombia, Edificio Yu Takeuchi 404, Kra 30 No 45–03, Bogotá, 11001000, Colombia; Espinosa, P.F.F., Escuela de Ingeniería Electrónica, Universidad Pedagógica y Tecnológica de Colombia, Calle 4 Sur No. 15–134, Boyacá, Sogamoso, 152210, Colombia; Muñetón, N.A., Departamento de Matemáticas, Universidad Nacional de Colombia, Edificio Yu Takeuchi 404, Kra 30 No 45–03, Bogotá, 11001000, Colombia</t>
  </si>
  <si>
    <t>Recently, C¸ anakc¸i and Schroll proved that associated with a string module M (w) there is an appropriated snake graph G. They established a bijection between the corresponding perfect matching lattice L (G) of G and the canonical submodule lattice L (M (w)) of M (w). We introduce Brauer configurations whose polygons are defined by snake graphs in line with these results. The developed techniques allow defining snake graphs, which after suitable procedures, build Kronecker modules. We compute the dimension of the Brauer configuration algebras and their centers arising from the different processes. As an application, we estimate the trace norm of the canonical non-regular Kronecker modules and some families of trees associated with some snake graphs classes. © 2022</t>
  </si>
  <si>
    <t>Auslander-Reiten quiver; Brauer configuration algebra; Kronecker algebra; Snake graph; trace norm</t>
  </si>
  <si>
    <t>This research was supported by the Alexander Zavadskij seminar on Representation of Algebras and Their Applications at the Universidad Nacional de Colombia.</t>
  </si>
  <si>
    <t>Can˜adas, A. M., Gaviria, I. D. M., Vega, J. D. C., Relationships between the Chicken McNugget problem, Mutations of Brauer configuration algebras and the advanced encryption standard (2021) Mathematics, 9, p. 1937. , https://doi.org/10.3390/math9161937, 1; Can˜adas, A. M., Angarita, M. A. O., Brauer configuration algebras for multimedia based cryptography and security applications (2021) Multimed. Tools Appl, 80, pp. 23485-23510. , https://doi.org/10.1007/s11042-020-10239-3, 2; Agudelo, N., Can˜adas, A. M., Gaviria, I. D. M., Espinosa, P. F. F., 0, 1 -Brauer configuration algebras and their applications in the graph energy theory (2021) Mathematics, 9, p. 3042. , https://doi.org/10.3390/math9233042, 3; Green, E. L., Schroll, S., Brauer configuration algebras: A generalization of Brauer graph algebras (2017) Bull. Sci. Math, 121, pp. 539-572. , https://doi.org/10.1016/j.bulsci.2017.06.001, 4; Schroll, S., Brauer graph algebras (2018) Homological Methods, Representation Theory, and Cluster Algebras, pp. 177-223. , https://doi.org/10.1007/978-3-319-74585-5, 5. in Springer; Propp, J., The combinatorics of frieze patterns and Markoff numbers (2020) Integers, 20, pp. 1-38. , https://doi.org/10.48550/arXiv.math/0511633, 6; C¸ anakc¸i, I., Schiffler, R., Cluster algebras and continued fractions (2018) Compos. Math, 54, pp. 565-593. , https://doi.org/10.1112/S0010437X17007631, 7; C¸ anakc¸i, I., Schiffler, R., Snake graphs and continued fractions (2020) Eur. J. Combin, 86, pp. 1-19. , https://doi.org/10.1016/j.ejc.2020.103081, 8; C¸ anakc¸i, I., Schiffler, R., Snake graphs calculus and cluster algebras from surfaces (2013) J. Algebra, 382, pp. 240-281. , https://doi.org/10.1016/j.jalgebra.2013.02.018, 9; C¸ anakc¸i, I., Schiffler, R., Snake graphs calculus and cluster algebras from surfaces II: Self-crossings snake graphs (2015) Math. Z, 281, pp. 55-102. , https://doi.org/10.1007/s00209-015-1475-y, 10; C¸ anakc¸i, I., Schiffler, R., Snake graphs calculus and cluster algebras from surfaces III: Band graphs and snake rings (2019) Int. Math. Res. Not. IMRN, pp. 1145-1226. , 11; C¸ anakc¸i, I., Schroll, S., Lattice bijections for string modules snake graphs and the weak Bruhat order (2021) Adv. Appl. Math, 126, p. 102094. , https://doi.org/10.1016/j.aam.2020.102094, 12; Andrews, G. E., (2010) The Theory of Partitions, , 13. Cambridge University Press, Cambridge UK; Sierra, A., The dimension of the center of a Brauer configuration algebra (2018) J. Algebra, 510, pp. 289-318. , https://doi.org/10.1016/j.jalgebra.2018.06.002, 14; Espinosa, P. F. F., (2021) Categorification of some integer sequences and its applications, , 15. Ph.D thesis, Universidad Nacional de Colombia, BTA, Colombia; Simson, D., (1992) Linear Representations of Partially Ordered Sets and Vector Space Categories, , 16. Gordon and Breach, London UK; Can˜adas, A. M., Gaviria, I. D. M., Espinosa, P. F. F., Brauer configuration algebras and Kronecker modules to categorify integer sequences (2022) ERA, 30, pp. 661-682. , https://doi.org/10.3934/era.2022035, 17</t>
  </si>
  <si>
    <t>Espinosa, P.F.F.; Escuela de Ingeniería Electrónica, Calle 4 Sur No. 15–134, Boyacá, Colombia; email: pedro.fernandez01@uptc.edu.co</t>
  </si>
  <si>
    <t>2-s2.0-85132512352</t>
  </si>
  <si>
    <t>Liu S.</t>
  </si>
  <si>
    <t>57754748200;</t>
  </si>
  <si>
    <t>Research on the Style of Art Works based on Deep Learning</t>
  </si>
  <si>
    <t>Journal of Advanced Transportation</t>
  </si>
  <si>
    <t>10.1155/2022/5433623</t>
  </si>
  <si>
    <t>https://www.scopus.com/inward/record.uri?eid=2-s2.0-85132359020&amp;doi=10.1155%2f2022%2f5433623&amp;partnerID=40&amp;md5=b7178eed55710ad1c3361cea792f1575</t>
  </si>
  <si>
    <t>Department of Fine Arts, Science and Technology College, Gannan Normal University, Jiangxi, Ganzhou, 341000, China</t>
  </si>
  <si>
    <t>Liu, S., Department of Fine Arts, Science and Technology College, Gannan Normal University, Jiangxi, Ganzhou, 341000, China</t>
  </si>
  <si>
    <t>In view of the unsatisfactory effect and major limitations of the style transfer of art works, this paper takes Chinese ink painting for the research subject. The obvious texture characteristics of Chinese ink painting are selected as the input of the Cycle Generative Adversarial Network (CycleGAN) model builder, and the relativistic evaluator is employed to improve the model loss function and the adversarial loss function. An improved art style transfer method of the CycleGAN model is proposed. The experiment shows that the improved CycleGAN model is efficient and feasible for style transfer. Compared with the traditional CycleGAN model, the proposed model performs better in GAN train and GAN test, with a higher average pass rate, which is an increase of nearly 10%. At the same time, with the increase of the number of iterations, the training time of the improved model is close to that of the original model, but the image of the improved model training is larger, which shows that it has more advantages. © 2022 Shulin Liu.</t>
  </si>
  <si>
    <t>Deep learning; Image enhancement; Textures; Art work; Ink paintings; Loss functions; Model builders; Network models; Pass rate; Relativistics; Research subjects; Texture characteristics; Transfer method; Generative adversarial networks</t>
  </si>
  <si>
    <t>Hahn, U., Pauwke, B., Visualizing climate change: An exploratory study of the effectiveness of artistic information visualizations (2021) World Art, 11 (1), pp. 95-119; Anna, G., Caccia, M., Bonizzoni, L., Gargano, M., Ludwig, N., Poldi, G., Martini, M., Deep inside the colour: How optical microscopy contributes to the elemental characterization of a painting (2020) Microchemical Journal, 155, pp. 104730-104732; Wang, D., Wang, D., Yan, C., Calculation and application of Xin'an painting school art style model (2020) Journal of Physics: Conference Series, 1651 (1), pp. 12033-12051; Gardini, E., Ferrarotti, M.J., Cavalli, A., Decherchi, S., Using principal paths to walk through music and visual art style spaces induced by convolutional neural networks (2021) Cognitive Computation, 13, pp. 1-13; Yang, Z., Classification of picture art style based on VGGNET (2021) Journal of Physics: Conference Series, 1774 (1), pp. 12043-12056; Ghani, D.A., Md Azahar, N.M.B., Fusion art style of Malaysian &amp; Japanese anime (2019) International Journal of Innovative Technology and Exploring Engineering, 8 (11S2), pp. 210-218; Chen, H., Chen, H., Luo, Y., The artistic style transfer from Shanghai modern landmark buildings images to Xiao Jiaochang New Year pictures based on deep learning (2020) Journal of Physics: Conference Series, 1678 (1), pp. 12083-12092; Daniel, Y., Doubled visions: Reflexivity, intermediality and co-creation in Clouzot's;and von Trier's and Leth's (2020) New Review of Film and Television Studies, 18 (4), pp. 452-479; Kang, D., Tian, F., Seo, S., Perceptually inspired real-time artistic style transfer for video stream (2017) Journal of Real-Time Image Processing, 13 (3), pp. 581-589. , 2-s2.0-84976287090; Ruder, M., Dosovitskiy, A., Brox, T., Artistic style transfer for videos and spherical images (2018) International Journal of Computer Vision, 126 (11), pp. 1199-1219. , 2-s2.0-85045742292; Zhu, C., Yan, W., Cai, X., Liu, S., Li, T.H., Li, G., Neural saliency algorithm guide bi-directional visual perception style transfer (2020) CAAI Transactions on Intelligence Technology, 5 (1), pp. 1-8; Cui, J., Liu, Y.Q., Lu, H.J., Cai, Q.Q., Tang, M.X., Qi, M., Gu, Z.Y., PortraitNET: Photo-realistic portrait cartoon style transfer with self-supervised semantic supervision (2021) Neurocomputing, 465, pp. 114-127; Saman, V., Skalli, W., Bonnet-Lebrun, A., Khalifé, M., A novel dataset and deep learning-based approach for marker-less motion capture during gait (2021) Gait &amp; Posture, 86, pp. 70-76; Plesters, J., Roy, A., Bomford, D., Interpretation of the magnified image of paint surfaces and samples in terms of condition and appearance of the picture (2013) Studies in Conservation, 27 (SUP1), pp. 3-176. , 2-s2.0-84975022986; Liliana Vargas Murcia, L., Painters in the splendor of tunja: Naming unrecognized artists to bring them out of anonymity (XVI and XVII centuries) (2017) Historia y Memoria, 15, pp. 49-72. , 2-s2.0-85030665669; Xie, W., Zhang, J., Lei, J., Li, Y., Jia, X., Self-spectral learning with GAN based spectral-spatial target detection for hyperspectral image (2021) Neural Networks, 142, pp. 375-387; Novaes Matheus, P., Carvalho, L.F., Lloret, J., Adversarial deep learning approach detection and defense against DDoS attacks in SDN environments (2021) Future Generation Computer Systems, 125, pp. 156-167; Chen, Y., Yang, W., Wang, K., Qin, Y., Huang, R., Zheng, Q., A neuralized feature engineering method for entity relation extraction (2021) Neural Networks, 141, pp. 249-260; Liang, Y., Peng, W., Zheng, Z.J., Silvén, O., Zhao, G., A hybrid quantum-classical neural network with deep residual learning (2021) Neural Networks, 143, pp. 133-147; Ruimin, F., Zhao, J., Wang, H., Yang, B., Feng, J., Shi, Y., Zhang, M., Wei, H., MoDL-QSM: Model-based deep learning for quantitative susceptibility mapping (2021) NeuroImage, 240, pp. 118376-118386; Xing, P., Zhao, J., Wang, H., Yang, B., Feng, J., Shi, Y., Zhang, M., Wei, H., Quantitative analysis of lithium in brine by laser-induced breakdown spectroscopy based on convolutional neural network (2021) Analytica Chimica Acta, 1178, pp. 338789-338799; Shen, Z., Yang, H., Zhang, S., Neural network approximation: Three hidden layers are enough (2021) Neural Networks, 141, pp. 160-173; Wang, Y., Pseudo-label conditional generative adversarial imputation networks for incomplete data (2021) Neural Networks, 141, pp. 395-403; Xie, J., Chen, S., Zhang, Y., Gao, D., Liu, T., Combining generative adversarial networks and multi-output CNN for motor imagery classification (2021) Journal of Neural Engineering, 18 (4), pp. 46026-46036; Yang, X., Guo, M., Lyu, Q., Ma, M., Detection and classification of damaged wheat kernels based on progressive neural architecture search (2021) Biosystems Engineering, 208, pp. 176-185; Fu, J., Li, W., Du, J., DSAGAN: A generative adversarial network based on dual-stream attention mechanism for anatomical and functional image fusion (2021) Information Sciences, 576, pp. 484-506; Takato, S., Shin, K., Hajime, N., Recommendation system based on generative adversarial network with graph convolutional layers (2021) Jaciii, 25 (4), pp. 389-396; Gourav, M., Adithya, V., Mazurowski Maciej, A., Normalization of breast MRIs using cycle-consistent generative adversarial networks (2021) Computer Methods and Programs in Biomedicine, 208. , 106225; Xiao, Y., Wu, J., Lin, Z., Cancer diagnosis using generative adversarial networks based on deep learning from imbalanced data (2021) Computers in Biology and Medicine, 135. , 104540</t>
  </si>
  <si>
    <t>Liu, S.; Department of Fine Arts, Jiangxi, China; email: 2012012@gnnu.edu.cn</t>
  </si>
  <si>
    <t>JATRD</t>
  </si>
  <si>
    <t>J Adv Transp</t>
  </si>
  <si>
    <t>2-s2.0-85132359020</t>
  </si>
  <si>
    <t>Castellanos-Rozo J., Galvis-López J.A., Hernández E.H.M., Merchán-Castellanos N.A.</t>
  </si>
  <si>
    <t>55917294200;57217164130;57218772008;57211112049;</t>
  </si>
  <si>
    <t>Biosolids as fertilizer in the tomato crop [Biossólidos como fertilizante na cultura do tomate] [Biosólidos como fertilizante en el cultivo de tomate]</t>
  </si>
  <si>
    <t>Revista de la Facultad de Agronomia</t>
  </si>
  <si>
    <t>e223931</t>
  </si>
  <si>
    <t>10.47280/RevFacAgron(LUZ).v39.n2.09</t>
  </si>
  <si>
    <t>https://www.scopus.com/inward/record.uri?eid=2-s2.0-85132243977&amp;doi=10.47280%2fRevFacAgron%28LUZ%29.v39.n2.09&amp;partnerID=40&amp;md5=7e65b8ab6fefb531e872fb254f758f32</t>
  </si>
  <si>
    <t>Universidad de Boyacá, Carrera 2ª Este No. 64-169, Boyacá, Tunja, 150003, Colombia; Universidad Pedagógica y Tecnológica de Colombia, Avenida Central del Norte 39-115, Boyacá, Tunja, 150003, Colombia; Universidad El Bosque, Carrera 9 No. 131a-20, Bogotá, 150003, Colombia</t>
  </si>
  <si>
    <t>Castellanos-Rozo, J., Universidad de Boyacá, Carrera 2ª Este No. 64-169, Boyacá, Tunja, 150003, Colombia; Galvis-López, J.A., Universidad de Boyacá, Carrera 2ª Este No. 64-169, Boyacá, Tunja, 150003, Colombia; Hernández, E.H.M., Universidad Pedagógica y Tecnológica de Colombia, Avenida Central del Norte 39-115, Boyacá, Tunja, 150003, Colombia; Merchán-Castellanos, N.A., Universidad El Bosque, Carrera 9 No. 131a-20, Bogotá, 150003, Colombia</t>
  </si>
  <si>
    <t>The sludge produced in wastewater treatment plants constitutes a potential alternative to replace traditional fertilizers and reduce costs in agricultural activities. The objective of this work was to compare the fertilizing effect of the sludge produced in the wastewater treatment plant of Sotaquirá-Colombia, with the fertilizers traditionally used on the tomato crop (Solanum lycopersicum L). For this, the sludge was previously stabilized with two different treatments: dehydration and the addition of CaO. Subsequently, four treatments were applied to the tomato seedlings, 135 g.kg-1 of dehydrated biosolid, 135 g.kg-1 biosolid stabilized with CaO, 135 g.kg-1 of ABIMGRA®, 135 g.kg-1 of naturcomplet®-G, and greenhouse soil without biosolids. The height of the plant, the fresh and dry mass, foliar area, and fruits per plant, were measured at 0, 30, 60 and 90 days after sowing. In tomato fruits, the concentrations of heavy metals, coliforms, helminth eggs, somatic phages, and Salmonella sp., were determined. The dehydrated biosolids had a significant effect on the size, the fresh mass, foliar area, and the number of fruits per plant, compared to the alkaline biosolids. The dry mass of the plants (120 g. plant-1) was similar to traditional fertilizers and biosolids. Tomatoes produced with biosolids had low levels of heavy metals and an absence of pathogenic microorganisms. In conclusion, the biosolid obtained by dehydration in Sotaquirá can be used as a potential fertilizer in tomato cultivation. © The Authors, 2021, Published by the Universidad del Zulia.</t>
  </si>
  <si>
    <t>Amendments; Innocuous; Pathogens; Sewage sludge; Solanum lycopersicum</t>
  </si>
  <si>
    <t>This work was supported financially by the University of Boyacá, Tunja, Colombia. We especially thank the students of the Environmental Engineering program Juan Carlos Villamil and Veronica Monroy for their collaboration in this research.</t>
  </si>
  <si>
    <t>(2020) Compuesto ABIMGRA®, , http://abimgra.com/site/, the Internet at; (2020), https://agro.bayer.co/cultivos/tomate, the Internet at; Andersen, E., Ali, S., Byamukama, E., Yen, Y., Nepal, M., Disease resistance mechanisms in plants (2018) Genes, 9 (7), p. 339. , https://doi.org/10.3390/genes9070339; De Gauggel, Arévalo, Castellano, M., (2009) Manual de fertilizantes y enmiendas, , https://www.se.gob.hn/media/files/media/Modulo_6_Manual_Fertilizantes_y_Enmiendas..pdf, the Internet at; Barrow, N.J., The effects of pH on phosphate uptake from the soil (2017) Plant and Soil, 410 (1-2), pp. 401-410. , https://doi.org/10.1007/s11104-016-3008-9; Bojacá, C.R., Villagrán, E., Gil, R., Franco, H., (2019) El riego y la fertilización en el cultivo del tomate, , https://doi.org/10.2307/j.ctvc5pd2j, Universidad Jorge Tadeo Lozano; Castellano, J., (2011) Manual de producción de tomate de invernadero, , Intagri Ed, Celaya, México. ISBN:978-607-95302-0-4; Castellanos-Rozo, J., Galvis López, J.A., Merchán Castellanos, N.A., Manjarres Hernández, E.H., Rojas, A.L., Assessment of two sludge stabilization methods in a wastewater treatment plant in Sotaquirá, Colombia (2020) Universitas Scientiarum, 25 (1), pp. 17-36. , https://doi.org/10.11144/JAVERIANA.SC25-1.AOTS; Castellanos-Rozo, J., Merchán Castellanos, N.A., Galvis, J., Manjarres Hernández, E.H., Dehydration of sludges in drying beds and influence on the biological activity of microorganisms (2018) Gestion Ambiental, 21 (2), pp. 242-251. , https://doi.org/10.15446/ga.v21n2.75876; Chow, H.Y., Pan, M., Fertilization value of biosolids on nutrient accumulation and environmental risks to agricultural plants (2020) Water, Air, Soil &amp; Pollution, 231 (12), pp. 1-13. , https://doi.org/10.1007/s11270-020-04946-8; Dad, K., Wahid, A., Khan, A., Anwar, A., Ali, M., Sarwar, N., Gulshan, A.B., Nutritional status of different biosolids and their impact on various growth parameters of wheat (Triticum aestivum L.) (2018) Saudi Journal of Biological Sciences, 26 (7), pp. 1423-1428. , https://doi.org/10.1016/j.sjbs.2018.09.001; Di Rienzo, J.A., Casanoves, F., Balzarini, M.G., Gonzalez, L., Tablada, M., Robledo, C.W., (2020) InfoStat versión 2020, , https://www.infostat.com.ar/, Centro de Transferencia InfoStat, FCA, Universidad Nacional de Córdoba, Argentina; (1982) Method 120.1: Conductance (Specific Conductance, µmhos 25 °C) by Conductivity Meter, , https://www.epa.gov/sites/default/files/2015-08/documents/method_120-1_1982.pdf; (1996) Method 3050b. Acid digestion of sediments, sludges, and soils, , https://www.epa.gov/sites/default/files/2015-06/documents/epa-3050b.pdf; (2004) Method 9045 D. Soil and waste pH, , https://www.epa.gov/sites/default/files/2015-12/documents/9045d.pdf, Washington, DC; (2006) Method 1682: Salmonella in sewage sludge (biosolids) by modified semisolid Rappaport-Vassiliadis (MSRV) Medium, , https://www.epa.gov/sites/production/files/201508/documents/method_1682_2006.pdf; García Galvis, J., Ballesteros, M.I., Evaluación de los parámetros de calidad para la determinación de fósforo disponible en suelos (2006) Revista Colombiana de Química, 35 (1), pp. 81-89. , http://www.scielo.org.co/scielo.php?script=sci_abstract&amp;pid=S0120-28042006000100008&amp;lng=en&amp;nrm=is&amp;tlng=es; Gardner, F.P., Pearce, R.B., Mitchell, R.L., (2003) Physiology of crop plants, p. 326. , https://www.cabdirect.org/cabdirect/abstract/20043025286, Blackwell, Iowa; Giannakis, I., Emmanouil, C., Mitrakas, M., Manakou, V., Kungolos, A., Chemical and ecotoxicological assessment of sludge-based biosolids used for corn field fertilization (2020) Environmental Science and Pollution Research, 28, pp. 3797-3809. , https://doi.org/10.1007/s11356-020-09165-6; Hansen, J. J., Warden, P. S., Margolin, A. B., Inactivation of adenovirus type 5, rotavirus WA and male specific coliphage (MS2) in biosolids by lime stabilization (2007) International Journal of Environmental Research and Public Health, 4 (1), pp. 61-67. , https://doi.org/10.3390/ijerph2007010010; Hernández, A., Quero, A., Salvador, J., Rodríguez, M., Velázquez, S., Jiménez, L., Phenology, biomass and growth analysis in forage sorghum cultivars for highplateaus (2018) Agronomía Costarricense, 42 (2), pp. 107-117. , https://www.scielo.sa.cr/pdf/ac/v42n2/0377-9424-ac-42-02-107.pdf; Herrera, E.M., Pérez, L.F., Effect of the liming on the soil chemical properties and the development of tomato crop in Sucre-Colombia (2020) Journal of Applied Biotechnology and Bioengineering, 7 (2), pp. 87-93; Ibenyassine, K., Mhand, R.A., Karamoko, Y., Anajjar, Ennaj, M.M., Bacterial pathogens recovered from vegetables irrigated by wastewater in Morocco (2007) Journal of Environmental Health, 69 (10), pp. 47-51. , B., Chouibani. M., and, PMID: 17583296; (2011) Soil quality. Determination of Boro NTC 5404, , https://tienda.icontec.org/gp-calidad-del-suelo-determinacion-de-boro-ntc5404-2011.html, Bogotá DC; (2006) Calidad del suelo. Determinación del carbono orgánico, , https://1library.co/document/zwr609vy-ntc-determinacion-de-materia-organica.html, NTC 5403; (2013) Standard test method for laboratory determination of water (moisture) content of soil and rock by mass, , https://docplayer.es/17193257-Norma-tecnica-colombiana-1495.html, NTC 1495; Julca Otiniano, A., Meneses-Florián, L., Blas-Sevillano, R., Bello Amez, S., Organic matter, importance, experiences and its role in agriculture (2006) Idesia, 24, pp. 49-61. , http://dx.doi.org/10.4067/S0718-34292006000100009; Lasobras, J., Dellunde, J., Jofre, J., Lucena, F., Occurrence and levels of phages proposed as surrogate indicators of enteric viruses in different types of sludges (1999) Journal of Applied Microbiology, 86, pp. 723-729. , https://doi.org/10.1046/j.1365-2672.1999.00722.x; Li, L., Zou, Y., Induction of disease resistance by salicylic acid and calcium ion against Botrytis cinerea in tomato (Lycopersicon esculentum) (2017) Emirates Journal of Food &amp; Agriculture, 29 (1), pp. 78-82. , https://doi.org/10.9755/ejfa.2016-10-1515; Méndez, J.M., Jiménez, B.E., Barrios, J.A., Improved alkaline stabilization of municipal wastewater sludge (2002) Water Science Technology, 46 (10), pp. 139-146. , https://doi.org/10.2166/wst.2002.0312; (2014) Decreto 1287 del 10 de julio del 2014. Criterios para el uso de biosólidos generados en plantas de tratamiento de aguas residuales municipales, , https://www.suin-juriscol.gov.co/viewDocument.asp?id=1259502, Bogotá; (2020), https://www.naturezza.com.co/productos/54/naturcomplet-g, (18 October of). Naturcomplet G. the Internet at; Opala, P.A., Odendo, M., Muyekho, F.N., Effects of lime and fertilizer on soil properties and maize yields in acid soils of Western Kenya (2018) African Journal of Agricultural Research, 13 (13), pp. 657-663. , http://41.204.161.159/handle/123456789/2001; Orozco, L., Rico, R.E., Fernandez, E.E., Microbiological profile of greenhouses in a farm producing hydroponic tomatoes (2008) Journal of Food Protection, 1, pp. 60-65. , https://doi.org/10.4315/0362-028X-71.1.60; Otieno, P.C., Nyalala, S., Wolukau, J., Optimization of biosolids as a substrate for tomato transplant production (2020) Advances in Horticultural Science, 34 (3), pp. 313-323. , https://doi.org/10.13128/ahsc-8118; Rachel, M., Ducan, M., (1996) Analysis of wastewater for use in agriculture. A laboratory manual of parasitological and bacteriological techniques, , https://www.who.int/water_sanitation_health/wastewater/labmanual.pdf?ua=, the Internet at; Romanos, D., Nemer, N., Khairallah, Y., Abi Saab, M.T., Assessing the quality of sewage sludge as an agricultural soil amendment in Mediterranean habitats (2019) International Journal of Recycling of Organic Waste in Agriculture, 8 (1), pp. 377-383. , https://doi.org/10.1007/s40093-019-00310-x; Santos, D.S., Teshima, E., Furiam, D.S., Araújo, R.A., Rodrigues-Da Silva, C.M., Efeito da secagem em leito nas características físico-químicas e microbiológicas de lodo de reator anaeróbio de fluxo ascendente usado no tratamento de esgoto sanitário (2017) Engenharia Sanitaria e Ambiental, 22 (2), pp. 341-349. , http://dx.doi.org/10.1590/s1413-41522016100531; Sharma, A., Soares, C., Sousa, B., Martins, M., Kumar, V., Shahzad, B., Sidhu, G., Zheng, B., Nitric oxide-mediated regulation of oxidative stress in plants under metal stress: a review on molecular and biochemical aspects (2020) Physiologia plantarum, 168 (2), pp. 318-344. , https://doi.org/10.1111/ppl.13004; Silva Leal, J., Bedoya Ríos, D., Torres Lozada, P., Efecto del secado térmico y el tratamiento alcalino en las características microbiológicas y químicas de biosólidos de plantas de tratamiento de aguas residuales domésticas (2013) Química Nova, 36 (2), pp. 207-214. , https://doi.org/10.1590/S0100-40422013000200002; Silva Leal, J., Bedoya Ríos, D., Torres Lozada, P., Evaluation of potential application disinfecting of biosolids on radish cultive (2013) Acta Agronómica, 62 (2), pp. 155-164. , https://revistas.unal.edu.co/index.php/acta_agronomica/article/view/30010/43005; Torres, L.P., Madera, P.C., Silva, J., Eliminating pathogens in biosolids by alkaline stabilization (2009) Acta Agronómica, 58 (3), pp. 197-205. , https://revistas.unal.edu.co/index.php/acta_agronomica/article/view/11516/12174; Torres, P., Silva, J., Parra, B., Cerón, V., Madera, C., Influencia de la aplicación de biosólidos sobre el suelo, la morfología y productividad del cultivo de caña de azúcar (2015) Revista U.D.C.A Actualidad &amp; Divulgación Científica, 18 (1), pp. 69-79. , https://doi.org/10.31910/rudca.v18.n1.2015.455; Trebolazabala, J., Maguregui, M., Morillas, H., García-Fernández, Z., De Diego, A., Madariaga, J.M., Uptake of metals by tomato plants (Solanum lycopersicum) and distribution inside the plant: Field experiments in Biscay (Basque Country) (2017) Journal of Food Composition and Analysis, 59, pp. 161-169. , https://doi.org/10.1016/j.jfca.2017.02.013; Utria, E., Cabrera, J.A., Reynaldo, I.M., Morales, D., Fernández, A.M., Toledo, E., Agricultural utilization of the biosolids and influence in the tomato crop (Lycopersicon esculentum Mill) (2008) Revista Chapingo Serie Horticultura, 14 (1), pp. 33-39. , http://www.scielo.org.mx/pdf/rcsh/v14n1/v14n1a5.pdf; Wang, H.F., Takematsu, N., Ambe, S., Effects of soil acidity on the uptake of trace elements in soybean and tomato plants (2000) Applied Radiation and Isotopes, 52 (4), pp. 803-811. , https://doi.org/10.1016/S0969-8043(99)00153-0</t>
  </si>
  <si>
    <t>Castellanos-Rozo, J.; Universidad de Boyacá, Carrera 2ª Este No. 64-169, Boyacá, Colombia; email: joscastellanos@uniboyaca.edu.co</t>
  </si>
  <si>
    <t>Rev. Facul. Agron.</t>
  </si>
  <si>
    <t>2-s2.0-85132243977</t>
  </si>
  <si>
    <t>Gómez-Rossi A.</t>
  </si>
  <si>
    <t>57730044900;</t>
  </si>
  <si>
    <t>The War of Words: The Subversive Use of “Christ the King” and the Otherworldly Politics of the Catholic Laity in Mexico, 1925–1929</t>
  </si>
  <si>
    <t>International Journal of Religion and Spirituality in Society</t>
  </si>
  <si>
    <t>10.18848/2154-8633/CGP/v12i01/195-211</t>
  </si>
  <si>
    <t>https://www.scopus.com/inward/record.uri?eid=2-s2.0-85131421954&amp;doi=10.18848%2f2154-8633%2fCGP%2fv12i01%2f195-211&amp;partnerID=40&amp;md5=9f38047acb57faf68cd40c94d33fcb0f</t>
  </si>
  <si>
    <t>Instituto Universitario Boulanger, Mexico</t>
  </si>
  <si>
    <t>Gómez-Rossi, A., Instituto Universitario Boulanger, Mexico</t>
  </si>
  <si>
    <t>The establishment of the Feast of Christ the King on New Year’s Eve, 1925, can be understood as a political statement aimed at censuring political changes in Europe and the Western hemisphere wrought by World War I (1914– 1918). The disorder brought on by the collapse of the German empire, the dissolution of the Austro-Hungarian and Ottoman Empires, along with the establishment of communist USSR and republican governments in several European countries, forced the Papacy to look at itself and the message of the Church as a model of leadership in a world that appeared anarchic. To counter political regimes antagonistic toward Catholicism and institute a new political program, Pius XI enunciated, in Quas Primas, that Christ should be recognized as the king of this world and sovereign over all nations. Christ the King was to be the symbol that negated political regimes hostile to Catholicism. Mexico was one such country attempting to curb Catholicism’s political influence. Under the slogan “Long Live Christ, the King!” the laity developed a political message and rallying point to fight the anticlerical government of Mexico. This article explores the meanings of the phrase and its link to the beliefs of the detractors of Plutarco Elías Calles during the Cristero War. Analyzing the words and their various meanings, this article intends to explain the importance of Catholicism and the laity’s particular brand of faith in Christ in the fight against the Mexican government. © Common Ground Research Networks, Alfonso Gómez-Rossi, All Rights Reserved</t>
  </si>
  <si>
    <t>Catholicism; Christ the king; Cristeros; Mexico; Performative actions</t>
  </si>
  <si>
    <t>Arroyo, José Adolfo, (2016) Memorias de un sacerdote cristero [Memoirs of a Cristero Priest], , Mexico City: Universidad Nacional Autónoma de México; Aspe Armella, María Luisa, La formación social y política de los católicos mexicanos (2013), La Acción Católica Mexicana y la Unión Nacional de Estudiantes Católicos [The Social and Political Formation of Mexican Catholic Action and the National Union of Catholic Students]. Mexico City: Universidad Iberoamericana; Austin, John Langshaw, (2020) How to Do Things with Words, , New York: Barakaldo Books; Encyclicals (2005) Holly See, , http://w2.vatican.va/content/benedict-xvi/en/encyclicals/documents/hf_ben-xvi_enc_20051225_deus-caritas-est.html; (1928), https://chroniclingamerica.loc.gov/lccn/sn85042243/1928-03-22/ed1/seq-1/#date1=1928&amp;index=15&amp;rows=20&amp;words=Jalisco&amp;searchType=basic&amp;sequence=0&amp;state=&amp;date2=1928&amp;proxtext=jalisco&amp;y=0&amp;x=0&amp;dateFilterType=yearRange&amp;page=1, Two Trains Reported Dynamited and Attacked in Jalisco Vicinity. March 22, 1928; Blancarte, Roberto J., Introducción” [Introcution] (1996) El pensamiento social de los católicos mexicanos [The Social Thought of Mexican Catholics], pp. 98-207. , edited by Roberto J. Blancarte, Mexico City: Fondo de Cultura Económica; Campo, P., Jesucristo, Rey” [Jesus Christ, the King] (1934) Albores, 3, pp. 16-50; López, Campos, Patricia, Xóchitl, Caballero, Diego Martín Velázquez, Schmidt, Samuel, (2020) Intermarium: The Anti-Communist Catholic Strategy in Twentieth-Century Mexico, , http://www.derechos.org/nizkor/biblio/intermarium.html, Mexico City: Equipo Nizcor and Drechos Humanos; Chappel, James, (2018) Catholic Modern: The Challenge of Totalitarianism and the Remaking of the Church, , London: Harvard University Press; (1927), Train Robbery Rebel Gesture. March 22, 1927; Copeland, M. Shawn, (2015) Education and Life, the Good Life, and Eternal Life. Lonergan Workshop 27, , Boston: Lonergan Institute; Coulombe, Charles A., (2008) Puritan’s Empire: A Catholic Perspective on American History, , Arcadia, CA: Tumblar House; (1926) Douglas Daily Dispatch, , https://chroniclingamerica.loc.gov/lccn/sn84020064/1926-10-01/ed-1/seq-5/#date1=1926&amp;index=0&amp;rows=20&amp;words=bishops+Mexico&amp;searchType=basic&amp;sequence=0&amp;state=&amp;date2=1926&amp;proxtext=mexico+bishops+&amp;y=0&amp;x=0&amp;dateFilterType=yearRange&amp;page=1, Mexican Consul General Denies Calles Tyranny. October 1, 1926]; (1932), Por lanzar vivas a Cristo Rey son multadas en Esp [Fined for Shouting Long Live, Christ the King]. April 26, 1932; (1926), Contra la blasfemia [Against Blasphemy]. August 20, 1926; (1927), Muriendo por Cristo Rey [Dying for Christ the King]. February 11, 1927; (1925), https://chroniclingamerica.loc.gov/lccn/sn95060694/1925-10-24/ed-1/seq-6/#date1=1925&amp;index=2&amp;rows=20&amp;words=Aguascalientes&amp;searchType=basic&amp;sequence=0&amp;state=&amp;date2=1925&amp;proxtext=+AGUASCALIENTES&amp;y=0&amp;x=0&amp;dateFilterType=yearRange&amp;page=1, Los católicos de Aguas Calientes se parapetan [Catholics in Aguas Calientes Defend Themselves]. April 2, 1925; Eliade, Mircea, (1981) Lo sagrado y lo profano [The Sacred and the Profane], , Madrid: Guadarrama; Ellman, Lacy Clark, How to Practice Breath Prayer A Sacred Journey, , https://www.asacredjourney.net/how-to-practice-breath-prayer/, n.d. (blog); (1926), https://chroniclingamerica.loc.gov/lccn/sn83045462/1926-11-02/ed-1/seq-7/#date1=1926&amp;index=0&amp;rows=20&amp;words=CHARGE+POLICE+PRIESTS&amp;searchType=basic&amp;sequence=0&amp;state=&amp;date2=1926&amp;proxtext=POLICE+CHARGE+PRIESTS&amp;y=0&amp;x=0&amp;dateFilterType=yearRange&amp;page=1, Police Charge Priests Holding Masses in Homes. November 6, 1926; (1926), https://chroniclingamerica.loc.gov/lccn/sn83045462/1926-11-01/ed-1/seq-2/#date1=1926&amp;index=7&amp;rows=20&amp;words=Christ+feast+King&amp;searchType=basic&amp;sequence=0&amp;state=&amp;date2=1926&amp;proxtext=feast+of+Christ+the+King&amp;y=0&amp;x=0&amp;dateFilterType=yearRange&amp;page=1, Feast of Christ Celebrated Here. November 1, 1926; (1927), https://chroniclingamerica.loc.gov/lccn/sn83045462/1927-01-01/ed-1/seq-1/#date1=1927&amp;index=0&amp;rows=20&amp;words=PILGRIMS+POPE+RECEIVES&amp;searchType=basic&amp;sequence=0&amp;state=&amp;date2=1927&amp;proxtext=pope+receives+pilgrims&amp;y=0&amp;x=0&amp;dateFilterType=yearRange&amp;page=1, Pope Receives Pilgrims. January 1, 1927; (1931), https://chroniclingamerica.loc.gov/lccn/sn83045462/1931-10-26/ed-1/seq-6/#date1=1931&amp;index=0&amp;rows=20&amp;words=CHRIST+KING+MEXICANS&amp;searchType=basic&amp;sequence=0&amp;state=&amp;date2=1931&amp;proxtext=mexicans+christ+the+king&amp;y=0&amp;x=0&amp;dateFilterType=yearRange&amp;page=1, Mexicans Celebrate Day of Christ, the King. October 26, 1931; Ferrer, Manuel, Instituciones y hombres” [Institutions and Men] (1929) Revista Católica de Cuestiones Sociales [Catholic Journal on Social Questions], , January, 1929; Fosselman, John, Viva Cristo Rey!” [Long Live Christ, the King!] (1954), Oxnard Press Courier, December 31, 1954; García-Rivera, Alex, (1995) St. Martin de Porres: The Little Stories and the Semiotics of Culture, , New York: Orbis Books, Maryknoll; Goizueta, Robert S., What the Big Story Leaves Out (1997) Cross Currents, 46 (4), pp. 562-564. , https://www.bc.edu/bc-web/schools/mcas/departments/theology/people/retired-faculty/roberto-goizueta.html; Graham, Ron, (2007) Sentence Prayer, , https://www.simplybible.com/f455-pprov-sentence-prayer.htm#:~:text=The%20Bible%20clearly%20shows%20us,sentence%20is%20an%20effective%20prayer, simplybible.com; (2013), https://gravitycenter.com/practice/breath-prayer/, 2021. “Breath Prayer. gravitycenter.com; Houlihan, Patrick J., (2015) Catholicism and the Great War: Religion and Everyday Life in Germany and Austria-Hungary, 1914-1922, , Cambridge: Cambridge University Press; (1926), https://chroniclingamerica.loc.gov/lccn/sn82015313/1926-08-02/ed-1/seq-10/#date1=1926&amp;index=0&amp;rows=20&amp;words=Calles+love+Love&amp;searchType=basic&amp;sequence=0&amp;state=&amp;date2=1926&amp;proxtext=LOVE+FOR+CALLES&amp;y=16&amp;x=10&amp;dateFilterType=yearRange&amp;page=1, 1926a. “Love for Calles. August 2; (1926), https://chroniclingamerica.loc.gov/lccn/sn82015313/1926-08-02/ed-1/seq-10/#date1=1926&amp;index=0&amp;rows=20&amp;words=CHURCH+THINKS+WIN&amp;searchType=basic&amp;sequence=0&amp;state=&amp;date2=1926&amp;proxtext=THINKS+CHURCH+WILL+WIN&amp;y=0&amp;x=0&amp;dateFilterType=yearRange&amp;page=1, 1926b. “Thinks Church Will Win. August 2; (1927), https://chroniclingamerica.loc.gov/lccn/sn82015313/1927-03-21/ed-1/seq-5/#date1=1927&amp;index=0&amp;rows=20&amp;words=AMERICANS+LOOTED+TRAIN&amp;searchType=basic&amp;sequence=0&amp;state=&amp;date2=1927&amp;proxtext=AMERICANS+LOOTED+TRAIN&amp;y=0&amp;x=0&amp;dateFilterType=yearRange&amp;page=1, Americans on Looted Train. March 21, 1927; (1928), https://chroniclingamerica.loc.gov/lccn/sn82015313/1928-07-30/ed-1/seq-4/#date1=1928&amp;index=0&amp;rows=20&amp;words=About+Mexico+Truth&amp;searchType=basic&amp;sequence=0&amp;state=&amp;date2=1928&amp;proxtext=TRUTH+ABOUT+MEXICO&amp;y=0&amp;x=0&amp;dateFilterType=yearRange&amp;page=1, The Truth about Mexico. July 30, 1928; (1931), https://chroniclingamerica.loc.gov/lccn/sn82015313/1931-10-14/ed-1/seq-10/#date1=1931&amp;index=0&amp;rows=20&amp;words=ASSEMBLY+JESUIT+SPANISH&amp;searchType=basic&amp;sequence=0&amp;state=&amp;date2=1931&amp;proxtext=SPANISH+ASSEMBLY+JESUIT&amp;y=0&amp;x=0&amp;dateFilterType=yearRange&amp;page=1, Spanish Assembly in a Riot on Jesuit Vote. October 14, 1931; (1935), https://chroniclingamerica.loc.gov/lccn/sn82015313/1935-05-06/ed-1/seq-9/#date1=1935&amp;index=11&amp;rows=20&amp;words=headed+HEADING+Mexico+MEXICO&amp;searchType=basic&amp;sequence=0&amp;state=&amp;date2=1935&amp;proxtext=MEXICO+HEADING&amp;y=0&amp;x=0&amp;dateFilterType=yearRange&amp;page=1, Mexico—Where Is It Heading May 7, 1935; Issel, William, ‘The Priesthood of the Layman’: Catholic Action in the Archdiocese of San Francisco (2014) Empowering the People of God: Catholic Action before and after Vatican II, pp. 1510-2101. , edited by Jeremy Bonner, Mary Beth Fraser Connolly, and Christopher Denny, New York: Fordham University; (1927) Wounded Left in Cars to Burn, , April 21, 1927; Kinsolving, Carey, (2014) Why Does the Bible Call Jesus ‘The Word’?, , https://www.creators.com/read/kids-talk-about-god/03/14/why-does-the-bible-call-jesus-the-word, creators.com, March 3, 2014; (1928) El apostolado de Cristo en el reino de Cristo” [The Apostolate of Christ in the Kingdom of Christ], , January 5, 1928; (1927), La persecución sectaria en Méjico [Sectarian Persecution in Mexico]. November 9, 1927; (1926) La persecusión religiosa en Méjico” [The Religious Persecution in Mexico], , November 6, 1926; (1899) Papal Encyclicals Online, , https://www.papalencyclicals.net/leo13/l13teste.htm, 2020. “Testem Benevolentiae Nostrae. February 20, 2020; (1925), https://chroniclingamerica.loc.gov/lccn/sn82014519/1925-12-24/ed-1/seq-13/#date1=1925&amp;index=0&amp;rows=20&amp;words=DOOR+HOLY+SEALS&amp;searchType=basic&amp;sequence=0&amp;state=&amp;date2=1925&amp;proxtext=SEALS+HOLY+DOOR&amp;y=0&amp;x=0&amp;dateFilterType=yearRange&amp;page=1, Seals Holy Door at St. Peter’s as Big Crowd Gazes. December 24, 1925; (1927), https://chroniclingamerica.loc.gov/lccn/sn82014519/1927-01-17/ed-1/seq-3/#date1=1927&amp;index=0&amp;rows=20&amp;words=CATHOLICS+DENY&amp;searchType=basic&amp;sequence=0&amp;state=&amp;date2=1927&amp;proxtext=CATHOLICS+DENY+&amp;y=0&amp;x=0&amp;dateFilterType=yearRange&amp;page=1, Catholics Deny Mexican Revolt. January 17, 1927; (1928), https://chroniclingamerica.loc.gov/lccn/sn82014519/1928-07-21/ed-1/seq-1/#date1=1928&amp;index=0&amp;rows=20&amp;words=ACTION+REVOLT&amp;searchType=basic&amp;sequence=0&amp;state=&amp;date2=1928&amp;proxtext=ACTION+OR+REVOLT&amp;y=0&amp;x=0&amp;dateFilterType=yearRange&amp;page=1, Action or Revolt Threat in Mexico. July 21, 1928; O’Toole, James M., (2008) The Faithful: A History of Catholics in America, , London: Harvard University Press; Pius, IX., Syllabus of Errors (1864) Papal Encyclicals Online, , https://www.papalencyclicals.net/pius09/p9syll.htm; Pius, X., Pascendi Dominici Gregis (1907) The Holy See, , https://www.vatican.va/content/pius-x/en/encyclicals/documents/hf_p-x_enc_19070908_pascendi-dominici-gregis.html; Pius, XI., (1925) Quas Primas on the Feast of Christ the King, , West Monroe, LA: St. Athanasius Press; Pius, XI., Iniquis Afflictisque” [On the Persecution of the Church in Mexico] (1926), http://www.vatican.va/content/pius-xi/en/encyclicals/documents/hf_p-xi_enc_18111926_iniquis-afflictisque.html, The Holy; Pius, XI., Miserentissimus Redemptor” [Merciful Redeemer] (1928), http://www.vatican.va/content/pius-xi/en/encyclicals/documents/hf_p-xi_enc_19280508_miserentissimus-redemptor.html, Holy; Quezada, Claudia Julieta, La mujer cristera en Michoacán, 1926-1929 (2012) Revista Historia y Memoria [Journal of History and Memory], 4, pp. 191-223. , https://revistas.uptc.edu.co/index.php/historia_memoria/article/view/813, [The Cristero Woman in Michoacan]; (1843) Psicología [Psychology], 7, p. 204; Sanz Cerrada, A., La persecusión religiosa en Méjico” [The Religious Persecution in Mexico] (1928) El Siglo Futuro [The Future Century], , February 11, 1928; Schneider, Ernest, People’s Forum (1925) Bismarck Tribune, , https://chroniclingamerica.loc.gov/lccn/sn85042243/1925-12-28/ed-1/seq-8/#date1=1925&amp;index=4&amp;rows=20&amp;words=BISMARCK+Bismarck+FORUM+PEOPLE&amp;searchType=basic&amp;sequence=0&amp;state=&amp;date2=1925&amp;proxtext=people%27s+forum+bismarck&amp;y=0&amp;x=0&amp;dateFilterType=yearRange&amp;page=1, December 28, 1925; Sedgwick, Eve, (2003) Touching Feeling, , Durham, NC: Duke University Press; Shaw, Russell, (2020) Eight Popes and the Crisis of Modernity, , San Francisco: Ignatius Press; Spilka, Bernard, Ladd, Kevin L., (2013) The Psychology of Prayer: A Scientific Approach, , New York: The Guilford Press; Sullivan, Joshua, Prayer and the Sovereignty of God (2021) Ask the Pastor, YouTube, , https://www.youtube.com/watch?v=g_3AUVfrY0o&amp;list=WL&amp;index=322&amp;t=110s, February 15, 2021; Texto original de la Constitución de 1917 y de las reformas publicadas en el Diario Oficial de la Federación del 5 de febrero de 1917 al 1o. de junio de 2009 (2009), https://archivos.juridicas.unam.mx/www/bjv/libros/6/2802/8.pdf, [Original Text of the 1917 Constitution and the Reforms Published in the Oficial Journal of the Federation from February 5, 1917 to June 1, 2009]. Biblioteca Jurídica Virtual del Instituto de Investigaciones Jurídicas de la UNAM. June 1; Woods, Thomas E., (2004) The Church Confronts Modernity: Catholic Intellectuals and the Progressive Era, , New York: Columbia University Press</t>
  </si>
  <si>
    <t>Gómez-Rossi, A.; Instituto Universitario BoulangerMexico; email: fofi5pbc@yahoo.com</t>
  </si>
  <si>
    <t>Common Ground Research Networks</t>
  </si>
  <si>
    <t>Int. J. Rel. Spiritual. Soc.</t>
  </si>
  <si>
    <t>2-s2.0-85131421954</t>
  </si>
  <si>
    <t>Lizarazo V., De La Cruz R., Lizarazo J.</t>
  </si>
  <si>
    <t>57727983000;56437752300;57728009900;</t>
  </si>
  <si>
    <t>Local Well-Posedness to the Cauchy Problem for an Equation of the Nagumo Type</t>
  </si>
  <si>
    <t>Scientific World Journal</t>
  </si>
  <si>
    <t>10.1155/2022/5891265</t>
  </si>
  <si>
    <t>https://www.scopus.com/inward/record.uri?eid=2-s2.0-85131340592&amp;doi=10.1155%2f2022%2f5891265&amp;partnerID=40&amp;md5=cab8fe517600df6590856c8dbe60244b</t>
  </si>
  <si>
    <t>School of Geological Engineering, Universidad Pedagógica y Tecnológica de Colombia, Calle 4 Sur 15-134, Sogamoso, Colombia; School of Mathematics and Statistics, Universidad Pedaǵogica y Tecnoĺogica de Colombia, Av. Central Del Norte 39-115, Tunja, Colombia</t>
  </si>
  <si>
    <t>Lizarazo, V., School of Geological Engineering, Universidad Pedagógica y Tecnológica de Colombia, Calle 4 Sur 15-134, Sogamoso, Colombia; De La Cruz, R., School of Mathematics and Statistics, Universidad Pedaǵogica y Tecnoĺogica de Colombia, Av. Central Del Norte 39-115, Tunja, Colombia; Lizarazo, J., School of Mathematics and Statistics, Universidad Pedaǵogica y Tecnoĺogica de Colombia, Av. Central Del Norte 39-115, Tunja, Colombia</t>
  </si>
  <si>
    <t>In this paper, we show the local well-posedness for the Cauchy problem for the equation of the Nagumo type in this equation (1) in the Sobolev spaces Hsℝ. If D&gt;0, the local well-posedness is given for s&gt;1/2 and for s&gt;3/2 if D=0. © 2022 Vladimir Lizarazo et al.</t>
  </si>
  <si>
    <t>Balasuriya, S., Gottwald, G.A., Wavespeed in reaction-diffusion systems, with applications to chemotaxis and population pressure (2010) Journal of Mathematical Biology, 61 (3), pp. 377-399. , 2-s2.0-77954029785; Benguria, R.D., Depassier, M.C., Méndez, V., Minimal speed of fronts of reaction-convection-diffusion equations (2004) Physics Review, 69 (3). , 031106 2-s2.0-37649026791; Gilding, B.H., Kersner, R., (2004) Travelling Waves in Nonlinear Diffusion-Convection Reaction, , Basel Birkhauser; Chen, Z., Guo, B., Analytic solutions of the Nagumo equation (1992) IMA Journal of Applied Mathematics, 48 (2), pp. 107-115. , 2-s2.0-0026626830; McKean, H.P., Nagumo's equation (1970) Advances in Mathematics, 4 (3), pp. 209-223. , 2-s2.0-0000688571; Nagumo, J., Arimoto, S., Yoshizawa, S., An active pulse transmission line simulating nerve axon (1962) Proceedings of the IRE, 50 (10), pp. 2061-2070. , 2-s2.0-6344238035; Nagumo, J., Yoshizawa, S., Arimoto, S., Bistable transmission lines (1965) IEEE Transactions on Circuit Theory, 12 (3), pp. 400-412. , 2-s2.0-84930940034; Dix, D.B., Nonuniqueness and uniqueness in the initial-value problem for burgers' equation (1996) SIAM Journal on Mathematical Analysis, 27 (3), pp. 708-724. , 2-s2.0-0030537418; Hopf, E., The partial differential equation ut+uux=μuxx (1950) Communications on Pure and Applied Mathematics, 3, pp. 201-230; Álvarez, B., The Cauchy problem for a nonlocal perturbation of the KdV equation (2003) Differential and Integral Equations, 16 (10), pp. 1249-1280; José Iório, R., Jr, On the cauchy problem for the benjamin-ono equation (1986) Communications in Partial Differential Equations, 11 (10), pp. 1031-1081. , 2-s2.0-0000267836; Iório, R., Jr., Magalhães Iório, V., Fourier analysis and partial differential equations (2001) Cambridge Studies in Avanced Mathematics, 70. , Cambridge University Press; Kato, T., On the cauchy problem for the (generalized) korteweg-de vries equation (1983) Studies in Applied Mathematics, Advances in Math. Suppl. Studies, 8, pp. 92-128. , Academic Press; Linares, F., Ponce, G., (2009) Introduction to Nonlinear Dispersive Equations, , Springer, New York, NY, USA; Bona, J.L., Smith, R., The initial-value problem for the korteweg-de vries equation (1975) Philosophical Transactions Royal Society London A, 278, pp. 555-601; Henry, D., Geometric theory of semilinear parabolic equations (1981) Lecture Notes in Mathematics, 840. , Berlin, Germnay Springer-Verlag; Butler, G., Rogers, T., A generalization of a lemma of bihari and applications to pointwise estimates for integral equations (1971) Journal of Mathematical Analysis and Applications, 33 (1), pp. 77-81. , 2-s2.0-3042938751</t>
  </si>
  <si>
    <t>Lizarazo, J.; School of Mathematics and Statistics, Av. Central Del Norte 39-115, Colombia; email: julio.lizarazo@uptc.edu.co</t>
  </si>
  <si>
    <t>Sci. World J.</t>
  </si>
  <si>
    <t>2-s2.0-85131340592</t>
  </si>
  <si>
    <t>Leal Y. C., Urbina A. S., Adán A. L.</t>
  </si>
  <si>
    <t>57726735700;57726735800;57727276700;</t>
  </si>
  <si>
    <t>Indian chiefs and colonial agents in the mission of San Pablo de Río Bueno (1777-1820): expansion, conflict, and negotiation [Caciques y funcionarios de indios en la misión de San Pablo de Río Bueno (1777-1820): Expansión, conflicto y negociación]</t>
  </si>
  <si>
    <t>Estudios Atacamenos</t>
  </si>
  <si>
    <t>e4704</t>
  </si>
  <si>
    <t>10.22199/issn.0718-1043-2022-0007</t>
  </si>
  <si>
    <t>https://www.scopus.com/inward/record.uri?eid=2-s2.0-85131314962&amp;doi=10.22199%2fissn.0718-1043-2022-0007&amp;partnerID=40&amp;md5=022449f11a38254e1af52e7433b3c462</t>
  </si>
  <si>
    <t>Programa de Magíster en Historia mención Estudios Andinos, Pontificia Universidad Católica del Perú, Peru; Escuela de Arqueología, Universidad Austral de Chile, Puerto Montt, Chile; Dirección Museológica y Escuela de Arqueología, Universidad Austral de Chile, Puerto Montt, Chile</t>
  </si>
  <si>
    <t>Leal Y., C., Programa de Magíster en Historia mención Estudios Andinos, Pontificia Universidad Católica del Perú, Peru; Urbina A., S., Escuela de Arqueología, Universidad Austral de Chile, Puerto Montt, Chile; Adán A., L., Dirección Museológica y Escuela de Arqueología, Universidad Austral de Chile, Puerto Montt, Chile</t>
  </si>
  <si>
    <t>Beginning with the analysis of the baptism and marriage records of Indians from the San Pablo of Río Bueno mission, the social relations contracted by Indian chiefs and officials are studied. The hegemony achieved by Indian officials in establishing social and political ties with the indigenous people of the Llanos de Río Bueno and the integration of several caciques from the jurisdiction of Valdivia and Osorno cities into the colonial order is highlighted. All this in a context of expansion and settlement of colonial power, where, although the construction of agreements with the indigenous authorities prevailed, it was war that consolidated in 1792 and 1793 almost half a century of Hispanic expansion on the Frontera de Arriba or “ upper borderland” of the Kingdom of Chile. © 2022</t>
  </si>
  <si>
    <t>borderlands; caciques; Chile; Chile; Colonial agents; fronteras; funcionarios de indios; Indian chiefs; misiones; missions</t>
  </si>
  <si>
    <t>11180981; Universidad Austral de Chile, UACh; Fondo Nacional de Desarrollo Científico, Tecnológico y de Innovación Tecnológica, FONDECYT: 1171735</t>
  </si>
  <si>
    <t>Este artículo es uno de los resultados de los proyectos FONDECYT 1171735 (2017-2020), “Transformaciones e interacción en la Plaza Presidio de Valdivia durante el siglo XVIII” y FON- DECYT 11180981 (2018-2021), “La ciudad de Osorno en el período Colonial: arqueología y etnohistoria de un asentamiento fronterizo meridional (siglos XVI-XIX)”, ambos patrocinados por la Universidad Austral de Chile. Nuestros agradecimientos son para las y los funcionarios del Obispado de Valdivia y del Archivo de la Parroquia de la Inmaculada Concepción de Río Bueno: Marcelo Pantoja, R. P. Gonzalo Espina Peruyero. A Aldo Farías por la Figura 1.</t>
  </si>
  <si>
    <t>Adán, L., Urbina, S., Munita, D., Mera, R., Godoy, M., Alvarado, M., Valdivia: Intercultural Relations along the Southern Frontier of the Spanish Empire in America during the Colonial Period (1552–1820) (2021) Historical Archaeology, 55 (2), pp. 158-186. , https://doi.org/10.1007/s41636-020-00279-9; Alcamán, E., La expansión colonial española desde Valdivia y la rebelión huilliche de los Llanos y Ranco 1645-1793 (1993) Boletín Museo Histórico Municipal de Osorno, 1, pp. 9-16; Alcamán, E., Los mapuche-huilliche del Futahuillimapu septentrional: Expansión colonial, guerras internas y alianzas política (1750-1792) (1997) Revista de Historia Indígena, 2, pp. 29-75; Alcamán, E., Estudio socio-histórico de los mapuche-williches, siglo XVI e inicios del siglo XX (2017) Apellidos mapuche-williches identificados en la región de Los Lagos, pp. 13-62. , En Alcamán, E. (Ed). Temuco: CONADI; Almonacid, F., Misioneros franciscanos en la frontera valdiviana, 1769-1796 (2004) Experiencias de historia regional en Chile, pp. 123-146. , En Cáceres, J. (Ed). Valparaíso: Instituto de Historia PUCV; Ascasubi, M., (1997) Informe cronológico de las misiones del Reino de Chile hasta 1789, , ([1789]). Santiago: Publicaciones del Archivo Franciscano; Borri, C., La expedición valdivia de 1777 en busca de la “ciudad de los Césares (1995) Notas Históricas y Geográficas, 5-6, pp. 49-98; Cano, R., (2010) Río Bueno: crónica de sus orígenes, , Valdivia: Imprenta América; Casanova, H., Presencia franciscana en la Araucanía. Las misiones del Colegio de Propaganda Fide de Chillán (1756-1818) (1988) Misioneros en la Araucanía, 1600-1900, pp. 155-244. , En Pinto, J., Casanova, H., Uribe, S. y Matthei, M. (Eds). Temuco: Ediciones Universidad de la Frontera; Delgado, B., Diario del R. P. Fr. Benito Delgado, capellán de la expedición que se hizo para el descubrimiento de los Césares (2009) Historia física y política de Chile, I, pp. 289-321. , ([1778]). En Gay, C. (Ed). Tomo Santiago: Cámara Chilena de la Construcción, Pontificia Universidad Católica de Chile Dirección de Bibliotecas, Archivos y Museos; Foerster, R., La acción evangelizadora de la Compañía de Jesús entre los mapuches (ss. XVII-XVIII) (1992) Por los caminos de América… Desafíos socio-culturales a la Nueva Evangelización, pp. 97-112. , En Arroyo, G., Silva, J. y Verdugo, F. (Eds). Santiago: Ediciones Paulinas; Foerster, R., (1996) Jesuitas y mapuches: 1593-1767, , Santiago: Editorial Universitaria; Foerster, R., La propiedad huilliche en los Llanos de Valdivia y Río Bueno (1996) La propiedad huilliche en la provincia de Valdivia, pp. 246-347. , En J. Vergara, J., Mascareño, A. y Foerster, R. (Eds). Santiago: CONADI. Gramsci, A. (2012). La política y el Estado moderno. Buenos Aires: Arte Gráfico Editorial; Guarda, F., (1953) Historia de Valdivia 1552-1952, , Santiago: Imprenta Cultura; Guarda, G., (1973) La economía de Chile austral antes de la colonización alemana 1645-1850, , Valdivia: Universidad Austral de Chile; Guarda, G., (1979) La sociedad de Chile austral antes de la colonización alemana 1645-1850, , Santiago: Editorial Andrés Bello; Guarda, G., El servicio de las ciudades de Valdivia y Osorno 1770-1820 (1980) Revista Historia, 15, pp. 67-178; Guarda, G., Caciques y parlamentos Valdivia-Osorno (1645-1820) (1998) Boletín de la Academia Chilena de la Historia, 108, pp. 13-29; Guarda, G., (2000) Historia de la iglesia en Valdivia, , Santiago, Chile: Museo de la Catedral; Guarda, G., (2001) Nueva historia de Valdivia, , Santiago, Chile: Ediciones Universidad Católica de Chile; Herzog, T., (2018) Fronteras de posesión. España y Portugal en Europa y las Américas, , Madrid, España: Fondo de Cultura Económica-Red Columnaria; Inostroza, X., Adán, L., Urbina, S., Alvarado, M., Estadística de la cristianización mapuche-huilliche: los Libros de la Misión de Valdivia (1771-1837) (2021) Revista Tefros, 19 (2), pp. 65-95; Lagos, R., (1908) Historia de las misiones del Colegio de Chillán, , Friburgo, Alemania: B. Herder Librero-Editor; Leal, C., Quitral, A., Evangelización y occidentalización en la frontera sur del Reino de Chile. Los franciscanos del Colegio de Misiones de Chillán, s. XVIII (2017) Historia y Memoria, 15, pp. 139-168; León, L., La corona española y las guerras intestinas entre los indígenas de Araucanía, Patagonia y las Pampas, 1760-1806 (1982) Nueva Historia, 5, pp. 31-67; León, L., (1991) Maloqueros y conchavadores en Araucanía y las Pampas, 1700-1800, , Temuco, Chile: Ediciones Universidad de la Frontera; Manso de Velasco, J., Ordenanzas Políticas y Económicas de la Plaza de Valdivia (1928) Revista Chile de Historia y Geografía, LVI, pp. 376-393. , ([1740]); Manso de Velasco, J., (1753) Reglamento para la guarnición de la Plaza de Valdivia y Castillos de su jurisdicción, , Lima, Perú: Francisco Sobrino; Maquiavelo, N., (2006) El Príncipe, , ([1532]). Barcelona, España: Ediciones Folio; Molina, R., El Camino Real entre Valdivia y Chiloé: su restablecimiento hacia fines del siglo XVIII (2000) Revista Austral de Ciencias Sociales, 4, pp. X-XX; Pinto, J., Frontera y misioneros en Chile, La Araucanía, 1600-1900 (1988) Misioneros en la Araucanía, 1600-1900, pp. 17-119. , En J. Pinto, H. Casanova, S. Uribe y M. Matthei (Ed), Temuco, Chile: Ediciones Universidad de la Frontera; Pinto, J., Etnocentrismo y etnocidio. Franciscanos y Jesuitas en la Araucanía, 1600-1900 (1991) Primeras jornadas de educación indígena-CUHSO, pp. 37-70; Pinuer, I., Relación de las noticias adquiridas sobre una ciudad grande de españoles, que hay entre los indios, al sud de Valdivia, e incógnita hasta el presente, por el capitán D. Ignacio Pinuer (1836) Colección de obras y documentos relativos a la historia antigua y moderna de las provincias del Río de la Plaza, pp. 27-37. , ([1774]). En P. de Angelis (Ed), Tomo I Buenos Aires, Argentina: Imprenta del Estado; Poblete, P., (2007) Misiones franciscanas en Valdivia. Cartas de Fray Antonio Hernández Calzada (1823-1844), , Santiago, Chile: Publicaciones del Archivo Franciscano; Poblete, P., Prácticas educativas misionales franciscanas, creación de escuelas en territorio mapuche y significado de la educación para los mapuche-huilliche del siglo XVIII y XIX. Espacio Regional (2009) Revista de Estudios Sociales, 2 (6), pp. 23-34; Ruiz-Esquide, A., (1993) Los indios amigos en la frontera araucana, , Santiago, Chile: Centro de Investigaciones Diego Barros Arana de la Dirección de Bibliotecas, Archivos y Museos; Sánchez, V., El pasado de Osorno, la gran ciudad del porvenir (1948) Ethnohistory, 22 (1), pp. 51-56. , Osorno, Chile: Imprenta Cervantes. Trigger, B. (1975). Brecht and Ethnohistory; Valenzuela, J., Los franciscanos de Chillán y la independencia: avatares de una comunidad monarquista (2005) Historia, 38, pp. 113-158. , I; Venegas, F., Restauración Fortín San José de Alcudia de Río Bueno. Informe Etapa 2: análisis y diagnóstico (2013), Estudio Histórico. Programa Puesta en Valor del Patrimonio (PPVP), BID/SUBDERE/DAMOP, Gobierno Regional de Los Ríos; Vergara, J., La propiedad indígena en la provincia de Valdivia; siglos XVIII-XX (1996) La propiedad huilliche en la provincia de Valdivia, pp. 15-101. , En J. Vergara, A. Mascareño y R. Foerster (Eds), Santiago, Chile: CONADI; Vergara, J., El valle central: la expropiación temprana y la variabilidad del conflicto de tierras (1996) La propiedad huilliche en la provincia de Valdivia, pp. 158-197. , En J. Vergara, A. Mascareño y R. Foerster (Eds), Santiago, Chile: CONADI; Vergara, J., (2005) La herencia colonial del Leviatán. El Estado y los mapuche-huilliches (1750-1881), , Iquique, Chile: Ediciones del Instituto de Estudios Andinos, Universidad Arturo Prat; Urbina, X., La Frontera de arriba en Chile Colonial (2009) Interacción hispano-indígena en el territorio entre Valdivia y Chiloé e imaginario de sus bordes geográficos, 1600-1800, , Santiago, Chile: Ediciones Universitarias de Valparaíso-Centro de Investigaciones Diego Barros Arana de la Dirección de Bibliotecas, Archivos y Museos; Villalobos, S., Tipos fronterizos en el ejército de Arauco (1982) Relaciones fronterizas en la Araucanía, pp. 9-64. , En AA.VV (Ed), Santiago, Chile: Ediciones Universidad Católica de Chile; Weber, D., Borbones y Bárbaros. Centro y periferia en la reformulación de la política de España hacia los indígenas no sometidos (1998) Anuario IEHS, 13, pp. 147-171; Wilde, G., ¿Segregación o asimilación? La política indiana en América meridional a fines del período colonial (1999) Revista de Indias, LIX (217), pp. 619-644</t>
  </si>
  <si>
    <t>Leal Y., C.; Programa de Magíster en Historia mención Estudios Andinos, Peru; email: carlosmntlealyasima@gmail.com</t>
  </si>
  <si>
    <t>Universidad Catolica del Norte</t>
  </si>
  <si>
    <t>Estud. Atacamenos</t>
  </si>
  <si>
    <t>2-s2.0-85131314962</t>
  </si>
  <si>
    <t>Medina-Jaramillo C., Carvajal-Díaz L.M., López-Córdoba A.</t>
  </si>
  <si>
    <t>57000466000;57724877400;55915687700;</t>
  </si>
  <si>
    <t>Propolis from native Stingless Bees: ultrasound-assisted extraction [Propóleos de abejas nativas sin aguijón: extracción asistida por ultrasonido]</t>
  </si>
  <si>
    <t>10.17533/udea.vitae.v29n2a347446</t>
  </si>
  <si>
    <t>https://www.scopus.com/inward/record.uri?eid=2-s2.0-85131265921&amp;doi=10.17533%2fudea.vitae.v29n2a347446&amp;partnerID=40&amp;md5=206dd589c57a117144f790b4565339c6</t>
  </si>
  <si>
    <t>Grupo de Investigación en Bioeconomía y Sostenibilidad Agroalimentaria, Universidad Pedagógica y Tecnológica de Colombia, Facultad Seccional Duitama, Escuela de Administración de Empresas Agropecuarias, Carrera18 con Calle 22 Duitama, Boyacá, Colombia; Compañía Campo Colombia S.A.S., Grupo de Investigación en Procesos Agroindustriales (AYNI), Bogotá, Colombia</t>
  </si>
  <si>
    <t>Medina-Jaramillo, C., Grupo de Investigación en Bioeconomía y Sostenibilidad Agroalimentaria, Universidad Pedagógica y Tecnológica de Colombia, Facultad Seccional Duitama, Escuela de Administración de Empresas Agropecuarias, Carrera18 con Calle 22 Duitama, Boyacá, Colombia; Carvajal-Díaz, L.M., Compañía Campo Colombia S.A.S., Grupo de Investigación en Procesos Agroindustriales (AYNI), Bogotá, Colombia; López-Córdoba, A., Grupo de Investigación en Bioeconomía y Sostenibilidad Agroalimentaria, Universidad Pedagógica y Tecnológica de Colombia, Facultad Seccional Duitama, Escuela de Administración de Empresas Agropecuarias, Carrera18 con Calle 22 Duitama, Boyacá, Colombia</t>
  </si>
  <si>
    <t>BACKGROUND: Propolis has been considered a highly valuable material due to its therapeutic properties. However, in Colombia, the commercialization of propolis is limited not only by low production but also by the little knowledge about its efficient extraction. Therefore, finding an optimal and economical extraction method to obtain propolis is a necessity for beekeepers that would open new possibilities for industrial use and, therefore, for the market. OBJECTIVES: The objective of this study was to evaluate a conventional and ultrasound-assisted extraction method, seeking to obtain the highest yield and a high amount of content of bioactive compounds in propolis extracts. METHODS: The extraction was carried out for three crude propolis from different types of bees: Tetragonisca angustula or Angelita (ANG), Melipona eburnea or Melipona (MEL), and Scaptotrigona spp (SCT). The extracts were characterized by color, pH, visual appearance, solid content, antioxidant capacity, total polyphenol content, and bacterial inhibition capacity. RESULTS: The highest extraction performance was obtained when the ultrasound-assisted method was used, especially for the ANG extract, which in addition to presenting inhibition for gram-negative (E. coli ) and gram-positive (S. Aureus) bacteria, had the best antioxidant activity with a value of 545 mg GAE / 100 g of sample and total polyphenol content of 1,884 mg GAE / 100 g of sample. CONCLUSIONS: Ultrasound-assisted extraction can be considered a low-cost alternative to increase the extraction performance of crude propolis, together with its total polyphenol content and antioxidant capacity, without altering its physical properties. © 2022, Universidad de Antioquia. All rights reserved.</t>
  </si>
  <si>
    <t>Antibacterial activity; Antioxidant activity; E. coli; Melipona eburnea; Propolis extract; Scaptotrigona spp; Tetragonisca angustula. S. aureus</t>
  </si>
  <si>
    <t>antioxidant; gallic acid; polyphenol; propolis; propolis extract; agar diffusion; antibacterial activity; antioxidant activity; Article; bacterial strain; calibration; controlled study; DPPH radical scavenging assay; nonhuman; pH; precipitation; stingless bee; ultrasound assisted extraction; zone of inhibition</t>
  </si>
  <si>
    <t>gallic acid, 149-91-7; polyphenol, 37331-26-3; propolis, 9009-62-5; propolis extract, 85665-41-4</t>
  </si>
  <si>
    <t>Universidad Pedagógica y Tecnológica de Colombia, UPTC; Ministério da Ciência, Tecnologia e Inovação, MCTI</t>
  </si>
  <si>
    <t>This study was funded by Minciencias, 2019 call 848 of the Postdoctoral Fellowship programs for entities of the National System of Science, Technology, and Innovation (SNCTeI) belonging to the Ministry of Science, Technology, and Innovation. Furthermore, A.L.-C. would like to thank Universidad Pedagógica y Tecnológica de Colombia (UPTC) and Compañía Campo Colombia S.A.S.</t>
  </si>
  <si>
    <t>Acknowledgments: This study was funded by Minciencias, 2019 call 848 of the Postdoctoral Fellowship programs for entities of the National System of Science, Technology, and Innovation (SNCTeI) belonging to the Ministry of Science, Technology, and Innovation. Furthermore, A.L.-C. would like to thank Universidad Pedagógica y Tecnológica de Colombia (UPTC) and Compañía Campo Colombia S.A.S.</t>
  </si>
  <si>
    <t>Sun-Waterhouse, D., The development of fruit-based functional foods targeting the health and wellness market: a review (2011) Int J Food Sci Technol, 46 (5), pp. 899-920. , https://doi.org/10.1111/j.1365-2621.2010.02499.x; Bastos, E, Guzmán, D, Figueroa, J, Tello, J, Scoaris, D., Caracterización antimicrobiana y fisicoquímica de propóleos de Apis mellifera L. (Hymenoptera: Apidae) de la región andina Colombiana (2011) Acta Biológica Colomb, 16 (1), pp. 175-183; Mora, DPP, Santiago, KB, Conti, BJ, de Oliveira Cardoso, E, Conte, FL, Oliveira, LPG., The chemical composition and events related to the cytotoxic effects of propolis on osteosarcoma cells: A comparative assessment of Colombian samples (2019) Phyther Res, 33 (3), pp. 591-601. , https://doi.org/10.1002/ptr.6246; Havsteen, BH., The biochemistry and medical significance of the flavonoids (2002) Pharmacol Ther, 96 (2–3), pp. 67-202. , https://doi.org/10.1016/S0163-7258(02)00298-X; Kosalec, I, Pepeljnjak, S, Bakmaz, M, Vladimir-Knežević, S., Flavonoid analysis and antimicrobial activity of commercially available propolis products (2005) Acta Pharm, 55 (4), pp. 423-430; Gonçalves, GMS, Srebernich, SM, Souza JA de, M., Stability and sensory assessment of emulsions containing propolis extract and/ or tocopheryl acetate (2011) Brazilian J Pharm Sci, 47 (3), pp. 585-592. , https://doi.org/10.1590/S1984-82502011000300016; Rogina-Car, B, Rogina, J, Govorčin Bajsić, E, Budimir, A., Propolis– Eco-friendly natural antibacterial finish for nonwoven fabrics for medical application (2018) J Ind Text, 49 (8), pp. 1100-1119. , https://doi.org/10.1177/1528083718805711; Tosi, EA, Ré, E, Ortega, ME, Cazzoli, AF., Food preservative based on propolis: Bacteriostatic activity of propolis polyphenols and flavonoids upon Escherichia coli (2007) Food Chem, 104 (3), pp. 1025-1029. , https://doi.org/10.1016/j.foodchem.2007.01.011; Sanches, MA, Pereira, AMS, Serrão, JE., Acciones farmacológicas de extractos de propóleos de abejas sin aguijón (Meliponini) (2017) J Apic Res, 56 (1), pp. 50-57. , http://dx.doi.org/10.1080/00218839.2016.1260856; Popova, M, Trusheva, B, Bankova, V., Propolis of stingless bees: A phytochemist’s guide through the jungle of tropical biodiversity (2021) Phytomedicine, 86, p. 153098. , https://doi.org/10.1016/j.phymed.2019.153098; Franchin, M, Rosalen, PL, Da Cunha, MG, Silva, RL, Colón, DF, Bassi, GS., Cinnamoyloxy-mammeisin Isolated from Geopropolis At tenuates I nf l ammator y Process by I nhi bi ti ng Cytoki ne Production: Involvement of MAPK, AP-1, and NF-κB (2016) J Nat Prod, 79 (7), pp. 1828-1833. , https://doi.org/10.1021/acs.jnatprod.6b00263; Carneiro, MJ, López, BGC, Lancellotti, M, Franchi, GC, Nowill, AE, Sawaya, ACHF., Evaluación de la composición química y la actividad biológica de los extractos de propóleos de Tetragonisca angustula y Schinus terebinthifolius Raddi (Anacardiaceae) (2016) J Apic Res, 55 (4), pp. 315-323. , http://dx.doi.org/10.1080/00218839.2016.1243295; Popova, M, Gerginova, D, Trusheva, B, Simova, S, Tamfu, AN, Ceylan, O., A preliminary study of chemical profiles of honey, cerumen, and propolis of the african stingless bee Meliponula ferruginea (2021) Foods, 10 (5). , https://doi.org/10.3390/foods10050997; López-Patiño, C., Globalización y producción de propóleos (2011) Biotecnol en el Sect Agropecu, 9 (1), pp. 119-125. , http://www.scielo.org.co/scielo.php?script=sci_arttext&amp;pid=S1692-5612011000100015; Yeo, KL, Leo, CP, Chan, DJC., Ultrasonic enhancement on propolis extraction at varied pH and alcohol content (2015) J Food Process Eng, 38 (6), pp. 562-570. , https://doi.org/10.1111/jfpe.12186; Dzah, CS, Duan, Y, Zhang, H, Wen, C, Zhang, J, Chen, G., The effects of ultrasound assisted extraction on yield, antioxidant, anticancer and antimicrobial activity of polyphenol extracts: A review (2020) Food Biosci, 35, p. 100547. , https://doi.org/10.1016/j.fbio.2020.100547; Belwal, T, Ezzat, SM, Rastrelli, L, Bhatt, ID, Daglia, M, Baldi, A., A critical analysis of extraction techniques used for botanicals: Trends, priorities, industrial uses and optimization strategies (2018) TrAC Trends Anal Chem, 100, pp. 82-102. , https://doi.org/10.1016/j.trac.2017.12.018; Pobi ega, K, Kr aśni ewska, K, Der ewi aka, D, Gni ewos z, M., Comparison of the antimicrobial activity of propolis extracts obtained by means of various extraction methods (2019) J Food Sci Technol, 56 (12), pp. 5386-5395. , https://doi.org/10.1007/s13197-019-04009-9; Singleton, VL, Orthofer, R, Lamuela-Raventós, RM., Analysis of total phenols and other oxidation substrates and antioxidants by means of folin-ciocalteu reagent (1999) Methods Enzymol, 299, pp. 152-178. , https://doi.org/10.1016/S0076-6879(99)99017-1; Br and-Wi l l i ams, W, Cuvel i er, ME, Ber set, C., Use of a f ree radical method to evaluate antioxidant activity (1995) LWT-Food Sci Technol, 28 (1), pp. 25-30. , https://doi.org/10.1016/S0023-6438(95)80008-5; Pranoto, Y, Rakshit, SK, Salokhe, VM., Enhancing antimicrobial activity of chitosan films by incorporating garlic oil, potassium sorbate and nisin (2005) LWT-Food Sci Technol, 38 (8), pp. 859-865. , https://doi.org/10.1016/j.lwt.2004.09.014; Choe, J-H, Kim, H-Y, Kim, Y-J, Yeo, E-J, Kim, C-J., Antioxidant activity and phenolic content of persimmon peel extracted with different levels of ethanol (2014) Int J Food Prop, 17 (8), pp. 1779-1790. , https://doi.org/10.1080/10942912.2012.731460; Or oi an, M, Ur sachi, F, Dr anca, F., I nf l uence of ul t r asoni c amplitude, temperature, time and solvent concentration on bi oacti ve compounds extr acti on f rom propol i s (2020) Ul tr ason Sonochem, 64, p. 105021. , https://doi.org; Yuan, Y, Zheng, S, Zeng, L, Deng, Z, Zhang, B, Li, H., The Phenolic Compounds, Metabolites, and Antioxidant Activity of Propolis Ext r ac ted by Ul t r asound-Assi sted Met hod (2019) J Food Sci, 84 (12), pp. 3850-3865. , https://doi.org/10.1111/1750-3841.14934; Md-Zin, NB, Azemin, A, Mohd Rodi, MM, Mohd, KS., Chemical composition and antioxidant activity of stingless bee propolis from different extraction methods (2018) Int J Eng Technol, 7, pp. 90-95. , https://doi.org/10.14419/ijet.v7i4.43.25825, (4.43); Rebiai, A, Lanez, T, Belfar, ML., Total polyphenol contents, radical scavenging and cyclic voltammetry of algerian propolis (2014) Int J Pharm Pharm Sci, 6 (1), pp. 395-400; Khacha-ananda, S, Tragoolpua, K, Chantawannakul, P, Tragoolpua, Y., Antioxidant and anti-cancer cell proliferation activity of propolis extracts from two extraction methods (2013) Asian Pacific J Cancer Prev, 14 (11), pp. 6991-6995. , ht t ps://doi. org; Tr usheva, B, Tr unkova, D, Bankova, V., Di f ferent extr acti on methods of biologically active components from propolis; a preliminary study (2007) Chem Cent J, 1 (1), pp. 1-4. , https://doi.org/10.1186/1752-153X-1-13; Golt z, C, Ávila, S, Barbieri, JB, Igarashi-Mafra, L, Mafra, MR., Ul t r asound-assi s ted ext r ac t i on of phenol i c compounds from Macela (Achyrolcine satureioides) extracts (2018) Ind Crops Prod, 115, pp. 227-234. , ht t ps://doi.or g; Amirullah, NA, Zainal Abidin, N, Abdullah, N, Manickam, S., Application of ultrasound towards improving the composition of phenolic compounds and enhancing in vitro bioactivities of Pleurotus pulmonarius (Fr.) Quél extracts (2021) Biocatal Agric Biotechnol, 31, p. 101881. , ht tps://doi.org; Jug, M, Končić, MZ, Kosalec, I., Modulation of antioxidant, chelating and antimicrobial activity of poplar chemo-type propolis by extraction procures (2014) LWT-Food Sci Technol, 57 (2), pp. 530-537. , http://dx.doi.org/10.1016/j.lwt.2014.02.006; Cunha, IBS, Sawaya, ACHF, Caetano, FM, Shimizu, MT, Marcucci, MC, Drezza, FT., Factors that influence the yield and composition of Brazilian propolis extracts (2004) J Braz Chem Soc, 15 (6), pp. 964-790. , https://doi.org/10.1590/S0103-50532004000600026; Cibanal, I, Krepper, G, Fernández, L, Gallez, L., Caracterización fisico-química de propóleos argentinos para su uso como biofungicida agrícola (2017) IV Congr Int Científico y Tecnológico-CONCYT, pp. 1-12. , https://digital.cic.gba.gob.ar/handle/11746/6778; Pujirahayu, N, Ritonga, H, Uslinawaty, Z., Properties and flavonoids content in propolis of some extraction method of raw propolis (2014) Int J Pharm Pharm Sci, 6 (6), pp. 338-340; Dias, LG, Pereira, AP, Estevinho, LM., Comparative study of different Portuguese samples of propolis: Pollinic, sensorial, physi cochemi cal, mi cr obi ol ogi cal char ac t er i zat i on and antibacterial activity (2012) Food Chem Toxicol, 50 (12), pp. 4246-4253. , https://doi.org/10.1016/j.fct.2012.08.056; Mello, BCBS, Hubinger, MD., Antioxidant activity and polyphenol contents in Brazilian green propolis extracts prepared with the use of ethanol and water as solvents in different pH values (2012) Int J Food Sci Technol, 47 (12), pp. 2510-2518. , https://doi.org/10.1111/j.1365-2621.2012.03129.x; Rodríguez Rodríguez, LE, Góngora Amores, W, Escalona Arias, A, Miranda Bazán, MB, Batista Suárez, S, Bermúdez Cisnero, Y., Optimización de la extracción alcohólica para la obtención de soluciones concentradas de propóleos (2015) Rev Colomb Ciencias Químico-Farmacéuticas, 44 (1), pp. 47-57. , http://dx.doi.org/10.15446/rcciquifa.v44n1.54237; Ali, IH, Daoud, AS, Shareef, AY., Physical properties and chemical analysis of Iraqi propolis (2012) Tikrit J Pure Sci, 17 (2), pp. 26-31; Revilla, I, Vivar-Quintana, AM, González-Martín, I, Escuredo, O, Seijo, C., The potential of near infrared spectroscopy for determining the phenolic, antioxidant, color and bactericide characteristics of raw propolis (2017) Microchem J, 134, pp. 211-217. , https://doi.org/10.1016/j.microc.2017.06.006; Hasan, AEZ, Mangunwidjaja, D, Sunarti, TC, Suparno, O, Setiyono, A., Investigating the antioxidant and anticytotoxic activities of propolis collected from five regions of Indonesia and their abilities to induce apoptosis (2014) Emirates J Food Agric, 26 (5), pp. 390-398. , https://doi.org/10.9755/ejfa.v26i5.16549; Choi, YM, Noh, DO, Cho, SY, Suh, HJ, Kim, KM, Kim, JM., Antioxidant and antimicrobial activities of propolis from several regions of Korea (2006) LWT-Food Sci Technol, 39 (7), pp. 756-761. , https://doi.org/10.1016/j.lwt.2005.05.015; Irigoiti, Y, Navarro, A, Yamul, D, Libonatti, C, Tabera, A, Basualdo, M., The use of propolis as a functional food ingredient: A review (2021) Trends Food Sci Technol, 115, pp. 297-306. , https://doi.org/10.1016/j.tifs.2021.06.041; Pobiega, K, Kraśniewska, K, Przybył, JL, Bączek, K, Żubernik, J, Witrowa-Rajchert, D., Growth biocontrol of foodborne pathogens and spoilage microorganisms of food by Polish propolis extracts (2019) Molecules, 24 (16), p. 2965. , https://doi.org/10.3390/molecules24162965; Dantas Silva, RP, Machado, BAS, Barreto G de, A, Costa, SS, Andrade, LN, Amaral, RG., Antioxidant, antimicrobial, antiparasitic, and cytotoxic properties of various Brazilian propolis extracts (2017) PLoS One, 12 (3), p. e0172585. , https://doi.org/10.1371/journal.pone.0172585; Seibert, JB, Bautista-Silva, JP, Amparo, TR, Petit, A, Pervier, P, dos Santos Almeida, JC., Development of propolis nanoemulsion with antioxidant and antimicrobial activity for use as a potential natural preservative (2019) Food Chem, 287, pp. 61-67. , https://doi.org/10.1016/j.foodchem.2019.02.078; Kadariya, J, Smith, TC, Thapaliya, D., Staphylococcus aureus and staphylococcal food-borne disease: an ongoing challenge in public health (2014) Biomed Res Int, 2014, pp. 1-9. , https://doi.org/10.1155/2014/827965</t>
  </si>
  <si>
    <t>Medina-Jaramillo, C.; Grupo de Investigación en Bioeconomía y Sostenibilidad Agroalimentaria, Carrera18 con Calle 22 Duitama, Colombia; email: carolina.medina02@uptc.edu.co</t>
  </si>
  <si>
    <t>2-s2.0-85131265921</t>
  </si>
  <si>
    <t>Rivera L.D.L., Mares L.M.L., Ayala M.E.M., Brizuela M.A.O.</t>
  </si>
  <si>
    <t>57720227500;57720519400;57719646600;57719646700;</t>
  </si>
  <si>
    <t>Women in the Production of the Self-built Space: Counter-conduct and Intersectionality [Las mujeres en la producción del espacio autoconstruido: contraconducta e interseccionalidad]</t>
  </si>
  <si>
    <t>Revista INVI</t>
  </si>
  <si>
    <t>10.5354/0718-8358.2022.65515</t>
  </si>
  <si>
    <t>https://www.scopus.com/inward/record.uri?eid=2-s2.0-85131085769&amp;doi=10.5354%2f0718-8358.2022.65515&amp;partnerID=40&amp;md5=856e6b5b709a9a94ee9de507cad9b3b6</t>
  </si>
  <si>
    <t>Arquitecta independiente, Mexico; Universidad Autónoma de San Luis Potosí, Mexico</t>
  </si>
  <si>
    <t>Rivera, L.D.L., Arquitecta independiente, Mexico; Mares, L.M.L., Universidad Autónoma de San Luis Potosí, Mexico; Ayala, M.E.M., Universidad Autónoma de San Luis Potosí, Mexico; Brizuela, M.A.O., Universidad Autónoma de San Luis Potosí, Mexico</t>
  </si>
  <si>
    <t>Women play a major but undervalued role in the production of their habitat, especially if this is self-constructed. They struggle to secure land tenure, attract services and public facilities, and manage resources to consolidate their houses. However, women’s direct participation in housing construction is reduced because it is a task reserved for men. The Limones and Luis Donaldo Colosio neighborhoods in San Luis Potosí, Mexico, share a story led by women who organized to build their homes and formalize their land. Using these neighborhoods as case studies, this work analyzes the way in which the layers of disadvantage that women endure in peripheral contexts promote the insurgence of counter conducts that seek to improve the built context. This qualitative work employed interviews, perceptual instruments, and temporal schemes, to collect participants’ narratives. Main findings suggest that, through acts of resistance, the women in these neighborhoods moved between the political and the ethical to participate in the production of the city, conquer the parochial sphere, make themselves heard in the public sphere, associate with other women, negotiate their roles, and reinforce their self-concept to proclaim themselves as self-help builders. © 2022, Universidad de Chile, Instituto de la Vivienda. All rights reserved.</t>
  </si>
  <si>
    <t>counter-conduct; intersectionality; San Luis Potosí (Mexico); self-help construction; women</t>
  </si>
  <si>
    <t>Abramo, P., Cravino, M. C., Producción de las ciu-dades latinoamericanas: informalidad y mercado del suelo (2012) Repensando la ciudad informal en América Latina, pp. 199-232. , En M. C. Cravino (Comp), Uni-versidad Nacional de General Sarmiento; Arango-Tobón, M., Bedoya-Hernández, M., Hacia una lucha política positiva. Política desde la condi-ción precaria (2021) Entramado, 17 (1), pp. 70-83. , https://doi.org/10.18041/1900-3803/entramado.1.7105; Arista González, G., (2010) La autoproducción participativa: género femenino, financiamiento y tecnologías al-ternas, , (Tesis de Doctorado en Arquitectura, Diseño y Urbanismo, Universidad Autónoma del Estado de Morelos); Bonfil, G., (2019) México profundo: una civilización negada, , Fondo de Cultura Económica; Bose, M., Women’s work and the built environ-ment: Lessons from the slums of Calcutta, India (1999) Habitat International, 23 (1), pp. 5-18. , https://doi.org/10.1016/S0197-3975(98)00032-0; Bourgois, P., Crack in Spanish Harlem: Culture and economy in the inner city (1989) Anthropology Today, 5 (4), pp. 6-11. , https://doi.org/10.2307/3032654; Carvalho, A., Macedo, J. P., Insurreições fe-mininas: resistências de mulheres quebradei-ras de coco babaçu (2019) Polis e Psique, 9 (3), pp. 77-94. , https://doi.org/10.22456/2238-152X.86586; Castellanos, G., Género, poder y postmodernidad: hacia un feminismo de la solidaridad (1996) Desde las orillas de la política, , http://www.ub.edu/SIMS/pdf/OrillasPolitica/OrillasPo-litica02.pdf, En L. G. Luna y M. Vilanova (Comps), Género y poder en América Latina. Seminario Inter-disciplinar Mujeres y Sociedad; Cole, B. A., Gender, narratives and intersec-tionality: can personal experience approaches to research contribute to “undoing gender”? (2009) International Review of Education, 55 (5), pp. 561-578. , https://doi.org/10.1007/s11159-009-9140-5; Davidson, A. I., In praise of counter-conduct (2011) History of the Human Sciences, 24 (4), pp. 25-41. , https://doi.org/10.1177/0952695111411625; Del Valle Murga, M. T., El espacio y el tiempo en las relaciones de género (1991) Kobie. Antropología cultural, (5), pp. 223-236; Deutsch, F. M., Undoing gender (2007) Gender &amp; Society, 21 (1), pp. 106-127. , https://doi.org/10.1177/0891243206293577; Fabian, J., (2014) Time and the other. How Anthropology makes his object, , Columbia University Press; Fanon, F., (1986) Black Skin, White Masks, , Pluto Press; Foucault, M., (2007) Security, territory, population: Lec-tures at the College de France 1977-1978, , Palgrave Macmillan. Hacking, I. (2007). La construcción social de qué. Paidos; hooks, B., Postmodern blackness (1990) Postmodern Cultu-re, 1 (1). , https://doi.org/10.1353/pmc.1990.0004Janoschka,M.(2002).Elnuevomodelodelaciudadlati-noamericana:fragmentaciónyprivatización.EURE,28(85),11-20.https://doi.org/10.4067/S0250-71612002008500002; López Rivera, L. D., (2021) Participación de las mujeres en los procesos sociales, espaciales y constructivos de la vivien-da autoconstruida, desde la negociación de los roles y el feminismo comunitario, , (Tesis de licenciatura, Univer-sidad Autónoma de San Luis Potosí); Massey, R., Exploring counter-conduct in upgraded informal settlements: The case woman residents in Makha-zaand new rest (Cape Town) (2014) Hábitat International, 44, pp. 290-296. , https://doi.org/10.1016/j.habitatint.2014.07.007; Massolo, A., (1992) Mujeres y ciudades. Participación social, vivienda y vida cotidiana, , El Colegio de México; Muxí Martínez, Z., Casanovas, R., Ciocoletto, A., Fonseca, M., Gutiérrez Valdivia, B., ¿Qué aporta la pers-pectiva de género al urbanismo? (2011) Feminismo/s, (17), pp. 105-129. , https://doi.org/10.14198/fem.2011.17.06; Ossul-Vermehren, I., Lo político de hacer hogar. Una mirada de género a la vivienda autoconstruida (2018) Revista INVI, 33 (93), pp. 9-51. , https://doi.org/10.4067/S0718-83582018000200009; Paredes, J., Hilando fino desde el feminismo indí-gena comunitario (2010) Aproximaciones críticas a las prácticas teórico-políticas del feminismo latinoamericano, pp. 117-120. , En Y. Espinosa Miñoso (Comp), En la Frontera; Paredes, J., (2014) Hilando fino desde el feminismo comuni-tario, , Cooperativa El Rebozo, Zapateándole, Lente Flotante, En cortito que’s palargo y Alifem AC; Prat t, M. L., (2019) Los imaginarios planetarios, , Aluvión; Rivera-Cusicanqui, S., (2015) Sociología de la imagen. Mira-das Ch´ixi desde la historia andina, , Tinta Limón; Rodríguez, P., Feminismos periféri-cos (2011) Revista Sociedad y Equidad, (2), pp. 23-45. , https://doi.org/10.5354/0718-9990.2011.14426; Romero Navarrete, L., Hernández Rodríguez, M., Ace-vedo Dávila, J., Vivienda y autoconstrucción: Participación femenina en un proyecto asistido (2005) Frontera Norte, 17 (33), pp. 107-131. , https://doi.org/10.17428/rfn.v17i33.1057; Salles, V., de la Paz López, M., (2004) Viviendas pobres en México: un estudio desde la óptica de género, , http://bibliotecavirtual.clacso.org.ar/ar/libros/gru-pos/barba/19salo.pdf, documento de la reunión del Grupo de trabajo sobre pobreza y políticas sociales, Consejo Latinoamericano de Ciencias Sociales; Soto Villagrán, P., Hacia la construcción de unas geografías de género de la ciudad. Formas plura-les de habitar y significar los espacios urbanos en Latinoamérica (2018) Perspectiva geográfica, 23 (2), pp. 13-31. , https://revistas.uptc.edu.co/index.php/perspectiva/article/view/7382; Villarreal, M., Cálculos financieros y fronteras so-ciales en una economía de deuda y morralla (2007) Civi-tas-Revista de Ciências Sociais, 10 (3), pp. 392-409. , https://doi.org/10.15448/1984-7289.2010.3.8338; Viveros Vigoya, M., La interseccionalidad: una apro-ximación situada a la dominación (2016) Debate feminista, 52, pp. 1-17. , https://doi.org/10.1016/j.df.2016.09.005; Volbeda, S., Housing and survival strategies of women in Metropolitan Slum areas in Bra-zil (1989) Hábitat International, (3), pp. 157-171. , https://doi.org/10.1016/0197-3975(89)90029-5; Zenteno, E., La percepción del espacio urbano. El aporte de los mapas perceptivos al análisis del barrio ZEN de Palermo (Italia) (2018) Revista INVI, 33 (93), pp. 99-122. , https://doi.org/10.4067/S0718-83582018000200099</t>
  </si>
  <si>
    <t>Universidad de Chile, Instituto de la Vivienda</t>
  </si>
  <si>
    <t>Rev. INVI</t>
  </si>
  <si>
    <t>2-s2.0-85131085769</t>
  </si>
  <si>
    <t>Useche I.V.</t>
  </si>
  <si>
    <t>57190373362;</t>
  </si>
  <si>
    <t>The dagger at the throat of the oppressor. Intellectuals and political violence in Colombia today [El puñal en la garganta del opresor. Intelectuales y violencia política en la Colombia actual]</t>
  </si>
  <si>
    <t>Historia Caribe</t>
  </si>
  <si>
    <t>https://www.scopus.com/inward/record.uri?eid=2-s2.0-85131066471&amp;doi=10.15648%2fhc.40.2022.3208&amp;partnerID=40&amp;md5=cfb2deb99936c657316f94f5de4ae390</t>
  </si>
  <si>
    <t>Useche, I.V., Universidad Pedagógica y Tecnológica de Colombia, Colombia</t>
  </si>
  <si>
    <t>This article rebuilds the place that a group of Colombian intellectuals, who could be called progressives, gave to violence the meaning of a political action instrument, between 1985 and the present time. It confirms how, among that group, the apologists for violence as a creative agent of a new order decreased. However, it also presents how that attitude did not lead to an absolute rejection of violence, since it gave grounds as a guarantor of some essential changes, which that were supposedly not possible through the usual channels. © 2022 Sello editorial Universidad del Atlantico. All rights reserved.</t>
  </si>
  <si>
    <t>Colombia; guerrillas; intellectuals; memory; violence</t>
  </si>
  <si>
    <t>Abad, Héctor, Si se acaban los bárbaros (2008) El Espectador, , Bogotá, 27 julio; Abad, Héctor, El comunismo como fe (2011) El Espectador, , Bogotá, 11 diciembre; (2015) Acuerdos y desacuerdos de la Comisión Histórica, , Anónimo. Semana, Bogotá, 22 marzo; Alfredo Molano, el 'sabio de la tribu' (2019) El Espectador, , Anónimo. Bogotá, 2 noviembre; Anónimo, Cinco años sin Alternativa (1985) Magazín Dominical de El Espectador, , Bogotá, 19 mayo; (2012) Declaración pública, a propósito del inicio de las conversaciones de paz, , http://www.razonpublica.com, Anónimo. octubre 14 de; Anónimo, El 'cura guerrillero', Camilo Torres, un ícono a 50 años de su muerte (2016) El Heraldo, , Barranquilla, 13 febrero; Anónimo, Hijo de crítico líder comunista asesinado exige verdad a las Farc (2015) El Tiempo, , Bogotá, 8 mayo; Las 13 caras del 'cura guerrillero (2015), Anónimo. Semana, Bogotá, 28 junio; Pizarro y Bateman: las letras como fusiles (2019) El Espectador, , Anónimo. Bogotá, 25 abril; Anónimo, Su lucha no propicia la justicia social (1992) El Tiempo, , Bogotá, 22 noviembre; Arango, Rodolfo, Las FARC: ¿a quiénes representan? (2012) El Espectador, , Bogotá, 30 agosto; Arbeláez, Jotamario, Qué chimba la libertad (2009) El Tiempo, , Bogotá, 9 septiembre; Broderick, Joe, Profeta desoído (1998) Lecturas dominicales, , de El Tiempo, Bogotá, 2 agosto; Caballero, Antonio, La lucha armada (2011), Semana, Bogotá, 11 julio; Caballero, Antonio, 'Body Count' (2012) Semana, , Bogotá, 9 abril; Caballero, Antonio, (2004) Los secuestros de los Vélez, , Semana, Bogotá, 19 julio; Collazos, Óscar, Sobre errores (2010) El Tiempo, , Bogotá, 20 mayo; Cuervo, Jorge Iván, La indignidad del secuestro" y "Las cartas a las FARC (2008) El Espectador, , Bogotá, 31 octubre y 12 diciembre; De la Calle, Humberto, La utopía iracunda (2012) El Espectador, , Bogotá, 8 enero; Duncan, Gustavo, Pecado original (2014) El Tiempo, , Bogotá, 24 abril; El momento de los intelectuales (2009) El Espectador, , Editorial. Bogotá, 16 febrero; Escobar, Eduardo, Provechosa lectura de los sabios (2017) El Tiempo, , Bogotá, 14 febrero; Escobar, Eduardo, Mi Alfredo Molano (2019) El Tiempo, , Bogotá, 5 noviembre; Fals Borda, Orlando, Terceras fuerzas triunfantes en Colombia (1989) Foro, (9), pp. 3-7; García-Peña, Daniel, ¿Razón o fuerza? (2010) El Espectador, , Bogotá, 29 septiembre; García, Ricardo, Las guerrillas colombianas: la autojustificación de un proyecto imposible (1993) Foro, (22), pp. 57-64; Gaviria, Pascual, Juegos de mesa (2012) El Espectador, , Bogotá, 12 septiembre; Guerrero, Arturo, Lenguas largas, ideas cortas (2019) El Espectador, , Bogotá, 5 julio; Hoyos, Andrés, Los rescates (2010) El Espectador, , Bogotá, 16 junio; Hoyos, Andrés, Paramilitarismos (2009) El Espectador, , Bogotá, 2 septiembre; Jaramillo, Ana María, 1965: Camilo Torres, del Frente Unido a la guerrilla. 1985: ¿De la guerrilla al Diálogo Nacional? (1985) Magazín Dominical de El Espectador, , Bogotá, 3 marzo; Leal Buitrago, Francisco, Se requieren propuestas viables de paz. La internacionalización de la guerra (2008) El Tiempo, , Bogotá, 26 enero; Lleras Restrepo, Carlos, Arroz cubano con el Che (1990) Lecturas dominicales, , de El Tiempo, Bogotá, 29 abril; Melo, Jorge Orlando, 'Ningún partido ha querido eliminar la desigualdad' (2018), Semana, Bogotá, 22 abril; Melo, Jorge Orlando, La misma espada (2001) Lecturas dominicales, , de El Tiempo, Bogotá, 1 abril; Melo, Jorge Orlando, ¿Cuáles secuestrados? (2009) El Tiempo, , Bogotá, 19 febrero; Molano, Alfredo, Desaparición forzada (2008) El Espectador, , Bogotá, 25 abril; Molano, Alfredo, Insurgencia civil (2012) El Espectador, , Bogotá, 16 septiembre; Molano, Alfredo, La ley de la gravedad (2011) El Espectador, , Bogotá, 1 mayo; Molano, Alfredo, Los niños y la guerra (2017) El Espectador, , Bogotá, 12 febrero; Ospina, William, El viejo remedio (2010) El Espectador, , Bogotá, 3 octubre; Ospina, William, Lo que se gesta en Colombia (2014) El Espectador, , 14 diciembre; Ospina, William, La paz son los cambios (2016) El Espectador, , Bogotá, 26 junio; Ospina, William, (2008) Una carta para el Presidente Chávez, , http://www.polodemocratico.net/Una-carta-para-el-Presidente, enero 21 de; Pizarro, Eduardo, Fin de una era (1986) El Tiempo, , Bogotá, 19 enero; Reyes, Alejandro, Escarmentar a unos pocos. El placer de enjuiciar (2008) El Tiempo, , Bogotá, 5 mayo; Reyes, Alejandro, Dejar atrás la agenda de Uribe (2019) El Espectador, , Bogotá, 13 diciembre; Rojas, Daniel Emilio, Camilo y la nueva memoria (I) (2016) El Espectador, , Bogotá, 23 febrero; Rojas, Daniel Emilio, Camilo y la nueva memoria (II) (2016) El Espectador, , Bogotá, 1 marzo; Samper Pizano, Daniel, La guerra: éxitos y deshumanización (2010) El Tiempo, , Bogotá, 26 septiembre; Santos Calderón, Enrique, El espejo de Tacueyó (1986) El Tiempo, , Bogotá, 19 enero; Santos, Hernando, El son cubano (1994) El Tiempo, , Bogotá, 18 diciembre; Spitaletta, Reinaldo, País militarista (2011) El Espectador, , Bogotá, 8 noviembre; Springer, Natalia, ¿Estamos pactando con el diablo? (2012) El Tiempo, , Bogotá, 24 septiembre; Tokatlian, Juan Gabriel, Una mirada distinta (2002) El Tiempo, , Bogotá, 19 enero; Torres, Camilo, Mensaje a los campesinos (1965) Frente Unido, (7), p. 1; Torres, Marcelo, Sobre las discrepancias del Polo en vísperas de su Congreso; (2008) Verdades olvidadas pero vigentes, , http://www.polodemocratico.net/Verdades-olvidadas-pero-vigentes, Diciembre 12 de; Valencia, León, Guerra total o nuevo proceso de paz (2002) El Tiempo, , Bogotá, 22 febrero; Valencia, León, Dos juicios, dos relaciones entre políticos e ilegales (2010) El Tiempo, , Bogotá, 21 julio; Vargas, Mauricio, ¿Y la Farc? (2018) El Tiempo, , Bogotá, 18 marzo; Abad, Héctor, (2006) El olvido que seremos, , Bogotá: Editorial Planeta; Camacho, Álvaro, Guzmán, Álvaro, Violencia, democracia y democratización en Colombia (1989) Nueva sociedad, (101), pp. 64-72; Cardona Hoyos, José, (1985) Ruptura. Una camarilla corroe al PCC, , Bogotá: Ediciones Rumbo Popular; Cubides, Fernando, Eduardo Pizarro, Las FARC (1949-1966) de la autodefensa a la combinación de todas las formas de lucha (1992) Análisis político, (15), pp. 123-125; de Currea, Víctor, (2007) Poder y guerrillas en América Latina. Una mirada a la historia del guerrillero de a pie, , Málaga: Sepha; Estrada, Jairo, Acumulación capitalista, dominación de clase y rebelión armada (2015) Contribución al entendimiento del conflicto armado en Colombia por la Comisión Histórica del Conflicto y sus Víctimas, , En Bogotá: Ediciones Desde abajo; Fals Borda, Orlando, (2008) La subversión en Colombia: el cambio social en la historia, , Bogotá: FICA/CEPA; García Durán, Mauricio, Las negociaciones de paz. Más allá de la coyuntura (2001) Cien Días vistos por el CINEP, (46), pp. 11-14; Giraldo, Javier, Aportes sobre el origen del conflicto armado en Colombia, su persistencia y sus impactos (2015) Contribución al entendimiento del conflicto armado en Colombia por la Comisión Histórica del Conflicto y sus Víctimas, , En Bogotá: Ediciones Desde abajo; Hernández, Luis Humberto, Crítica a los programas de las organizaciones armadas colombianas -sus posibles escenarios de realización Marx Vive, 2. , En; (2003) Sujetos Políticos y Alternativas en el Actual Capitalismo, , Bogotá: Universidad Nacional; Hoyos, Luis Eduardo, Violencia (2002) La filosofía y la crisis colombiana, p. 96. , En Bogotá: Universidad Nacional Taurus; Jimeno, Myriam, Identidad y experiencias cotidianas de violencia (1998) Análisis político, (33), pp. 32-46; Mejía, Andrés, La problemática de seguridad en Colombia desde una perspectiva liberal (2003) La ilustración liberal [revista digital], (18). , Moncada, Alonso. Un aspecto de la violencia. Bogotá: Promotora Colombiana de ediciones y revistas, 1963; Naranjo, Gilberto, Movimiento guerrillero y tregua (1985) Controversia, (128), pp. 37-74; Pedraza, Oscar Humberto, El ejercicio de la liberación nacional: ética y recursos naturales en el ELN (2009) Una historia inconclusa. Izquierdas políticas y sociales en Colombia, , En Bogotá: CINEP; Pizarro, Eduardo, (1991) Las FARC (1944-1966). De la autodefensa a la combinación de todas las formas de lucha, , Bogotá: IEPRI; Pizarro, Eduardo, Elementos para una sociología de la guerrilla en Colombia (1991) Análisis Político, (12), pp. 7-22; Prado, Víctor Eduardo, (2011) Sur del Tolima "Terror" Repúblicas independientes, , Ibagué: León Gráficas; Ramírez, William, Violencia y democracia en Colombia (1988) Análisis político, (3), pp. 64-78; Ramírez, William, ¿Guerra civil en Colombia? (2002) Análisis político, (46), pp. 151-163; Sánchez, Gonzalo, (1987) Colombia: violencia y democracia, , dir. Bogotá: Universidad Nacional; Sánchez, Gonzalo, (2013) Basta ya! Colombia: memorias de guerra y dignidad, , coord. Bogotá: Centro Nacional de Memoria Histórica DPS; Sánchez, Gonzalo, La guerra contra los derechos del hombre (2002) Análisis político, (46), pp. 181-190; Sánchez, Ricardo, Colombia: El bloqueo de las izquierdas como tercera alternativa (1989) Foro, (9), pp. 8-11; Santos, Enrique, (2001) Palabras pendientes, , Bogotá: El Áncora Editores; Torres, Carlos Arturo, (2001) Obras, I. , Bogotá: Instituto Caro y Cuervo; Uricoechea, Fernando, Las violencias de hoy: crisis agraria y crisis política (1989) Revista Universidad Nacional, (19), pp. 10-15; Vargas, Alejo, Conflicto armado y perspectivas de una salida política negociada (1999) Marx vive, , En Bogotá: Universidad Nacional; Vásquez Carrizosa, Alfredo, Reflexiones sobre la violencia político-social de Colombia (1987) Foro, (3), pp. 11-16; Zuleta, Estanislao, "La violencia política en Colombia" (1990) Foro, (12), pp. 11-21</t>
  </si>
  <si>
    <t>Useche, I.V.; Universidad Pedagógica y Tecnológica de ColombiaColombia; email: isidrovanegas@yahoo.fr</t>
  </si>
  <si>
    <t>Sello editorial Universidad del Atlantico</t>
  </si>
  <si>
    <t>2-s2.0-85131066471</t>
  </si>
  <si>
    <t>Juárez R.P.A.</t>
  </si>
  <si>
    <t>23492267400;</t>
  </si>
  <si>
    <t>Bibliometric analysis and mapping of international publications about salivary cortisol (1960-2019) [Análisis bibliométrico y mapeo de publicaciones internacionales sobre cortisol salival (1960-2019)]</t>
  </si>
  <si>
    <t>e1841</t>
  </si>
  <si>
    <t>https://www.scopus.com/inward/record.uri?eid=2-s2.0-85131063017&amp;partnerID=40&amp;md5=075bfe4646df20d29cb06354d77a5a18</t>
  </si>
  <si>
    <t>Universidad Nacional del Nordeste. Campus Deodoro Roca, Corrientes, Argentina</t>
  </si>
  <si>
    <t>Juárez, R.P.A., Universidad Nacional del Nordeste. Campus Deodoro Roca, Corrientes, Argentina</t>
  </si>
  <si>
    <t>The purpose of the study was to evaluate the scientific activity about salivary cortisol. A bibliometric method was applied using MEDLINE and LILACS. The study period extended from 1960 to 2019. The data presented in the study were analyzed with the software VOSviewer and Publish or Perish. The search retrieved 6063 documents from MEDLINE and 47 from LILACS. Increase in the number of publications was notable in the period 2010-2019. The United States had the largest scientific production in MEDLINE with 21% of the documents, whereas Brazil was at the top of the list in LILACS with 70.2%. Authors with a productivity index equal to or greater than 1 (prolific producers) represented 0.93% in MEDLINE and 0% in LILACS. Mean number of authors per publication was 5.12 in MEDLINE and 4.70 in LILACS. Six main research topics were found to be related to salivary cortisol: 1) stress 2) hypothalamic-pituitary-adrenal axis; 3) circadian rhythm; 4) emotions, anxiety, depression; 5) sleep-wake; 6) determining factors. Research on salivary cortisol is on the increase, with gradual improvement in multiauthorship as an expression of collaboration between authors. Future research should focus on interindividual differences and intraindividual variability of salivary cortisol concentration. © 2022, Centro Nacional de Informacion de Ciencias Medicas. All rights reserved.</t>
  </si>
  <si>
    <t>bibliometrics; hydrocortisone; periodical publication; saliva</t>
  </si>
  <si>
    <t>Stupnicki, R, Obminski, Z., Glucocorticoid response to exercise as measured by serum and salivary cortisol (1992) Eur J Appl Physiol Occup Physiol, 65 (6), pp. 546-549. , https://10.1007/BF00602363; Born, J, Fehm, HL., The neuroendocrine recovery function of sleep (2000) Noise Health, 2 (7), pp. 25-38; Horrocks, PM, Jones, AF, Ratcliffe, WA, Holder, G, White, A, Holder, R, Patterns of ACTH and cortisol pulsatility over twenty-four hours in normal males and females (1990) Clin Endocrinol (Oxf), 32 (1), pp. 127-134. , https://10.1111/j.1365-2265.1990.tb03758.x; Kudielka, BM, Kirschbaum, C., Sex differences in HPA axis responses to stress: a review (2005) Biol Psychol, 69 (1), pp. 113-132. , https://10.1016/j.biopsycho.2004.11.009; Ali, N, Pruessner, JC., The salivary alpha amylase over cortisol ratio as a marker to assess dysregulations of the stress systems (2012) Physiol Behav, 106 (1), pp. 65-72. , https://10.1016/j.physbeh.2011.10.003; Stalder, T, Kirschbaum, C, Kudielka, BM, Adam, EK, Pruessner, JC, Wüst, S, Assessment of the cortisol awakening response: Expert consensus guidelines (2016) Psychoneuroendocrinology, 63, pp. 414-432. , https://10.1016/j.psyneuen.2015.10.010; Rantonen, PJ, Penttilä, I, Meurman, JH, Savolainen, K, Närvänen, S, Helenius, T., Growth hormone and cortisol in serum and saliva (2000) Acta Odontol Scand, 58 (6), pp. 299-303. , https://10.1080/00016350050217163; Gröschl, M., Saliva: a reliable sample matrix in bioanalytics (2017) Bioanalysis, 9 (8), pp. 655-668. , https://10.4155/bio-2017-0010; Bozovic, D, Racic, M, Ivkovic, N., Salivary cortisol levels as a biological marker of stress reaction (2013) Med Arch, 67 (5), pp. 374-377. , https://10.5455/medarh.2013.67.374-377; Mariscal, G, Vera, P, Platero, JL, Bodí, F, de la Rubia Ortí, JE, Barrios, C., Changes in different salivary biomarkers related to physiologic stress in elite handball players: the case of females (2019) Sci Rep, 9 (1), p. 19554. , https://doi.org/10.1038/s41598-019-56090-x; Baudin, C, Lefèvre, M, Selander, J, Babisch, W, Cadum, E, Carlier, MC, Saliva cortisol in relation to aircraft noise exposure: pooled-analysis results from seven European countries (2019) Environ Health, 18 (1), p. 102. , https://10.1186/s12940-019-0540-0; Melia, CS, Soria, V, Salvat Pujol, N, Cabezas, Á, Nadal, R, Urretavizcaya, M, Sex-specific association between the cortisol awakening response and obsessive-compulsive symptoms in healthy individuals (2019) Biol Sex Differ, 10 (1), p. 55. , https://10.1186/s13293-019-0273-3; Alghadir, AH, Gabr, SA, Iqbal, ZA., Effect of Gender, Physical Activity and Stress-Related Hormones on Adolescent's Academic Achievements (2020) Int J Environ Res Public Health, 17 (11), p. 4143. , https://10.3390/ijerph17114143; Schneider, M, Kane, CM, Rainwater, J, Guerrero, L, Tong, G, Desai, SR, Feasibility of common bibliometrics in evaluating translational science (2017) J Clin Transl Sci, 1 (1), pp. 45-52. , https://10.1017/cts.2016.8; Ramos, MB, Koterba, E, Rosi Júnior, J, Teixeira, MJ, Figueiredo, EG., A Bibliometric Analysis of the Most Cited Articles in Neurocritical Care Research (2019) Neurocrit Care, 31 (2), pp. 365-372. , https://10.1007/s12028-019-00731-6; Gorbea Portal, S., Una nueva perspectiva teórica de la bibliometría basada en su dimensión histórica y sus referentes temporales (2016) Investig bibl, 30 (70), pp. 11-16. , https://doi.org/10.1016/j.ibbai.2016.10.001; Romaní, F, Huamaní, Ch, González Alcaide, G., Estudios bibliométricos como línea de investigación en las ciencias biomédicas: una aproximación para el pregrado (2011) CIMEL Ciencia e Investigación Médica Estudiantil Latinoamericana, 16 (1), pp. 52-62. , https://www.redalyc.org/articulo.oa?id=71723602008, [acceso 26/12/2020]; Disponible en; Juliani, F, de Oliveira, OJ., State of research on public service management: Identifying scientific gaps from a bibliometric study (2016) Int J Inf Manage, 36 (6), pp. 1033-1041. , https://doi.org/10.1016/j.ijinfomgt.2016.07.003; Gunashekar, S, Wooding, S, Guthrie, S., How do NIHR peer review panels use bibliometric information to support their decisions? (2017) Scientometrics, 112 (3), pp. 1813-1835. , https://10.1007/s11192-017-2417-8; Aznar Díaz, I, Trujillo Torres, JM, Romero Rodríguez, JM., Estudio bibliométrico sobre la realidad virtual aplicada a la neurorrehabilitación y su influencia en la literatura científica (2018) Revista Cubana de Información en Ciencias de la Salud, 29 (2). , http://www.acimed.sld.cu/index.php/acimed/article/view/1209, [acceso 26/12/2020]; [aprox. 0 p]. Disponible en; León Corrales, LM, Pérez Moya, F, Sánchez Sánchez, CF, Damas Bonachea, D., Análisis bibliométrico de la retinopatía diabética en revistas médicas cubanas: un producto de información con valor agregado (2019) Revista Cubana de Información en Ciencias de la Salud, 30 (4). , http://www.acimed.sld.cu/index.php/acimed/article/view/1381, [acceso 26/12/2020]; [aprox. 0 p]. Disponible en; Juárez, RP., Análisis bibliométrico de la producción científica internacional relacionada con la saliva (2020) Revista Cubana de Información en Ciencias de la Salud, 31 (2). , http://www.acimed.sld.cu/index.php/acimed/article/view/1525, [acceso 26/12/2020]; [aprox. 0 p]. Disponible en; Rodríguez Gutiérrez, JK, Gómez Velasco, NY, Herrera Martínez, Y., Técnicas bibliométricas en dinámicas de producción científica en grupos de investigación. Caso de estudio: Biología-UPTC (2017) Rev Lasallista Investig, 14 (2), pp. 73-82. , https://10.22507/rli.v14n2a7; Tomás Górriz, V, Tomás Casterá, V., La Bibliometría en la evaluación de la actividad científica (2018) Hosp Domic, 2 (4), pp. 145-163. , http://doi.org/10.22585/hospdomic.v2i4.51; (2018) Ciencia, tecnología e innovación. Gasto interno bruto en I + D como porcentaje del PIB [Internet], , http://data.uis.unesco.org/, París, Francia: Organización de las Naciones Unidas para la Educación, la Ciencia y la Cultura; [acceso 10/12/2020]. Disponible en; (2021) Country Ranking, , http://www.scimagojr.com, [Internet]. España: Scimago Lab; [citado 2021 Dic 13]. Accesible en; Aleixandre Benavent, R, González de Dios, J, Castelló Cogollos, L, Navarro Molina, C, Alonso Arroyo, A, Vidal Infer, A, Bibliometría e indicadores de actividad científica (V). Indicadores de colaboración (1) (2017) Acta Pediatr Esp, 75 (9-10), pp. 108-113. , Disponible en: file:///D:/Usuarios/cliente/Downloads/Formacion_Bibliometria-V.pdf; Olivera Batista, D, Peralta González, MJ, García García, O., La coautoría como expresión de la colaboración en la producción científica de Camagüey (2018) Biblios: Journal of Librarianship and Information Science, 70. , https://biblios.pitt.edu/ojs/index.php/biblios/article/view/423, [acceso 20/01/2021];:[aprox. 0 p]. Disponible en; Urbizagástegui Alvarado, R., El crecimiento de la literatura sobre la ley de Bradford (2016) Investig. Bibl, 30 (68), pp. 51-72. , https://doi.org/10.1016/j.ibbai.2016.02.003; Kirschbaum, C, Hellhammer, DH., Salivary cortisol in psychoneuroendocrine research: recent developments and applications (1994) Psychoneuroendocrinology, 19 (4), pp. 313-333. , https://10.1016/0306-4530(94)90013-2; Caetano, MSS, Silva, RC, Kater, CE., Increased diagnostic probability of subclinical Cushing’s syndrome in a population sample of overweight adult patients with type 2 diabetes mellitus (2007) Arq Bras Endocrinol Metab, 51 (7), pp. 1118-1127. , https://doi.org/10.1590/S0004-2730200700070001532, [acceso 12/12/2020]; Disponible en: Vieira JGH, Nakamura OH, Carvalho Determination of cortisol and; cortisone in human saliva by a liquid chromatography-tandem mass spectrometry method (2014) Arq Bras Endocrinol Metab, 58 (8), pp. 844-850. , https://doi.org/10.1590/0004-2730000003347, [acceso 12/12/2020]; Disponible en; Castro, M, Elias, PC, Martinelli, CE, Antonini, SR, Santiago, L, Moreira, AC., Salivary cortisol as a tool for physiological studies and diagnostic strategies (2000) Braz J Med Biol Res, 33 (10), pp. 1171-1175. , https://10.1590/s0100-879x2000001000006; Pollard, TM., Use of cortisol as a stress marker: Practical and theoretical problems (1995) Am J Hum Biol, 7 (2), pp. 265-274. , https://10.1002/ajhb.1310070217; Vining, RF, McGinley, RA, Maksvytis, JJ, Ho, KY., Salivary cortisol: a better measure of adrenal cortical function than serum cortisol (1983) Ann Clin Biochem, 20, pp. 329-335. , https://10.1177/000456328302000601, (Pt 6); Aardal Eriksson, E, Karlberg, BE, Holm, AC., Salivary cortisol-an alternative to serum cortisol determinations in dynamic function tests (1998) Clin Chem Lab Med, 36 (4), pp. 215-222. , https://10.1515/CCLM.1998.037; Törnhage, CJ., Salivary cortisol for assessment of hypothalamic-pituitary-adrenal axis function (2009) Neuroimmunomodulation, 16 (5), pp. 284-289. , https://10.1159/000216186; Ryan, R, Booth, S, Spathis, A, Mollart, S, Clow, A., Use of Salivary Diurnal Cortisol as an Outcome Measure in Randomised Controlled Trials: a Systematic Review (2016) Ann Behav Med, 50 (2), pp. 210-236. , https://10.1007/s12160-015-9753-9; Speer, KE, Semple, S, Naumovski, N, D'Cunha, NM, McKune, AJ., HPA axis function and diurnal cortisol in post-traumatic stress disorder: A systematic review (2019) Neurobiol Stress, 11, p. 100180. , https://10.1016/j.ynstr.2019.100180; Weibel, L., Recommandations méthodologiques préalables à l'utilisation du cortisol salivaire comme marqueur biologique de stress [Methodological guidelines for the use of salivary cortisol as biological marker of stress] (2003) Presse Med, 32 (18), pp. 845-851; Marques, AH, Silverman, MN, Sternberg, EM., Evaluation of stress systems by applying noninvasive methodologies: measurements of neuroimmune biomarkers in the sweat, heart rate variability and salivary cortisol (2010) Neuroimmunomodulation, 17 (3), pp. 205-208. , https://10.1159/000258725; Blair, J, Adaway, J, Keevil, B, Ross, R., Salivary cortisol and cortisone in the clinical setting (2017) Curr Opin Endocrinol Diabetes Obes, 24 (3), pp. 161-168. , https://10.1097/MED.0000000000000328; Hulett, JM, Fessele, KL, Clayton, MF, Eaton, LH., Rigor and Reproducibility: A Systematic Review of Salivary Cortisol Sampling and Reporting Parameters Used in Cancer Survivorship Research (2019) Biol Res Nurs, 21 (3), pp. 318-334. , https://10.1177/1099800419835321; Almeida, DM, Piazza, JR, Stawski, RS., Interindividual differences and intraindividual variability in the cortisol awakening response: an examination of age and gender (2009) Psychol Aging, 24 (4), pp. 819-827. , https://10.1016/j.neubiorev.2017.08.015, https://10.1037/a0017910 Strahler J, Skoluda N, Kappert MB, Nater UM. Simultaneous measurement of salivary cortisol and alpha-amylase: Application and recommendations. Neurosci Biobehav Rev. 2017;83:657-77</t>
  </si>
  <si>
    <t>Juárez, R.P.A.; Universidad Nacional del Nordeste. Campus Deodoro RocaArgentina; email: ropablojuarez@gmail.com</t>
  </si>
  <si>
    <t>2-s2.0-85131063017</t>
  </si>
  <si>
    <t>Wilches Visbal J.H., Castillo Pedraza M.C., Pérez Anaya O.</t>
  </si>
  <si>
    <t>Plagiarism and predatory journals: an economic and ethical problem in Colombian public universities [El plagio y las revistas depredadoras: un problema económico y ético en universidades públicas de Colombia]</t>
  </si>
  <si>
    <t>e1911</t>
  </si>
  <si>
    <t>https://www.scopus.com/inward/record.uri?eid=2-s2.0-85131049146&amp;partnerID=40&amp;md5=b30f71cfcd5967393821284a16fdc150</t>
  </si>
  <si>
    <t>Universidad del Magdalena, Facultad de Ciencias de la Salud, Santa Marta, Colombia</t>
  </si>
  <si>
    <t>Wilches Visbal, J.H., Universidad del Magdalena, Facultad de Ciencias de la Salud, Santa Marta, Colombia; Castillo Pedraza, M.C., Universidad del Magdalena, Facultad de Ciencias de la Salud, Santa Marta, Colombia; Pérez Anaya, O., Universidad del Magdalena, Facultad de Ciencias de la Salud, Santa Marta, Colombia</t>
  </si>
  <si>
    <t>Abad García, MF., El plagio y las revistas depredadoras como amenaza a la integridad científica (2019) An Pediatría, 90 (1), p. 57e1. , https://linkinghub.elsevier.com/retrieve/pii/S1695403318305265, [acceso 13/03/2021]; -57.e8. Disponible en; Debnath, J., Plagiarism: A silent epidemic in scientific writing – Reasons, recognition and remedies (2016) Med J Armed Forces India, 72 (2), pp. 164-167. , https://linkinghub.elsevier.com/retrieve/pii/S0377123716300016, [acceso 13/03/2021]; Disponible en; Duc, N, Hiep, D, Thong, P, Zunic, L, Zildzic, M, Donev, D, Predatory Open Access Journals are Indexed in Reputable Databases: a Revisiting Issue or an Unsolved Problem (2020) Med Arch, 74 (4), p. 318. , https://www.ejmanager.com/fulltextpdf.php?mno=126337, [acceso 13/03/2021]; Disponible en; Angadi, PV., Kaur, H., Research Integrity at Risk: Predatory Journals Are a Growing Threat (2020) Arch Iran Med, 23 (2), pp. 113-116. , http://www.ncbi.nlm.nih.gov/pubmed/32061074, [acceso 13/03/2021]; Disponible en; Méndez Sagayo, J, Vera Azaf, L., Salarios, incentivos y producción intelectual docente en la universidad pública en Colombia (2015) Apunt del CENES, 34 (60), pp. 95-130. , http://revistas.uptc.edu.co/index.php/cenes/article/view/3281, [acceso 13/03/2021]; Disponible en; Acevedo, D, Montero, PM, Duran, M., Análisis de la Productividad Académica de Profesores del Área de Ingeniería (2016) Form Univ, 9 (2), pp. 89-96. , http://www.scielo.cl/scielo.php?script=sci_arttext&amp;pid=S0718-50062016000200010&amp;lng=en&amp;nrm=iso&amp;tlng=en, [acceso 13/03/2021]; Disponible en; (2021) USCO: Docentes y exrector se habrían beneficiado con revistas depredadoras, 1. , https://www.universidad.edu.co/usco-docentes-y-exrector-se-habrian-beneficiado-con-revistas-depredadoras/, [acceso 21/02/2021];. Disponible en; (2021) Uniatlántico: Fiscalía analiza posible peculado en puntajes de escalafón, 1. , https://www.universidad.edu.co/uniatlantico-fiscalia-analiza-posible-peculado-en-puntajes-de-escalafon/, [acceso 13/03/2021];. Disponible en; (2021) Por subir salarios con revistas depredadoras, denuncian por concierto para delinquir a profesores de la UFPS, 1. , https://www.universidad.edu.co/por-subir-salarios-con-revistas-depredadoras-denuncian-de-concierto-para-delinquir-a-profesores-de-la-ufps/, [acceso 13/03/2021];. Disponible en; Plagio, SOS., (2020) Estudios de Caso, , https://www.plagios.org/casos/, [acceso 13/03/2021]. Disponible en; Hernández García, F, Vitón Castillo, AA., Comportamientos deshonestos y plagio en la publicación científica (2021) Rev Cuba Inf en Ciencias la Salud, 32 (1), p. e1698. , http://www.acimed.sld.cu/index.php/acimed/article/view/1698/pdf_67, [acceso 13/03/2021]; Disponible en</t>
  </si>
  <si>
    <t>Wilches Visbal, J.H.; Universidad del Magdalena, Colombia; email: jhwilchev@gmail.com</t>
  </si>
  <si>
    <t>2-s2.0-85131049146</t>
  </si>
  <si>
    <t>Burgos-Cañas D., Lozano-Suarez F.E., Fonseca-Pinto D.E.</t>
  </si>
  <si>
    <t>57718377200;57211903491;56382772300;</t>
  </si>
  <si>
    <t>Business development in beekeeping associations: Case study Association "Panaldemiel" of the municipality of Fortul-Arauca [Fortalecimiento empresarial en asociaciones apícolas: estudio de caso Asociación "Panaldemiel" del municipio de Fortul-Arauca]</t>
  </si>
  <si>
    <t>https://www.scopus.com/inward/record.uri?eid=2-s2.0-85131013310&amp;doi=10.31910%2frudca.v25.n1.2022.2203&amp;partnerID=40&amp;md5=f370ce52b0872dd27866aaa376d25518</t>
  </si>
  <si>
    <t>Universidad Pedagógica y Tecnológica de Colombia-UPTC, Seccional Duitama, Administración Empresas Agropecuarias, Grupo de Investigación GIGASS, Boyacá, Duitama, Colombia</t>
  </si>
  <si>
    <t>Burgos-Cañas, D., Universidad Pedagógica y Tecnológica de Colombia-UPTC, Seccional Duitama, Administración Empresas Agropecuarias, Grupo de Investigación GIGASS, Boyacá, Duitama, Colombia; Lozano-Suarez, F.E., Universidad Pedagógica y Tecnológica de Colombia-UPTC, Seccional Duitama, Administración Empresas Agropecuarias, Grupo de Investigación GIGASS, Boyacá, Duitama, Colombia; Fonseca-Pinto, D.E., Universidad Pedagógica y Tecnológica de Colombia-UPTC, Seccional Duitama, Administración Empresas Agropecuarias, Grupo de Investigación GIGASS, Boyacá, Duitama, Colombia</t>
  </si>
  <si>
    <t>Beekeeping worldwide is of great importance for the performance of bees as pollinating agents of 75 % of the crops that guarantee the food security of millions of people. In Colombia, the beekeeping sector contributes to the strengthening of the peasant economy and promotes the conservation of different strategic ecosystems. With respect to the municipality of Fortul-Arauca has an important forest reserve area and wide variability of ecosystems suitable for the development of beekeeping, an activity that is currently developed by the association "Panaldemiel", which requires an accompaniment and strengthening of organizational and managerial capacities, so the purpose of this research is "to strengthen the administrative management of the Association of Beekeepers "Panaldemiel" of the municipality of Fortul-Arauca" study supported by the Action-participation research method, under the case study strategy, which allows analyzing the problem in a real context, facilitating the obtaining of information necessary for the formulation of strategic tools aimed at boosting the productive and competitive process of the association at the local and regional level. It is concluded that the association has a high percentage of internal and external positive aspects that support it significantly, however, a government compromise is required to mitigate the situation of public order that is lived in this region. © 2022 Revista U.D.C.A Actualidad and Divulgacion Cientifica. All rights reserved.</t>
  </si>
  <si>
    <t>Administrative process; Apis mellifera; Beekeeping; Business partnerships; Strategic diagnosis</t>
  </si>
  <si>
    <t>Diagnóstico y propuesta Estratégica. En: Plan de Desarrollo Municipal (2020), pp. 42-264. , https://fortularauca.micolombiadigital.gov.co/sites/fortularauca/content/fles/000613/30641_nuestro-compromiso-es-fortul-vfnal-proyecto-de-acuerd.pdf, Nuestro compromiso es Fortul 2020-2023; Balance de la cooperación internacional en asociatividad 2010-2016 (2017) Asociatividad. Balance de las experiencias de cooperación internacional en Colombia, pp. 6-11. , APC-COLOMBIA. En; ARIAS, F., VÉLEZ, O., Caso empresarial Agrícola Naranjas San José SAS (2018) Fortalecimiento empresarial: investigación y aplicaciones, pp. 71-89. , En: Echeverry Gutiérrez, C.A. (Ed). Coruniamericana; (2020) Ordenanza No. 09 de 2020 por la cual se adopta el plan participativo de desarrollo departamental "Construyendo Futuro 2020-2023", p. 354. , https://www.arauca.gov.co/images/plandesarrollo/PDD_CONSTRUYENDO_FUTURO_2020-2023.pdf, Gobernación de Arauca. Disponible desde Internet en; AYARA LEANDRO, A., Modelos de planeación estratégica en las empresas familiares (2017) Tec Empresarial, 11 (1), pp. 23-34; BURCKHARDT LEIVA, V., GISBERT SOLER, V., PÉREZ MOLINA, A.I., (2016) Estrategia y desarrollo de una guía de implementación de la norma ISO 9001: 2015: Aplicación PYMES de la comunidad Valenciana, , 3ciencias. 87p; BURGOS-CAÑAS, D., FONSECA-PINTO, D.E., Asociatividad empresarial: una estrategia para las organizaciones del sector cacaotero del municipio de Fortul Arauca (2020) Revista investig. adm. Ing, 8 (1), pp. 91-100. , https://doi.org/10.15649/2346030x.621; (2018) Informe sectorial, p. 37. , https://drive.google.com/fle/d/1V3R1SM13iuQJFE33g_f3irKmSkkyYdJG/view, CADENA PRODUCTIVA DE LAS ABEJAS Y LA APICULTURA, CPAA; MINAGRICULTURA. Disponible desde Internet; COLMENARES, A.M., Investigación-acción participativa: una metodología del conocimiento y la acción (2012) Voces y silencios: Revista Latinoamericana de Educación, 3 (1), pp. 102-115; (2011) Municipio de Fortul, , http://www.corporinoquia.gov.co/cidea/index.php/pages/arauca/category/34-fortul, Disponible desde Internet en; CONTRERAS, L., MAGAÑA MAGAÑA, M.A., Análisis FODA de la apicultura a pequeña escala en el Litoral Centro de Yucatán (2018) Revista de El Colegio de San Luis, 8 (16), pp. 295-310. , https://doi.org/10.21696/rcs19162018771; ESCOBAR CAZAL, E.A., ESCOBAR REYES, G., Diagnóstico y capacitación a entidades sin ánimo de lucro. Provincia del Sumapaz, Colombia (2017) Pensamiento &amp; Gestión, 43, pp. 219-239. , https://doi.org/10.14482/pege.43.10591; JIMENEZ CHAVES, V.E., COMET WEILER, C., Los estudios de casos como enfoque metodológico (2016) Revista de Investigación en Ciencias Sociales y Humanidades, 3 (2), p. 5; LANDINI, F., Problemas de la extensión rural en América Latina (2016) Perfles Latinoamericanos, 24 (47), pp. 47-68. , https://doi.org/10.18504/p12447-005-2016; LONDOÑO MONTOYA, E.M., GÓMEZ BAYONA, L.T., (2019) Empresa, gestión y desarrollo sostenible: Casos y estudios organizacionales, p. 171. , Editorial Bonaventuriana; (2011) Acuerdo de competitividad (2011-2025): Organización de la cadena productiva de las abejas y la apicultura en Colombia, p. 10. , https://sioc.minagricultura.gov.co/Apicola/Normatividad/Acuerdodecompetitividad.pdf, Disponible desde Internet en; (2020) Cadena de las Abejas y la Apicultura, p. 24. , https://sioc.minagricultura.gov.co/Apicola/Documentos/2020-03-31CifrasSectoriales.pdf, Disponible desde Internet en; MONTOYA, P., LEÓN, D., CHAMORRO, F., NATESPARRA, G., Capítulo 6: Apis mellifera como polinizador de cultivos en Colombia (2016) Iniciativa Colombiana de Polinizadores Capítulo Abejas, pp. 97-112. , En: Nates Parra, G. (Ed). ICPA, Corpoamazonia, Conservación Internacional Colombia, Universidad Nacional; MORELOS GÓMEZ, J., FONTALVO HERRERA, T.J., Evaluación de la empresa energética estatal de servicios públicos en Colombia (2012) DAAPGE: Documentos y Aportes en Administración Pública y Gestión Estatal, 18, pp. 89-116; OSPINA PENAGOS, A., ALZATE CASTAÑO, J.D., La asociatividad como estrategia para gestionar los procesos de desarrollo empresarial y solución a problemáticas sociales (2018) Revista Loginn: Investigación Científca y Tecnológica, 2 (1), pp. 80-91. , https://doi.org/10.23850/25907441.1669; PADILLA PUERTA, A.C., MONTOYA-RESTREPO, L.A., MONTOYA-RESTREPO, I.A., Herramientas estratégicas para la propuesta de modelo de cadena productiva forestal para Arauca, Colombia (2018) Orinoquia, 22 (2), pp. 172-188; (2019) De apicultor a apicultor, , https://www.co.undp.org/content/colombia/es/home/presscenter/articles/2019/05/20/de-apicultor-a-apicultor.html, Disponible desde Internet en; RINCÓN YARA, D.F., Análisis de la Política Nacional de Competitividad y Productividad (2008-2014): oportunidades para el sector apícola colombiano (2019) CES Medicina Veterinaria y Zootecnia, 14 (2), pp. 87-107. , https://doi.org/10.21615/cesmvz.14.2.8; SÁNCHEZ OTERO, M., Diagnóstico estratégico de las Juntas de Acción Comunal (2012) Económicas CUC, 33 (1), pp. 65-80; SIRVENT, M., RIGAL, L., Investigación Acción Participativa. Un desafío de nuestros tiempos para la construcción de una sociedad democrática (2012) Proyecto paramo andino, p. 187; STAKE, R., Case studies (1994) Handbook of qualitative research, pp. 236-247. , En: Denzin, N.K.; Lincoln, Y.S. (eds). SAGE Publications, Inc; VÁSQUEZ, Á.W., ESPINOSA PÉREZ, J.R., El diagnóstico como un elemento administrativo para el mejoramiento organizacional en el sector público mexicano (2015) XX Congreso Internacional de Contaduría, Administración e Informática (México), p. 16. , http://congreso.investiga.fca.unam.mx/docs/xx/docs/17.02.pdf, Disponible desde Internet en; VÉLEZ BERNAL, O.I., BELTRÁN RIOS, J.A., LÓPEZ GIRALDO, J.A., ARIAS VARGAS, F.J., Asociatividad empresarial y liderazgo ambidiestro como generadores de innovación (2019) Revista de Ciencias Sociales, 25 (2), pp. 51-72. , https://doi.org/10.31876/rcs.v25i2.27333; VILLAREAL LARRINAGA, O., LANDETA RODRÍGUEZ, J., El estudio de casos como metodología de investigación científca en dirección y economía de la empresa (2010) Investigaciones europeas de dirección y economía de la empresa, 16 (3), pp. 31-52. , https://doi.org/10.1016/S1135-2523(12)60033-1; WANG, Y.-Y., Discussion on the Application Problems of Case Teaching Method (2016) DEStech Transactions on Social Science, Education and Human Science. 2nd International Conference on Social, Education and Management Engineering, , https://doi.org/10.12783/dtssehs/seme2016/5428; ZAPATA, F., RONDÁN, V., (2016) La investigación acción participativa: Guía conceptual y metodológica del Instituto de Montaña, , https://mountain.pe/recursos/attachments/article/168/Investigacion-Accion-Participativa-IAP-Zapata-y-Rondan.pdf, Instituto de Montaña (Lima). Disponible desde Internet en</t>
  </si>
  <si>
    <t>Burgos-Cañas, D.; Universidad Pedagógica y Tecnológica de Colombia-UPTC, Boyacá, Colombia; email: dairo.burgos@uptc.edu.co</t>
  </si>
  <si>
    <t>2-s2.0-85131013310</t>
  </si>
  <si>
    <t>Benavides-Sánchez D.A., Pena-Serna C.</t>
  </si>
  <si>
    <t>57716598100;56903870800;</t>
  </si>
  <si>
    <t>Approaching the sensory profile of Paipa cheese, the Colombian ripened cheese with protected designation of origin</t>
  </si>
  <si>
    <t>Brazilian Journal of Food Technology</t>
  </si>
  <si>
    <t>e2022121</t>
  </si>
  <si>
    <t>10.1590/1981-6723.14121</t>
  </si>
  <si>
    <t>https://www.scopus.com/inward/record.uri?eid=2-s2.0-85130942253&amp;doi=10.1590%2f1981-6723.14121&amp;partnerID=40&amp;md5=00d1009ea1dab5192dc0d224597e1060</t>
  </si>
  <si>
    <t>University of Antioquia, Faculty of Agrarian Sciences, Medellín, Colombia; University of Antioquia, Faculty of Agrarian Sciences, Research Group on Agrarian Sciences, Medellín, Colombia</t>
  </si>
  <si>
    <t>Benavides-Sánchez, D.A., University of Antioquia, Faculty of Agrarian Sciences, Medellín, Colombia; Pena-Serna, C., University of Antioquia, Faculty of Agrarian Sciences, Research Group on Agrarian Sciences, Medellín, Colombia</t>
  </si>
  <si>
    <t>Paipa cheese is the unique Colombian ripened cheese produced from raw milk that has a protected designation of origin (PDO); nonetheless, to date, the dairy product lacks a defined sensory profile, since no study has been previously performed. The aim of this study was to approach the definition of the sensory attributes of the Paipa cheeses that are produced within the PDO region in order to establish the organoleptic aspects of the PDO regulation. A trained panel of five members used the multidimensional approach as a descriptive sensory analysis to establish the sensory profile of Paipa cheese; such analysis was complemented with the method used for PDO cheeses were three cheese producers, two government delegates, one gastronomy expert and two Paipa cheese researchers participated in the descriptive sensory analysis. A microbiological assessment (mesophilic aerobic bacteria, lactic acid bacteria, total and fecal coliforms, coagulase-positive Staphylococci, Salmonella spp. and Listeria monocytogenes) of cheese samples was carried out prior to sensory analysis to guarantee the safety of the samples. The descriptive sensory analysis was performed with 17 cheese samples that represented 77% of Paipa cheese produced in the PDO region. 82 sensory descriptors were identified and 47 were finally established (seven descriptors for appearance, 15 for odor, 15 for taste and 10 for texture) for describing the sensory profile of Paipa cheese. Due to the presence of pathogenic bacteria, the texture and taste profiles of Paipa cheese were based only on three samples. Sensory profiles of cheese samples were highly heterogeneous and it may be a consequence of the variations among raw milk used and/or manufacturing practices of cheese producers. Therefore, in order to find the sensory identity of Paipa cheese and guarantee quality and safety, cheese production and raw milk characteristics must be defined and regulated among milk and Paipa cheese producers. © 2022 Instituto de Tecnologia de Alimentos - ITAL. All rights reserved.</t>
  </si>
  <si>
    <t>Artisanal cheese; Descriptive sensory analysis; Microbiological characterization; Principal component analysis; Raw milk cheese; Sensory profile by a multidimensional approach</t>
  </si>
  <si>
    <t>Álvarez, S., Rodríguez, V., Ruiz, E., Fresno, M., Correlaciones de textura y color instrumental con la composición química de quesos de cabra canarios (2007) Archivos de Zootecnia, 56 (1), pp. 663-666. , www.redalyc.org/articulo.oa?id=49509952, Retrieved in 2021, August 15, from; Ardö, Y., McSweeney, P. L. H., Magboul, A. A., Upadhyay, V. K., Fox, P. F., Biochemistry of cheese ripening: Proteolysis (2017) Cheese: Chemistry, physics &amp; microbiology, pp. 445-480. , https://doi.org/10.1016/B978-0-12-417012-4.00012-0, P. L. H. Mcsweeney, P. F. Fox, P. D. Cotter &amp; D. W. Everett (Eds), London: Elsevier; Arteaga, M., Molina, L. H., Pinto, M., Brito, C., Caracterización de queso Chanco enriquecido con suero lácteo en polvo (2009) Revista Chilena de Nutrición, 36 (1), pp. 53-62. , http://dx.doi.org/10.4067/S0717-75182009000100006; Baars, T., Regulations and Production of Raw Milk (2019) Raw milk: Balance between hazards and benefits, pp. 65-90. , http://dx.doi.org/10.1016/B978-0-12-810530-6.00004-3, L. A. Nero &amp; A. Fernandes (Eds), (Chap. 4, Frick: Elsevier; Bemfeito, R., Rodrigues, J., Silva, J., Abreu, L., Temporal dominance of sensations sensory profile and drivers of liking of artisanal Minas cheese produced in the region of Serra da Canastra, Brazil (2016) Journal of Dairy Science, 99 (10), pp. 7886-7897. , http://dx.doi.org/10.3168/jds.2016-11056, PMid:27497904; Bérodier, F., Lavanchy, P., Zannoni, M., Casals, J., Herrero, L., Adamo, C., Guide d'évaluation olfacto-gustative des fromages à pâte dure et semi-dure (1997) Lebensmittel-Wissenschaft + Technologie, 30 (7), pp. 653-664. , http://dx.doi.org/10.1006/fstl.1996.0235; Braghieri, A., Piazzolla, N., Romaniello, A., Paladino, F., Ricciardi, A., Napolitano, F., Effect of adjuncts on sensory properties and consumer liking of Scamorza cheese (2015) Journal of Dairy Science, 98 (3), pp. 1479-1491. , http://dx.doi.org/10.3168/jds.2014-8555, PMid:25465632; Castellanos, J., Pulido Pérez, R., Grande, M. J., Lucas, R., Gálvez, A., Analysis of the bacterial diversity of Paipa cheese (a traditional raw cow' s milk cheese from Colombia) by high-throughput sequencing (2020) Microorganisms, 8 (2), p. 218. , http://dx.doi.org/10.3390/microorganisms8020218; Chambers, D., Esteve, E., Retiveau, A., Effect of milk pasteurization on flavor properties of seven commercially available French cheese types (2009) Journal of Sensory Studies, 25 (4), pp. 494-511. , http://dx.doi.org/10.1111/j.1745-459X.2010.00282.x; Chatelard-Chauvin, C., Pelissier, F., Hulin, S., Montel, M. C., Behaviour of Listeria monocytogenes in raw milk Cantal type cheeses during cheese making, ripening and storage in different packaging conditions (2015) Food Control, 54, pp. 53-65. , http://dx.doi.org/10.1016/j.foodcont.2015.01.007; (1989) Por la cual se modifica la Resolución No 02310 de 1986, (24 de febrero) que reglamenta parcialmente el titulo V de la Ley 09 de 1979 (Resolución 01804), , https://www.minsalud.gov.co/sites/rid/Lists/BibliotecaDigital/RIDE/DE/DIJ/Resolucion-1804-de-1989.pdf, (febrero 3). Diario Oficial, Bogotá D.C. Retrieved in 2021, August 15, from; (2011) Por la cual se decide la solicitud de protección de la denominación de origen del queso Paipa (Resolución 70802), , https://www.sic.gov.co/sites/default/files/files/Denominacion%20de%20Origen/queso_paipa.pdf, (diciembre 8). Diario Oficial, Bogotá D.C. Retrieved in 2021, August 15, from; (2016) Tercer Censo Nacional Agropecuario, , https://www.dane.gov.co/files/images/foros/foro-de-entrega-de-resultados-y-cierre-3-censo-nacional-agropecuario/CNATomo2-Resultados.pdf, Tomo 2. Bogotá. Retrieved in 2021, August 15, from; Cotter, P. D., Beresford, T. P., Microbiome changes during ripening (2017) Cheese: Chemistry, physics and microbiology, pp. 389-410. , http://dx.doi.org/10.1016/B978-0-12-417012-4.00015-6, P. L. H. McSweeney, P. F. Fox, P. D. Cotter &amp; D. W. Everett (Eds), London: Elsevier; D'Amico, D. J., Donnelly, C. W., Chapter 22. Growth and Survival of Microbial Pathogens in Cheese (2017) Cheese: Chemistry, physics and microbiology, pp. 573-594. , http://dx.doi.org/10.1016/B978-0-12-417012-4.00022-3, P. L. H. McSweeney, P. F. Fox, P. D. Cotter &amp; D. W. Everett (Eds), London: Elsevier; Feng, P., Weagant, S. D., Grant, M. A., Burkhardt, W., Enumeration of Escherichia coli and the coliform bacteria (2020) Bacteriological analytical manual: Method 4, , https://www.fda.gov/food/laboratory-methods-food/bacteriological-analytical-manual-bam, U.S. Food and Drugs Administration (Ed), Silver Spring. Retrieved in 2021, August 15, from; Gérard, A., El-Hajjaji, S., Burteau, S., Fall, P. A., Pirard, B., Taminiau, B., Daube, G., Sindic, M., Study of the microbial diversity of a panel of Belgian artisanal cheeses associated with challenge studies for Listeria monocytogenes (2021) Food Microbiology, 100, p. 103861. , http://dx.doi.org/10.1016/j.fm.2021.103861, PMid:34416961; Hait, J., Staphylococcus aureus (2012) Bad bug book handbook: Handbook of foodborne pathogenic microorganisms and natural toxins introduction, p. 292. , U.S. Food and Drug Administration (Ed), (Silver Spring: FDA; Hong, C. M., Wendorff, W. L., Bradley Junior, R. L., Effects of packaging and lighting on pink discoloration and lipid oxidation of annatto-colored cheeses (1995) Journal of Dairy Science, 78, pp. 1896-1902. , http://dx.doi.org/10.3168/jds.S0022-0302(95)76814-X; (1996) Norma Técnica Colombiana: NTC 3932: Análisis sensorial: Identificación y selección de descriptores para establecer un perfil sensorial por una aproximación multidimensional, , Bogotá D.C; (2007) Norma Técnica Colombiana: NTC 4779: Microbiología de alimentos y alimentos para animales: Método horizontal para el recuento de estafilococos coagulasa positiva (Staphylococcus aureus y otras especies), , Bogotá D.C; (1986) Manual de elaboración de queso Paipa, , Bogotá D.C; (2015) Valores medios mensuales de temperatura y humedad relativa de la estación 24035170 Tunguavita en el municipio de Paipa, Boyacá, , https://repositorio.uptc.edu.co/bitstream/001/1537/2/AnexoA.pdf.pdf, Paipa, Boyacá. Retrieved in 2021, August 15, from; (1996) Diccionario geográfico de Colombia, , https://doi.org/9589067255, Bogotá D.C.: IGAC; (1998) ISO 15214: Microbiology of food and animal feeding stuffs. Horizontal method for the enumeration of mesophilic lactic acid bacteria, , International Organization for Standardization ISO. Colony-count technique at 30°C. Genève; (2013) ISO 4833-1: Microbiology of the food chain. Horizontal method for the enumeration of microorganisms. Part 1: Colony count at 30 degrees C by the pour plate technique, , International Organization for Standardization ISO. Genève; (2017) ISO 6579-1: Microbiology of the food chain. Horizontal method for the detection, enumeration and serotyping of Salmonella. Part 1: Detection of Salmonella spp, , International Organization for Standardization ISO. (a). Genève; (2017) ISO 11290-1: Microbiology of the food chain. Horizontal method for the detection and enumeration of Listeria monocytogenes and of Listeria spp. Part 1: Detection method, , International Organization for Standardization ISO. (b). Genève; Kalac, P., The effects of silage feeding on some sensory and health attributes of cow's milk: A review (2011) Food Chemistry, 125 (2), pp. 307-317. , http://dx.doi.org/10.1016/j.foodchem.2010.08.077; Kraggerud, H., Solem, S., Abrahamsen, R. K., Quality scoring: A tool for sensory evaluation of cheese? (2012) Food Quality and Preference, 26 (2), pp. 221-230. , http://dx.doi.org/10.1016/j.foodqual.2012.04.006; Licitra, G., Caccamo, M., Lortal, S., Artisanal products made with raw milk (2019) Raw milk: Balance between hazards and benefits, pp. 175-221. , http://dx.doi.org/10.1016/B978-0-12-810530-6.00009-2, L. A. Nero &amp; A. Fernandes (Eds), (Chap. 9, Frick: Elsevier; Londoño-Zapata, A. F., Durango-Zuleta, M. M., Sepúlveda-Valencia, J. U., Moreno Herrera, C. X., Characterization of lactic acid bacterial communities associated with a traditional Colombian cheese: double cream cheese (2017) Lebensmittel-Wissenschaft + Technologie, 82, pp. 39-48. , http://dx.doi.org/10.1016/j.lwt.2017.03.058; McSweeney, P. L. H., Biochemistry of cheese ripening: Introduction and overview (2017) Cheese: Chemistry, physics and microbiology, pp. 379-389. , http://dx.doi.org/10.1016/B978-0-12-417012-4.00014-4, P. L. H. McSweeney, P. F. Fox, P. D. Cotter &amp; D. Everett (Eds), London: Elsevier; Montel, M., Buchin, S., Mallet, A., Delbes-Paus, C., Vuitton, D., Desmasures, N., Berthier, F., Traditional cheeses: Rich and diverse microbiota with associated benefits (2014) International Journal of Food Microbiology, 177 (2), pp. 136-154. , http://dx.doi.org/10.1016/j.ijfoodmicro.2014.02.019, PMid:24642348; Montero, H., Aranibar, G. F., Cañameras, C., Castañeda, R., Metodología para la caracterización sensorial de quesos argentinos (2005) Jornadas de Análisis Sensorial: Tendencias Actuales y Aplicaciones "JASLIS 2005", pp. 1-10. , Buenos Aires; O'Sullivan, O., Cotter, P. D., Microbiota of raw milk and raw milk cheeses (2017) Cheese: Chemistry, physics and microbiology, pp. 301-316. , http://dx.doi.org/10.1016/B978-0-12-417012-4.00012-0, London: Elsevier; Ojeda, M., Etaio, I., Fernández Gil, M. P., Albisu, M., Salmerón, J., Pérez Elortondo, F. J., Sensory quality control of cheese: Going beyond the absence of defects (2015) Food Control, 51, pp. 371-380. , http://dx.doi.org/10.1016/j.foodcont.2014.11.034; Ong, L., Lawrence, R. C., Gilles, J., Creamer, L. K., Crow, V. L., Heap, H. A., Honoré, C. G., Gras, S. L., Cheddar cheese and related dry-salted cheese varieties (2017) Cheese: Chemistry, physics and microbiology, pp. 201-226. , http://dx.doi.org/10.1016/B978-0-12-417012-4.00033-8, P. L. H. McSweeney, P. F. Fox, P. D. Cotter &amp; D. Everett (Eds), London: Elsevier; Ramírez-Rivera, E. J., Díaz-Rivera, P., Guadalupe Ramón-Canul, L., Juárez-Barrientos, J. M., Rodríguez-Miranda, J., Herman-Lara, E., Prinyawiwatkul, W., Herrera-Corredor, J. A., Comparison of performance and quantitative descriptive analysis sensory profiling and its relationship to consumer liking between the artisanal cheese producers panel and the descriptive trained panel (2018) Journal of Dairy Science, 101 (7), pp. 5851-5864. , http://dx.doi.org/10.3168/jds.2017-14213, PMid:29705419; Spinelli, S., Masi, C., Dinnella, C., Zoboli, G. P., Monteleone, E., How does it make you feel? A new approach to measuring emotions in food product experience (2014) Food Quality and Preference, 37, pp. 109-122. , http://dx.doi.org/10.1016/j.foodqual.2013.11.009; Usgame-Fagua, K. G., García-Torres, A. M., Rojas-Morales, C. I., Medina-Vargas, O. J., The influence of milk-clotting enzymes on the lipid composition and organoleptic properties of semimatured cheeses (2022) Revista Biotecnología en el Sector Agropecuario y Agroindustrial, 20 (1), pp. 97-112. , http://dx.doi.org/10.18684/bsaa.v.n.2022.1827; Van Hekken, D. L., Drake, M. A., Molina-Corral, F. J., Guerrero-Prieto, V. M., Gardea, A. A., Mexican Chihuahua cheese: Sensory profiles of young cheese (2006) Journal of Dairy Science, 89 (10), pp. 3729-3738. , http://dx.doi.org/10.3168/jds.S0022-0302(06)72414-6, PMid:16960047; Villegas, A., Lozano, O., Cervantes, F., (2015) Valorización de los quesos mexicanos genuinos: Conocimiento, degustación, acompañamiento y gastronomía, , Montecillo, Estado de México: Editorial del Colegio de Postgraduados Colegio; Yoon, Y., Lee, S., Choi, K.-H., Microbial benefits and risks of raw milk cheese (2016) Food Control, 63, pp. 201-215. , http://dx.doi.org/10.1016/j.foodcont.2015.11.013; Zhang, X. Y., Guo, H. Y., Zhao, L., Sun, W. F., Zeng, S. S., Lu, X. M., Cao, X., Ren, F. Z., Sensory profile and Beijing youth preference of seven cheese varieties (2011) Food Quality and Preference, 22 (1), pp. 101-109. , http://dx.doi.org/10.1016/j.foodqual.2010.08.007</t>
  </si>
  <si>
    <t>Benavides-Sánchez, D.A.; University of Antioquia, Carrera 75 # 65-87, Colombia; email: diego.benavides@udea.edu.co</t>
  </si>
  <si>
    <t>Instituto de Tecnologia de Alimentos - ITAL</t>
  </si>
  <si>
    <t>Braz. J. Food Technol.</t>
  </si>
  <si>
    <t>2-s2.0-85130942253</t>
  </si>
  <si>
    <t>Di Benedetto M.</t>
  </si>
  <si>
    <t>57200656568;</t>
  </si>
  <si>
    <t>Affects and Extractivism on La isla de Fushía de Irma del Águila [Afetos e extrativismo em La isla de Fushía de Irma del Águila] [Afectos y extractivismo en La isla de Fushía de Irma del Águila*]</t>
  </si>
  <si>
    <t>e13900</t>
  </si>
  <si>
    <t>10.19053/01218530.n44.2022.13900</t>
  </si>
  <si>
    <t>https://www.scopus.com/inward/record.uri?eid=2-s2.0-85130885268&amp;doi=10.19053%2f01218530.n44.2022.13900&amp;partnerID=40&amp;md5=f527cf22e4cd14f4025edf66e82ed71b</t>
  </si>
  <si>
    <t>Consejo Nacional de Investigaciones Científicas y Técnicas (CONICET), Universidad Nacional de La Plata, Argentina</t>
  </si>
  <si>
    <t>Di Benedetto, M., Consejo Nacional de Investigaciones Científicas y Técnicas (CONICET), Universidad Nacional de La Plata, Argentina</t>
  </si>
  <si>
    <t>This work investigates the literary representation of affections through a set of compositional resources such as fragmentation and narrative discontinuity in the novel La isla de Fushía by Irma del Águila. Through its intertextual relations with the works of Mario Vargas Llosa La casa verde [The Green House] and Historia secreta de una novela, we highlight how to address political concerns related to the environmental (and affective) impact of extractive processes. We are interested in reviewing the alternation between affection and extractivism, based on the deployment of a cartography of the Amazonian territory while taking a distance from the literary regionalism of the beginnings of the 20th century. So, the idea is to reveal how the inclusion of an affective and geographic map has the purpose of evoking personal and colonial traumas, the recovery of the voices of the jungle, more about the testimony about the subjection to the conditions imposed by the influence of the Capitalocene that of its representation in so much vernacular exoticism. © 2022, Universidad Pedagogica y Tecnologica de Colombia, Instituto de Investigaciones y Formacion Avanzada. All rights reserved.</t>
  </si>
  <si>
    <t>affects; extractivism; fragmentation; regionalism; trauma</t>
  </si>
  <si>
    <t>Aínsa, Fernando, (1977) Los buscadores de la utopía, , Caracas, Monte Ávila, Impreso; Andermann, Jens, (2018) Tierras en trance. Arte y naturaleza después del paisaje, , https://doi.org/10.2307/j.ctvckq6jk, Santiago de Chile, Metales Pesados Ediciones, Impreso; Beasley-Murray, Jon, (2010) Poshegemonía. Teoría política y América Latina, , Buenos Aires, Paidós, Impreso; Beckman, Ericka, (2013) Capital Fictions. The Literature of Latin America´s Export Age, , https://doi.org/10.5749/minne-sota/9780816679195.001.0001, Minneapolis, University of Minnesota Press, Impreso; Castro Klarén, Sara, Fragmentación y alienación en La casa verde (1981) Mario Vargas Llosa. El escritor y la crítica, pp. 129-143. , En J. M. Oviedo (Ed), Madrid, Taurus, Impreso; Del Águila, Irma, (2016) La isla de Fushía, , Lima, Alfaguara, Impreso; Del Águila, Irma, En literatura busco salir del terreno de lo obvio (2017) Librosasmi, , https://librosami.pe/2017/10/irma-del-aguila-en-literatura-busco-salir-del-terreno-de-lo-obvio/, 24 de octubre de 2017. Web. 10 de enero de 2022; Deleuze, Gilles, (1988) Spinoza: Practical Philosophy, , San Francisco, City Lights, Impreso; Flatley, Jonathan, (2008) Affective Mapping. Melancholia and the politics of Modernism, , https://doi.org/10.4159/9780674036963, Cambridge (Massachusetts) y Londres, Harvard University Press, Impreso; Foster, Hal, El retorno de lo real. La vanguardia a finales de siglo, , Madrid, Aka2001. Impreso; Genette, Gerard, (1989) Palimpsestos. La literatura en segundo grado, , Madrid, Taurus, Impreso; Gudynas, Eduardo, Extracciones, extractivismos, y extrahecciones: un marco conceptual sobre la apropiación de recursos naturales (2013) Observatorio del Desarrollo, 18, pp. 1-18. , https://ambiental.net/wp-content/uploads/2015/12/GudynasApropiacionExtractivismoExtra-heccionesOdeD2013.pdf, Web. 10 de diciembre de 2021; Haraway, Donna, Antropoceno, Capitaloceno, Plantacionoceno, Chthuluceno: Generando relaciones de parentesco (2016) Revista Latinoamericana de Estudios críticos animales, 1, pp. 15-26. , https://www.academia.edu/35993801/antropoceno_capitaloceno_plantacionoceno_chthuluceno_generando_relaciones_de_parentesco, Web. 27 de noviembre de 2021; Klein, Naomi, (2014) Esto lo cambia todo. El capitalismo contra el clima, , Buenos Aires, Paidós, Impreso; Kristal, Efraín, (1999) Temptation of the Word: The Novels of Mario Vargas Llosa, , https://doi.org/10.2307/j.ctv1vx29c5, Vanderbilt University Press, Impreso; La Capra, Dominick, (2005) Escribir la historia, escribir el trauma, , Buenos Aires, Nueva Visión, Impreso; Machado Aráoz, Horacio, Potosí y los orígenes del extractivismo (2017) Voces en el Fénix, 8 (60), pp. 36-43. , Impreso; Mazzoldi, Bruno, (2018) El antropólogo que llegó del frío (carta abierta a Miguel Taussig), , 3 en 1, Popayán, Universidad del Cauca, Impreso; Miller, Karina, Gold, María Cisterna, Introducción a dossier sobre afectos (2016) Revista Iberoamericana, 77 (257), pp. 675-683. , https://doi.org/10.5195/REVIBEROAMER.2016.7419, Web. 14 de noviembre de 2021; Moore, Jason, (2016) Anthropocene or Capitalocene? Nature, History, and the Crisis of Capitalism, , Oakland, PM Press, Impreso; Morales Mena, Javier, (2019) La representación de la literatura en la ensayística de Mario Vargas Llosa, , Buenos Aires, Ediciones Katatay, Impreso; Pineda Camacho, Roberto, (2000) Holocausto en el Amazonas. Una historia social de la casa Arana, , Bogotá, Editorial Planeta Colombiana, Impreso; Pizarro, Ana, (2011) Amazonía. El río tiene voces. Imaginario y modernización, , La Habana, Casa de las Américas, Impreso; Ramos, Julio, (2017) Detroit´s Rivera. The Labor of Public Art. Palenque Films, , https://vimeo.com/357527432, Web. 15 de enero de 2022; Rogers, Charlotte, (2019) Mourning El Dorado. Literature and Extractivism in the Contemporary American Tropics, , https://doi.org/10.2307/j.ctvs09qxb, Charlottesville y Londres, University of Virginia Press, Impreso; Spinoza, Baruch de, (1980) Ética demostrada según el orden geométrico, , Madrid, Orbis, Impreso; Taussig, Michael, (1993) El diablo y el fetichismo de la mercancía en Sudamérica, , México, Editorial Nueva Imagen, Impreso; Taussig, Michael, (2007) Chamanismo, colonialismo y el hombre salvaje. Un estudio sobre el terror y la curación, , Bogotá, Editorial Norma, Impreso; Vargas Llosa, Mario, (1986) La casa verde, , Barcelona, Seix Barral, Impreso; Vargas Llosa, Mario, (2001) Historia secreta de una novela, , Barcelona, Tusquets, Impreso; Vargas Llosa, Mario, (2010) El sueño del celta, , Buenos Aires, Alfaguara, Impreso; Wallerstein, Immanuel, (1974) The Modern World-System: Capitalist Agriculture and the European World-Economy in the Sixteenth Century, , Nueva York, Academic Press, Impreso; Wylie, Lesley, (2009) Colonial Tropes and Postcolonial Tricks. Rewriting the Tropics in the Novela de la Selva, , https://doi.org/10.2307/j.ctt5vjhfr, Liverpool, Liverpool University Press, Impreso</t>
  </si>
  <si>
    <t>Di Benedetto, M.; Consejo Nacional de Investigaciones Científicas y Técnicas (CONICET), Argentina; email: matias.n.dibenedetto@gmail.com</t>
  </si>
  <si>
    <t>2-s2.0-85130885268</t>
  </si>
  <si>
    <t>Doria Cardoso R.D., Mindiola Rodríguez M.A., López Juvinao D.D.</t>
  </si>
  <si>
    <t>57705481600;57705481700;57193408073;</t>
  </si>
  <si>
    <t>ENVIRONMENTAL SUSTAINABILITY IN A MINING COMPANY DEDICATED TO THE EXPLOITATION OF STONE AGGREGATES IN ALBANIA, LA GUAJIRA [SOSTENIBILIDAD AMBIENTAL EN EMPRESA MINERA DEDICADA A LA EXPLOTACIÓN DE AGREGADOS PÉTREOS EN ALBANIA, LA GUAJIRA]</t>
  </si>
  <si>
    <t>https://www.scopus.com/inward/record.uri?eid=2-s2.0-85130618855&amp;partnerID=40&amp;md5=e14be520c42487e9b1fe66a584254d4c</t>
  </si>
  <si>
    <t>Universidad de La Guajira, Colombia; Universidad Pedagógica y Tecnológica de Colombia, Colombia; Universidad Privada Dr. Rafael Belloso Chacín, Venezuela</t>
  </si>
  <si>
    <t>Doria Cardoso, R.D., Universidad de La Guajira, Colombia; Mindiola Rodríguez, M.A., Universidad de La Guajira, Colombia; López Juvinao, D.D., Universidad de La Guajira, Colombia, Universidad Pedagógica y Tecnológica de Colombia, Colombia, Universidad Privada Dr. Rafael Belloso Chacín, Venezuela</t>
  </si>
  <si>
    <t>In order to evaluate the preconditions for environmental sustainability in a mining company dedicated to the exploitation of stone aggregates in Albania, La Guajira, Colombia, a descriptive, non-experimental, transectional field study was carried out. The environmental problems generated by the mining processes carried out in the exploitation of such aggregates were identified and the application of environmental regulations was examined, in addition to analyzing the strategies and measures of environmental management as indicators that promote environmental sustainability in the mining company. It is concluded that, to promote environmental sustainability in the mining company dedicated to the exploitation of stone aggregates it is required, fundamental, to have clarity and knowledge regarding the nature and implications of the activities of the mines that exploit them, in addition to the responsibilities of an environmental nature that derive from its mining activities. © 2022 Interciencia Association. All rights reserved.</t>
  </si>
  <si>
    <t>Arias, F, (2012) El Proyecto de Investigación, Introducción a la Metodología Científica, p. 143. , Episteme. Venezuela; Bayram, A, Önsoy, H, Sand and gravel mining impact on the surface water quality: A case study from the city of Tirebolu (Giresun Province, NE Turkey) (2014) Environ. Earth Sci, 73, pp. 1997-2011; Cesar, S, Jhony, O, Making or breaking social license to operate in the mining industry: Factors of the main drivers of social conflict (2021) J. Cleaner Prod, 278, pp. 1-9. , https://doi.org; Echavarría, JDL, Gómez, CAR, Aristazábal, MUZ, Vanegas, JO, El método analítico como método natural (2010) Nómadas, 25, pp. 1-28; Farjana, SH, Huda, N, Mahmud, MP, Saidur, R, A review on the impact of mining and mineral processing industries through life cycle assessment (2019) J. Cleaner Prod, 231, pp. 1200-1217. , ht t ps://doi.org; Haghnazar, H, Sangsefidi, Y, Mehraein, M, Tavakol-Davani, H, Evaluation of infilling and replenishment of river sand mining pits (2020) Environ. Earth Sci, 79 (362). , https://doi.org/10.1007/s12665-020-09106-z; Hernández-Sampieri, R, Mendoza, CP, (2018) Metodología de la Investigación: Las Rutas Cuantitativa, Cualitativa y Mixta, p. 714. , McGraw Hill. México; Hilson, G, Nayee, V, Environmental management system implementation in the mining industry: A key to achieving cleaner production (2002) Int. J. Mineral Process, 64, pp. 19-41. , doi:https://doi.org/10.1016/S0301-7516(01)00071-0; Jatib, NH, Carcasés, MU, Ferrer, YR, Impacto ambiental de la explotación del yacimiento de materiales de construcción El Cacao (2011) Minería y Geología, 27, pp. 38-52; López, DD, Torres-Ustate, LM, Moya-Camacho, FO, Tecnologías, procesos y problemática ambiental en la minería de arcilla (2020) Invest. Innov. Ing, 8 (2), pp. 20-43. , doi:https://doi.org/10.17081/invinno.8.2.3857; Marimuthu, R, Sankaranarayanan, B, Ali, SM, de Sousa Jabbour, ABL, Karuppiah, K, Assessment of key socio-economic and environmental challenges in the mining industry: Implications for resource policies in emerging economies (2021) Sustain. Prod. Consump, 27, pp. 814-830. , ht t ps://doi.org; Oblasser, A, Estudio sobre Lineamientos, Incentivos y Regulación para el Manejo de los Pasivos Ambientales Mineros (PAM), Incluyendo Cierre de Faenas Mineras (2016), https://repositorio.cepal.org/handle/11362/40475, Cepal; Oca-Risco, AMD, Ulloa-Carcassés, M, García-Cruz, S, Procedure for the recovery of the mined area in the deposit gravel-sand Rio Sagua, Holguin (2014) Bol. Cs. Tierra, (36), pp. 18-25. , http://dx.doi.org; Pietrobelli, C, Marin, A, Olivari, J, Innovation in mining value chains: New evidence from Latin America (2018) Resources Policy, 58, pp. 1-10. , https://doi.org; Podimata, MV, Yannopoulos, PC, A conceptual approach to model sand–gravel extraction from rivers based on a game theory perspective (2015) J. Environ. Plann. Manag, 59, pp. 120-141; Ramírez-Rojas, MI, (2008) Sostenibilidad de la Explotación de Materiales de Construcción en el Valle de Aburrá, , Tesis. Universidad Nacional de Colombia. 145pp; Rojano, RE, Angulo, LC, Restrepo, G, Niveles de partículas suspendidas totales (PST), PM10 y PM2.5 y su relación en lugares públicos de la Ciudad Riohacha, Caribe colombiano (2013) Inform. Tecnol, 24 (2), pp. 37-46. , http://dx.doi.org 00200006; Viloria-Villegas, MI, Cadavid, L, Awad, G, Metodología para evaluación de impacto ambiental de proyectos de infraestructura en Colombia (2018) Cienc. Ing. Neogranad, 28, pp. 121-156. , https://doi.org/10.18359/rcin.2941; Watson, R, (2008) Situación Actual y Perspectiva de la Explotación de Yacimientos de Materiales de Construcción, p. 20. , Instituto Superior Minero Metalúrgico de Moa. Cuba</t>
  </si>
  <si>
    <t>López Juvinao, D.D.; Grupo de Investigación Ipaitug, Km. 5 salida a Maicao, Colombia; email: dlopezj@uniguajira.edu.co</t>
  </si>
  <si>
    <t>2-s2.0-85130618855</t>
  </si>
  <si>
    <t>Calleja-Reina M., Ábalos T.S.</t>
  </si>
  <si>
    <t>56250751600;57705725600;</t>
  </si>
  <si>
    <t>The relationship between the biomarker ratio D2:D4 and the psycho-pedagogical diagnosis of ADHD. Data from a study [La relación entre el biomarcador índice digital D2:D4 y el diagnóstico psicopedagógico de TDAH. Datos de un estudio]</t>
  </si>
  <si>
    <t>10.16888/interd.2022.39.2.14</t>
  </si>
  <si>
    <t>https://www.scopus.com/inward/record.uri?eid=2-s2.0-85130590805&amp;doi=10.16888%2finterd.2022.39.2.14&amp;partnerID=40&amp;md5=d4cdfe67a1a3c8f0be4da1e29c1207ab</t>
  </si>
  <si>
    <t>Universidad de Málaga, Spain; Asociación TDAH Subética, Spain</t>
  </si>
  <si>
    <t>Calleja-Reina, M., Universidad de Málaga, Spain; Ábalos, T.S., Asociación TDAH Subética, Spain</t>
  </si>
  <si>
    <t>The digital ratio D2:D4 (length of the index finger between the length of the ring finger) is a biomarker that reports the presence of high levels of testosterone during the prenatal period. A differential digital pattern (D2 &lt; D4) has been found in several disorders (ASD or Klinefelter’s syndrome) although data for Attention Deficit Hyperactivity Disorder (ADHD) are not conclusive (Stevenson et al., 2007; Wang et al., 2017). The aim of this paper was to determine whether digital ratio can be used as an indicator in the psychoeducational diagnosis of ADHD. A sample of 82 students of both sexes aged between 6 and 16 years (M = 11.77, SD = 2.97) from the Andalusian Community was taken. Among the members of the sample there were no differences in terms of sex, age, or cognitive level. The sample was divided into two groups, the group with a psycho-pedagogical diagnosis of ADHD and the control or undiagnosed group. The group with ADHD consisted of 42 subjects and the control group consisted of 46 subjects. All sessions were conducted individually for each of the subjects and their families following these guidelines: the session began with the parent signing a consent form that allowed the therapist to proceed with the intervention. After that, the TONI-2 non-verbal intelligence test was given to the child by the therapist in a quiet room. At the same time, the parents responded to the Conners Scale questions on behaviour at home to verify the existence or not of behavioural symptoms compatible with the presence of ADHD. For parents of children with ADHD diagnosis, an interview was conducted to learn about the course of the disease to have a general profile of the patient and his or her disorder. Finally, the participants’ right hand was scanned at the same school with an HP DeskJet 2630 scanner printer. Using the scanner and the Adobe Photoshop® tool, the length of the index and ring fingers was measured [(from proximal line of the finger to the end of the distal phalanx of the index (D2) and ring (D4) fingers]. The digital measurements from the scanned images were taken by the two researchers who signed the work, and there was more than 90 % agreement on the measurements. The results show a lower digital index in participants in the ADHD group (.945) versus the control group (.995), these differences being significant (p = 0.000), regardless of gender. In addition, the presence of certain behaviours in the home environment (measured with the Conners Scale) correlates positively with a low value of the digital index (r =.47; p =.001) and with the psycho-pedagogical diagnosis of ADHD. Significant differences have been shown in this study. Subjects with a psychopedagogical diagnosis of ADHD have been exposed to higher levels of testosterone during pregnancy since they present a lower D2:D4 ratio compared to the participants in the control group (without a diagnosis of ADHD), in line with the work of Martel et al. (2008) and Wang et al. (2017). In addition, this study has found that the group with psychopedagogical diagnosis of ADHD has a shorter index finger than the ring finger in both boys and girls, while for the control group the digital pattern is reversed or there is no difference between the two fingers. Therefore, we consider that the digital ratio biomarker (D2:D4) may be an additional useful criterion for the psychopedagogical diagnosis of ADHD or at least as a screening method. © 2022, Interdisciplinaria. All Rights Reserved.</t>
  </si>
  <si>
    <t>Adhd; Attention-deficit hyperactivity disorder; Digital ratio d2 d4; Prenatal testosterone; Psychopedagogical diagnosis</t>
  </si>
  <si>
    <t>(2013) Diagnostic and statistical manual of mental disorders (DSM-5), , Washington, D.C.: American Psychiatric Association; Arias, L., García, O., Alarcón-Espinoza, M., Evaluación de los efectos positivos de un tratamiento multimodal para niños con déficit atencional con hiperactividad en la atención primaria de salud desde la perspectiva de madres usuarias (2019) Interdisciplinaria, 36 (1), pp. 237-256. , https://doi.org/10.16888/interd.2019.36.1.16; Ato, M., López-García, J. J., Benavente, A., Un sistema de clasificación de los diseños de investigación en psicología (2013) Anales de Psicología / Annals of Psychology, 29 (3), pp. 1038-1059. , https://doi.org/10.6018/analesps.29.3.178511; Breedlove, S. M., Minireview: Organizational hypothesis: instances of the fingerpost (2010) Endocrinology, 151 (9), pp. 4116-4122. , https://doi.org/10.1210/en.2010-0041; Brickenkamp, R., Cubero, N. S., (2002) D2: test de atención, , Madrid: TEA; Brown, L., Sherbenou, R. J., Johnsen, S. K., de la Cruz, M. V., (2000) TONI-2: Test de inteligencia no verbal: apreciación de la habilidad cognitiva sin influencia del lenguaje, , Madrid: Tea Ediciones; Conners, C. K., (2003) Conners ’Rating Scales-Revised. Technical Manual, , New York: MHS; De Bruin, E., Verheij, F., Wiegman, T., Ferdinand, R., Differences in finger length ratio between males with autism, pervasive developmental disorder-not otherwise specified, ADHD, and anxiety disorders (2006) Developmental Medicine y Child Neurology, 48, pp. 962-965. , https://doi.org/10.1111/j.1469-8749.2006.tb01266.x; Demontis, D., Walters, R. K., Martin, J., Matthe-isen, M., Als, T. D., Agerbo, E., Neale, B. M., Discovery of the first genomewide significant risk loci for attention deficit/ hyperactivity disorder (2019) Nature Genetics, 51 (1), pp. 63-75. , https://doi.org/10.1038/s41588-018-0269-7; Fink, B., Manning, J. T., Williams, J. H., Podmore-Nappin, C., The 2nd to 4th digit ratio and developmental psychopathology in school-aged children (2007) Personality and Individual Differences, 42 (2), pp. 369-379. , https://doi.org/10.1016/j.paid.2006.07.018; Font-Jordá, A., Gamundí, A., Llobera, M. C. N., Aguilar-Mediavilla, E., Uso del índice digital D2:D4 como indicador biológico del trastorno específico del lenguaje (2018) Anales de Pediatría, 89 (6), pp. 361-368. , https://doi.org/10.1016/j.anpedi.2018.02.009; Lozada, E. R., Páez, N. J., Manrique-Abril, F. G., Valderrama, M. A., Testosterona prenatal: dígito D2:D4 y conducta. 1998-2010 (2012) Salud, Historia, Sanidad, 7 (1), pp. 1-14. , http://virtual.uptc.edu.co/; Lutchmaya, S., Baron-Cohen, S., Raggatt, P., Knickmeyer, R., Manning, J. T., 2nd to 4th digit ratios, fetal testosterone and estradiol (2004) Early Human Development, 77 (12), pp. 23-28. , https://doi.org/10.1016/J.EARL-HUMDEV.2003.12.002; Manning, J., Kilduff, L., Cook, C., Crewther, B., Fink, B., Digit ratio (2D: 4D): a biomarker for prenatal sex steroids and adult sex steroids in challenge situations (2014) Frontiers in Endocrinology, 5, p. 9. , https://doi.org/10.3389/fendo.2014.00009; Martel, M. M., Gobrogge, K. L., Breedlove, S. M., Nigg, J. T., Masculinized finger-length ratios of boys, but not girls, are associated with attention-deficit/hyperactivity disorder (2008) Behavioral Neuroscience, 122 (2), pp. 273-281. , https://doi.org/10.1037/0735-7044.122.2.273; McFadden, D., Westhafer, J. G., Pasanen, E. G., Carlson, C. L., Tucker, D. M., Physiological evidence of hypermasculinization in the boys with the inattentive type of atten-tion-deficit/hyperactivity disorder (ADHD) (2005) Clinical Neuroscience, 5 (5), pp. 233-245. , https://doi.org/10.1016/j.cnr.2005.09.004; Morris, J. A., Jordan, C. L., Breedlove, S. M., Sexual differentiation of the vertebrate nervous system (2004) Nature Neuroscience, 7, p. 10341039. , https://doi.org/10.1038/nn1325; Myers, L., van’t Westeinde, A., Kuja-Halkola, R., Tammimies, K., Bolte, S., 2D:4D ratio in neurodevelopmental disorders: a twin study (2018) Journal of Autism and Developmental Disorders, 48 (9), pp. 3244-3252. , https://doi.org/10.1007/s10803-018-3588-8; (2018) Clasificación Internacional de Enfermedades-11 (CIE-11), , https://www.who.int/es/news-room/detail/17-06-2018-who-releases-new-interna-tional-classification-of-diseases-(icd-11); Pallás, C. M., LLorens, O. G., Enfoque de la evaluación psicológica de la Revista Iberoamericana de Diagnóstico y Evaluación Psicológica (RIDEP) (2010) Revista Iberoamericana de Diagnóstico y Evaluación-e Avaliacao Psicológica, 2 (30), pp. 35-55; Phoenix, C. H., Goy, R. W., Gerall, A. A., Young, W. C., Organizing action of prenatally administered testosterone propionate on the tissues mediating mating behavior in the female guinea pig (1959) Endocrinology, 65 (3), pp. 369-382; Rubiales, J., Perfil ejecutivo en niños con trastorno por déficit de atención con hiperacti-vidad (2014) Revista Iberoamericana de Diagnóstico y Evaluación-e Avaliacao Psicológica, 2 (38), pp. 31-54; Stevenson, J. C., Everson, P. M., Williams, D. C., Hipskind, G., Grimes, M., Mahoney, E. R., Attention deficit/hyperactivity disorder (ADHD) symptoms and digit ratios in a college sample (2007) American Journal of Human Biology, 19, pp. 41-50. , https://doi.org/10.1002/ajhb.20571; Thurstone, L. L., Yela, M., (2001) Caras: Test de percepción de diferencias, , Madrid: TEA Ediciones; Wang, L. J., Chou, M. C., Chou, W. J., Lee, M. J., Lee, S. Y., Lin, P. Y., Yen, C. F, Potential role of pre-and postnatal testosterone levels in attention-deficit/hyperactivity disorder: is there a sex difference? (2017) Neuropsychiatric Disease and Treatment, 13, p. 13321339. , https://doi.org/10.2147/NDT.S136717; Williams, J. H., Greenhalgh, K. D., Manning, J. T., Second to fourth finger ratio and possible precursors of developmental psychopathology in preschool children (2003) Early Human Development, 72 (1), pp. 57-65. , https://doi.org/10.1016/S0378-3782(03)00012-4</t>
  </si>
  <si>
    <t>Calleja-Reina, M.; Universidad de MálagaSpain; email: marinac@uma.es</t>
  </si>
  <si>
    <t>Centro Interamericano de Investigaciones Psicologicas y Ciencias Afines</t>
  </si>
  <si>
    <t>2-s2.0-85130590805</t>
  </si>
  <si>
    <t>Higuera-Martinez O.I., Fernandez-Samaca L., Alvarado-Fajardo A.C., Mesa-Mesa L.A.</t>
  </si>
  <si>
    <t>57204360622;36489403400;57701421500;57702208200;</t>
  </si>
  <si>
    <t>Fostering Creativity in Seniors and Freshman Students of Engineering</t>
  </si>
  <si>
    <t>IEEE Global Engineering Education Conference, EDUCON</t>
  </si>
  <si>
    <t>2022-March</t>
  </si>
  <si>
    <t>10.1109/EDUCON52537.2022.9766511</t>
  </si>
  <si>
    <t>https://www.scopus.com/inward/record.uri?eid=2-s2.0-85130447081&amp;doi=10.1109%2fEDUCON52537.2022.9766511&amp;partnerID=40&amp;md5=1439db141c7545b563291c6f8b533f03</t>
  </si>
  <si>
    <t>Universidad Pedagógica y Tecnológica de Colombia, Engineering Doctoral Program, Sogamoso, Colombia</t>
  </si>
  <si>
    <t>Higuera-Martinez, O.I., Universidad Pedagógica y Tecnológica de Colombia, Engineering Doctoral Program, Sogamoso, Colombia; Fernandez-Samaca, L., Universidad Pedagógica y Tecnológica de Colombia, Engineering Doctoral Program, Sogamoso, Colombia; Alvarado-Fajardo, A.C., Universidad Pedagógica y Tecnológica de Colombia, Engineering Doctoral Program, Sogamoso, Colombia; Mesa-Mesa, L.A., Universidad Pedagógica y Tecnológica de Colombia, Engineering Doctoral Program, Sogamoso, Colombia</t>
  </si>
  <si>
    <t>This paper devotes to showing an Online Project-Based Learning (PBL) intervention based on the creative process for engineering undergraduate courses. The intervention considers the creative process elements, namely, person, process, product, press, and phases, and the aspects of the PBL alignment model proposed by Kolmos, de Graff, and Du. The goal is to harmonize the elements of the creative process and characteristics of PBL alignment involving creative tools to encourage creative thinking in undergraduate students. The impact evaluation of the PBL intervention considers a pre and post-test of creativity, some deliveries of learning activities, and a questionnaire that focuses on crucial aspects of PBL. The results show an increase of factors as fluency and flexibility into the 'Person' element of the creative process, highlighting the importance of fostering creativity in engineering courses. © 2022 IEEE.</t>
  </si>
  <si>
    <t>Creativity; Engineering Design; Engineering Education; Project-Based Learning</t>
  </si>
  <si>
    <t>Education computing; Engineering education; Creative process; Creative tools; Creativity; Engineering design; Engineering undergraduates; Online projects; Process elements; Process products; Project based learning; Undergraduate Courses; Students</t>
  </si>
  <si>
    <t>Abdulwahed, M., Development of 21st century skills and engineering confidence (2017) Proceedings of the International Conference on Frontiers in Education: Computer Science and Computer Engineering (FECS), pp. 23-28; Charyton, C., (2014) Creative Engineering Design Assessment: Background, Directions, Manual, Scoring Guide and Uses, , Springer Science &amp; Business Media; Sternberg, R., Creativity as a habit (2007) Creativity: A Handbook for Teachers, pp. 3-25; Katehi, L., Pearson, G., Feder, M., (2009) Engineering in K-12 Education: Understanding the Status and Improving the Prospects, , http://www.nap.edu/catalog/12635.html, Washington: The National Academies Press; Dowling, D., (2020) Engineering Your Future: An Australasian Guide, , John Wiley &amp; Sons; Cropley, D.H., Promoting creativity and innovation in engineering education (2015) Psychology of Aesthetics, Creativity, and the Arts, 9 (2), pp. 161-171; Corazza, G.E., Agnoli, S., Martello, S., A creativity and innovation course for engineers (2017) Handbook of Research on Creative Problem-Solving Skill Development in Higher Education, pp. 74-93. , C. Zhou, Ed. IGI Global; Cropley, D.H., (2015) Creativity in Engineering, Novel Solutions to Complex Problems, , https://doi.org/10.1016/B978-0-12-800225-4.00014-8, San Diego: Elsevier; Higuera-Martinez, O.I., Fernandez-Samaca, L., Fostering creativity in engineering through PBL (2020) Educate for the Future: PBL, Sustainability and Digitalisation 2020. International Research Symposium on PBL, pp. 410-419. , https://vbn.aau.dk/en/publications/educate-for-thefuture-pbl-sustainability-and-digitalisation-2020; Lim, C., Lee, J., Lee, S., A theoretical framework for integrating creativity development into curriculum: The case of a Korean engineering school (2014) Asia Pacific Education Review, 15 (3 SI), pp. 427-442. , Sep; Zhou, C., Fostering creative problem solvers in higher education: A response to complexity of societies (2017) Handbook of Research on Creative Problem-Solving Skill Development in Higher Education, pp. 1-23. , C. Zhou, Ed. IGI Global; Zhou, C., Holgaard, J., Kolmos, A., Nielsen, J.D., Creativity development for engineering students: Cases of problem and project based learning (2010) Joint International IGIP-SEFI Annual Conference 2010, , Jan; Higuera-Martinez, O.I., Fernández-Samacá, L., (2021) Harmonizing Creative Process and Pbl Alignment: An Understanding of Fostering Creativity in Engineering Education, pp. 68-80. , https://vbn.aau.dk/files/425732560/IRSPBL_2021_Proceedings.pdf; Ibn-E-Hassan, A., Talib, N., Riaz, A., Iqbal, M.J., Influence of national and engineering culture on team role selection (2014) International Journal of Technology and Design Education, 24 (1), pp. 91-105. , Feb; Valentine, A., Belski, I., Hamilton, M., Developing creativity and problem-solving skills of engineering students: A comparison of web-and pen-and-paper-based approaches (2017) European Journal of Engineering Education, 42 (6), pp. 1309-1329; Zhou, C., Kolmos, A., Nielsen, J.D., A problem and project-based learning (pbl) approach to motivate group creativity in engineering education (2012) International Jornal of Engineering Education, 28 (1), pp. 3-16; Heye, D., Creativity and innovation: Two key characteristics of the successful 21st century information professional (2006) Business Information Review, 23 (4), pp. 252-257. , Dec; Kolmos, A., De Graaff, E., Du, X.-Y., Diversity of PBL-PBL learning principles and models (2009) Research on PBL Practice in Engineering Education, pp. 9-21; Glaveanu, V.P., Educating which creativity? (2018) Thinking Skills and Creativity, 27, pp. 25-32. , Mar; Sawyer, R.K., (2012) Explaining Creativity: The Science of Human Innovation., , 2nd ed. New York, NY, US: Oxford University Press; Duke, F.R., Creativity in science (1972) Journal of Chemistry Education, 49 (6), pp. 284-382; Aguilar, D., Pifarre-Turmo, M., Promoting social creativity in science education with digital technology to overcome inequalities: A scoping review (2019) Frontiers in Psychology, 10. , Jul; Lai, E.R., Viering, M.M., Assessing 21 st century skills: Integrating research findings (2012) National Council on Measurement in Education.; Bourgeois-Bougrine, S., Buisine, S., Vandendriessche, C., Glaveanu, V.P., Lubart, T., Engineering students' use of creativity and development tools in conceptual product design: What, when and how? (2017) Thinking Skills and Creativity, 24, pp. 104-117; Tekmen-Araci, Y., Mann, L., Instructor approaches to creativity in engineering design education (2019) Proceedings of the Institution of Mechanical Engineers Part C-Journal 0f Mechanical Engineering Science, 233 (2), pp. 395-402; Higuera Martínez, O.I., Fernández-Samacá, L., Serrano Cárdenas, L.F., Trends and opportunities by fostering creativity in science and engineering: A systematic review (2021) European Journal of Engineering Education, 46 (6), pp. 1117-1140. , Sep; Eppes, T.A., Milanovic, I., Sweitzer, F., Towards liberal education assessment in engineering and technology programs (2012) Journal of College Teaching &amp; Learning (TLC), 9 (3), pp. 171-178. , Jul; Chemi, T., Zhou, C., (2016) Teaching Creatively in Higher Education: Bridging Theory and Practice, , https://vbn.aau.dk/ws/portalfiles/portal/267897129/TeachingCreativity_Online.pdf, Aalborg Universitetsforlag; Wu, T.T., Wu, Y.T., Applying project-based learning and SCAMPER teaching strategies in engineering education to explore the influence of creativity on cognition, personal motivation, and personality traits (2020) Thinking Skills and Creativity, 35. , Mar; Hultman, E., Leijon, M., Integration of real-world project tasks in a course on automation and robot engineering (2019) 2019 IEEE Global Engineering Education Conference (EDUCON), pp. 107-114; Cropley, D.H., Cropley, A.J., Engineering creativity: A systems concept of functional creativity (2005) Creativity Across Domains, pp. 187-204. , Psychology Press; Qattawi, A., Alafaghani, A., Ablat, M.A., Jaman, M.S., A multidisciplinary engineering capstone design course: A case study for design-based approach (2019) International Journal of Mechanical Engineering Education, pp. 306419019882622. , Oct; De Graaff, E., Kolmos, A., Characteristics of problem-based learning (2003) International Journal of Engineering Education., 19, pp. 657-662. , Jan; Rhodes, M., An analysis of creativity (1961) The Phi Delta Kappan, 42 (7), pp. 305-310; Valentine, A., (2018) Investigating the Suitability of Computerised Creativity Training Activities for Teaching Creativity and Problem-Solving Skills in Engineering Education, , RMIT University; Kozbelt, A., Beghetto, R.A., Runco, M.A., Theories of creativity (2010) The Cambridge Handbook of Creativity., pp. 20-47. , New York, NY, US: Cambridge University Press; Puccio, G.J., Cabra, J.F., Creative problem solving: Past, present, and future (2009) The Routledge Companion to Creativity, pp. 327-337. , S. Rickards, T., Runco, H. A., &amp; Moger, Ed. London: Routledge; Charyton, C., Merrill, J.A., Assessing general Creativity and Creative engineering Design in first year engineering students (2009) Journal of Engineering Education, 98 (2), pp. 145-156; Charyton, C., Jagacinski, R.J., Merrill, J.A., CEDA: A research instrument for creative engineering design assessment (2008) Psychology of Aesthetics, Creativity, and the Arts, 2 (3), pp. 147-154; Guilford, J.P., Traits of creativity (1959) Creativity and Its Cultivation, pp. 142-161. , H. H. Anderson, Ed. New York: Harper &amp; Row; Howard, T.J., Culley, S.J., Dekoninck, E., Describing the creative design process by the integration of engineering design and cognitive psychology literature (2008) Design Studies, 29 (2), pp. 160-180. , https://doi.org/10.1016/j.destud.2008.01.001; Wallas, G., (1926) The Art of Thought, , New York: Harcourt Brace; Kaufman, J.C., (2009) Creativity 101, , New York, NY, US: Springer Publishing Co; Cropley, D.H., Creativity in engineering (2016) Multidisciplinary Contributions to the Science of Creative Thinking, pp. 155-173. , G. E. Corazza and S. Agnoli, Eds. Singapore: Springer Singapore; Savin-Baden, M., (2007) Challenging Models and Perspectives of Problem-Based Learning, pp. 9-29; Buhl, H.R., (1960) Creative Engineering Design, , Iowa: Iowa State University Press; Osborn, A.F., (1963) Applied Imagination: Principles and Procedures of Creative Problem-solving, , New York: Scribner; Amabile, T.M., The social psychology of creativity: A componential conceptualization (1983) Journal of Personality and Social Psychology, 45 (2), pp. 357-376; Basadur, M., Pringle, P., Speranzini, G., Bacot, M., Collaborative problem solving through creativity in problem definition: Expanding the pie (2000) Creativity and Innovation Management, 9 (1), pp. 54-76. , Mar; Kryssanov, V.V., Tamaki, H., Kitamura, S., Understanding design fundamentals: How synthesis and analysis drive creativity, resulting in emergence (2001) Artificial Intelligence in Engineering, 15 (4), pp. 329-342. , https://doi.org/10.1016/S0954-1810(01)00023-1; Brown, T., Design thinking (2008) Harvard Business Review, 86 (6); Charyton, C., Jagacinski, R.J., Merrill, J.A., Clifton, W., DeDios, S., Assessing creativity specific to engineering with the revised creative engineering design assessment (2011) Journal of Engineering Education, 100 (4), pp. 778-799. , Oct</t>
  </si>
  <si>
    <t>Jemni M.Kallel I.Akkari A.</t>
  </si>
  <si>
    <t>IEEE Computer Society</t>
  </si>
  <si>
    <t>13th IEEE Global Engineering Education Conference, EDUCON 2022</t>
  </si>
  <si>
    <t>28 March 2022 through 31 March 2022</t>
  </si>
  <si>
    <t>IEEE Global Eng. Edu. Conf., EDUCON</t>
  </si>
  <si>
    <t>2-s2.0-85130447081</t>
  </si>
  <si>
    <t>Aparisi-Torrijo S., Ribes-Ginera G.</t>
  </si>
  <si>
    <t>57700477800;57700477900;</t>
  </si>
  <si>
    <t>Entrepreneurial leadership factors: a bibliometric analysis for the 2000-2020 period Factores en el liderazgo emprendedor: un análisis bibliométrico durante el periodo 2000-2020</t>
  </si>
  <si>
    <t>Cuadernos de Gestion</t>
  </si>
  <si>
    <t>10.5295/cdg.211456sa</t>
  </si>
  <si>
    <t>https://www.scopus.com/inward/record.uri?eid=2-s2.0-85130378815&amp;doi=10.5295%2fcdg.211456sa&amp;partnerID=40&amp;md5=3fa022a2e1d7f5f7fa1dcc685ad6d3ee</t>
  </si>
  <si>
    <t>Business Management Department, Universitat Politècnica de València, Camí de Vera,s/n, Valencia, 46022, Spain</t>
  </si>
  <si>
    <t>Aparisi-Torrijo, S., Business Management Department, Universitat Politècnica de València, Camí de Vera,s/n, Valencia, 46022, Spain; Ribes-Ginera, G., Business Management Department, Universitat Politècnica de València, Camí de Vera,s/n, Valencia, 46022, Spain</t>
  </si>
  <si>
    <t>with a comprehensive bibliometric analysis. 1,594 articles, dated from 2000 to December 2020, were taken from the main Web of Science database collection and analysed with a bibliometric study using performance analysis and scientific mapping methods. To evaluate the importance, quality and impact of publications, indicators like productivity, citations or h-index were used to obtain an analysis of trends and advances on the most relevant publications, authors, journals and countries. Research was complemented by scientific mapping obtained through co-citations, bibliographic couplings, co-occurrences and co-authorships. The results show that the trend of publications has considerably increased since 2015, and the highest productivity was recorded in 2020. The USA and England are two of the most influential publishing countries, although the network analysis reveals cooperation with different countries. The most productive journal is Sustainability and the most influential is the Journal of Business Venturing. This systematic mapping of the field helps to illustrate the research evolution over time, identifies areas of current interest for use in theoretical and empirical frameworks, and provides a solid roadmap for future research. The keyword analysis reveals that the term “entrepreneurial leadership” started to be used in its own right from around 2018 on average. © This article is distributed under the terms of the Creative Commons Atribution 4.0 Internacional License</t>
  </si>
  <si>
    <t>Bibliometric analysis; Co-citation; Entrepreneurial leadership; Entrepreneurship; Leadership factors</t>
  </si>
  <si>
    <t>Alonso, S., Cabrerizo, F. J., Herrera-Viedma, E., Herrera, F., h-Index: A review focused in its variants, computation and standardization for different scientific fields (2009) Journal of Informetrics, 3 (4), pp. 273-289. , https://doi.org/10.1016Zj.joi.2009.04.001; Baier-Fuentes, H., Hormiga, E., Miravitlles, P., Blanco-Mesa, F., International entrepreneurship: A critical review of the research field (2019) European Journal of International Management, 13 (3), pp. 381-412. , https://doi.org/10.1504/EJIM.2019.099427; Blanco-Mesa, F., Merigo, J. M., Gil-Lafuente, A. M., Fuzzy decision making: A bibliometric-based review (2017) Journal of Intelligent and Fuzzy Systems, 32 (3), pp. 2033-2050. , https://doi.org/10.3233/JIFS-161640; Bonilla, C. A., Merigo, J. M., Torres-Abad, C., Economics in Latin America: a bibliometric analysis (2015) Scientometrics, 105 (2), p. 12391252. , https://doi.org/10.1007/s11192-015-1747-7; Boyack, K., Klavans, R., Co-Citation Analysis, Bibliographic Coupling, and Direct Citation: Which Citation Approach Represents the Research Front Most Accurately? (2010) Journal of the American Society for Information Science and Technology, 12 (61), pp. 2389-2404. , https://doi.org/10.1002/asi, (december); Braun, T., Glanzel, W, Schubert, A., A Hirsch-type index for journals (2006) Scientometrics, 69 (1), pp. 169-173. , https://doi.org/10.1007/s11192-006-0147-4; Broadus, R. N., Toward a definition of “bibliometrics” (1987) School of Library Science, 12, pp. 373-379; Cancino, C., Merigo, J. M., Coronado, F., Dessouky, Y., Dessouky, M., Forty years of Computers &amp; Industrial Engineering: A bibliometric analysis (2017) Computers and Industrial Engineering, 113, pp. 614-629. , https://doi.org/10.1016/j.cie.2017.08.033, Elsevier Ltd; Cobo, M. J., Lopez-Herrera, A., Herrera-Viedma, E., Herrera, F., Science Mapping Software Tools: Review, Analysis, and Cooperative Study AmongTools (2011) Journal of the American Society for Information Science and Technology, 62 (7), pp. 1382-1402. , https://doi.org/10.1002/asi; Cogliser, C. C., Brigham, K. H., The intersection of leadership and entrepreneurship: Mutual lessons to be learned (2004) The Leadership Quarterly, 15, pp. 771-799. , https://doi.org/10.1016/j.lea-qua.2004.09.004; Van Eck, N. J., Waltman, L., Software survey: VOSviewer, a computer program for bibliometric mapping (2010) Scientometrics, 84 (2), pp. 523-538. , https://doi.org/10.1007/s11192-009-0146-3; Ellegaard, O., Wallin, J. A., The bibliometric analysis of scholarly production: How great is the impact? (2015) Scientometrics. Springer Netherlands, 105 (3), pp. 1809-1831. , https://doi.org/10.1007/s11192-015-1645-z; Fernald, L., Solomon, G.T., Tarabishy, A., A New Paradigm: Entrepreneurial Leadership (2005) International Research Journal, 30 (2), pp. 257-276; Galvez, C., Visualizacion de las principales lineas de investiga-cion en salud publica: un analisis basado en mapas bibliometri-cos aplicados a la Revista Espanola de Salud Publica (2006-2015) (2016) Revista Espanola de Salud Publica, 90 (e40028), pp. e1-e10. , http://scielo.isciii.es/scielo.php?script=sci_arttext&amp;pi-d=S1135-57272016000100426&amp;lng=es&amp;tlng=es.%0A; Garfield, E., Citation Analysis as a Tool in Journal Evaluation (1972) Science, 178, pp. 417-479. , https://doi.org/10.1300/J123v20n02_05; Gaviria-Marin, M., Bibliometrics and business. A challenge for researchers (2021) Inquietud Empresarial, 21 (1), pp. I-III. , https://revistas.uptc.edu.co/index.php/inquietud_empresarial/article/view/12931; Gaviria-Marin, M., Merigo, J. M., Baier-Fuentes, H., Knowledge management: A global examination based on bibliometric analysis (2019) Technological Forecasting and Social Change, 140, pp. 194-220. , https://doi.org/10.1016/j.techfore.2018.07.006, Elsevier, (July 2018); Guan, J., Gao, X., Comparison and evaluation of Chinese research performance in the field of bioinformatics (2008) Scientometrics, 75 (2), pp. 357-379. , https://doi.org/10.1007/s11192-007-1871-0; Gupta, V., MacMillan, I. C., Surie, G., Entrepreneurial leadership: Developing and measuring a cross-cultural construct (2004) Journal of Business Venturing, 19 (2), pp. 241-260. , https://doi.org/10.1016/S0883-9026(03)00040-5; Harrison, C., Burnard, K., Entrepreneurial leadership: A Systematic Literature Review (2016) International Review of Entrepreneurship, 14 (2), pp. 235-264. , https://www.researchgate.net/publica-tion/331589807; Harrison, C., Burnard, K., Paul, S., Entrepreneurial leadership in a developing economy: a skill-based analysis (2018) Journal of Small Business and Enterprise Development, 25 (3), pp. 521-548. , https://doi.org/10.1108/JSBED-05-2017-0160; Harrison, C., Paul, S., Burnard, K., Entrepreneurial leadership in retail pharmacy: developing economy perspective (2016) Journal of Workplace Learning, 28 (3), pp. 150-167. , https://doi.org/10.1108/JWL-01-2015-0004; Harrison, R. T., Leitch, C. M., Mcadam, M., Breaking Glass: Toward a Gendered Analysis of Entrepreneurial Leadership (2015) Journal of Small Business Management, 53 (3), pp. 693-713. , https://doi.org/10.1111/jsbm.12180, Blackwell Publishing Ltd; Hejazi, S. A. M., Maleki, M. M., Naeiji, M. J., Designing a Scale for Measuring Entrepreneurial Leadership in SMEs (1993) IEEE Journal of Quantum Electronics, 29 (3), pp. 1006-1010. , https://doi.org/10.1109/3.206585; Henry, C., Foss, L., Ahl, H., Gender and entrepreneurship research: A review of methodological approaches* (2016) International Small Business Journal: Researching Entrepreneurship, 34 (3), p. 217241. , https://doi.org/10.1177/0266242614549779; Hirsch, J. E., An index to quantify an individual’s scientific research output (2005) Proceedings of the National Academy of Sciences of the United States of America, 102 (46), pp. 16569-16572. , https://doi.org/10.1073/pnas.0507655102; Kapil, P., Salgotra, P., Entrepreneurial Leadership: A Methodical Critique of the Evidences and Literature (2018) Pacific Business Review International, 11 (1), pp. 17-24; Karpinskaia, E., Shirokova, G., Entrepreneurial leadership: approaches to concept definition and main research directions.Вестник Санкт-Петербургского Университета (2019) Менеджмент, 18 (2), pp. 235-260; Kempster, S., Cope, J., Learning to lead in the entrepreneurial context (2010) Team Performance Management, pp. 5-34; Kessler, M. M., Bibliographic coupling between scientific papers (1963) American Documentation, 14 (1), pp. 10-25; Kuratko, D. F., Entrepreneurial Leadership in the 21st Century (2007) Journal of Leadership &amp; Organizational Studies, 13 (4), pp. 1-11. , https://doi.org/10.1177/10717919070130040201; Leitch, C. M., Harrison, R. T., The evolving field of entrepreneurial leadership: An overview (2018) Research Handbook on Entrepreneurship and Leadership, pp. 3-34. , https://doi.org/10.4337/9781783473762.00006; Leitch, C. M., Mcmullan, C., Harrison, R. T., The Development of Entrepreneurial Leadership: The Role of Human, Social and Institutional Capital (2013) British Journal of Management, 24 (3), p. 347366. , https://doi.org/10.1111/j.1467-8551.2011.00808.x; Liao, H., Tang, M., Luo, L., Li, C., Chiclana, F., Zeng, X. J., A bibliometric analysis and visualization of medical big data research (2018) Sustainability (Switzerland), 10 (1), pp. 1-18. , https://doi.org/10.3390/su10010166; Lippitt, G. L., Entrepreneurial leadership: A performing art (1987) Journal of Creative Behavior, 21, pp. 264-270; Lumpkin, G.T., Dess, G.G., Clarifying the Entrepreneurial Orientation Construct and Linking It to Performance (1996) The Academy of Management Review, 21 (1), pp. 135-172; Martinez, M. A., Herrera, M., Contreras, E., Ruiz, A., Herrera-Vied-ma, E., Characterizing highly cited papers in Social Work through H-Classics (2014) Scientometrics, 102 (2), pp. 1713-1729. , https://doi.org/10.1007/s11192-014-1460-y; Merigo, J. M., Gil-Lafuente, A. M., Yager, R. R., An overview of fuzzy research with bibliometric indicators (2015) Applied Soft Computing Journal, 27, pp. 420-433. , https://doi.org/10.1016/).asoc.2014.10.035, Elsevier B.V; Merigo, J. M., Pedrycz, W, Weber, R., De la Sotta, C., Fifty years of Information Sciences: A bibliometric overview (2018) Information Sciences, 432, pp. 245-268. , https://doi.org/10.1016Aj.ins.2017.11.054; Merigo, J. M., Yang, J. B., Accounting Research: A Bibliometric Analysis (2017) Australian Accounting Review, 27 (1), pp. 71-100. , https://doi.org/10.1111/auar.12109; Ng, H. S., Kee, D. M. H., Ramayah, T., The role of transformational leadership, entrepreneurial and technical competence (2016) Journal of General Management, 42 (1), pp. 23-43; Podsakoff, P. M., MacKenzie, S. B., Lee, J. Y., Podsakoff, N. P., Common Method Biases in Behavioral Research: A Critical Review of the Literature and Recommended Remedies (2003) Journal of Applied Psychology, 88 (5), pp. 879-903; Pritchard, A., Statistical bibliography or bibliometrics (1969) Journal of documentation, 35, pp. 348-349; Renko, M., El Tarabishy, A., Carsrud, A. L., Brannback, M., Understanding and measuring entrepreneurial leadership style (2015) Journal of Small Business Management, 53 (1), pp. 54-74. , https://doi.org/10.1111/jsbm.12086; Schubert, A., Successive h-indices (2007) Scientometrics, 70 (1), pp. 201-205. , https://doi.org/10.1007/s11192-007-0112-x; Shane, S., Venkataraman, S., The promise of entrepreneurship as a field of research (2000) The Academy of Management Review, 25 (1), pp. 217-226; Simba, A., Thai, M. T T., Advancing Entrepreneurial Leadership as a Practice in MSME Management and Development (2019) Journal of Small Business Management, 57 (S2), pp. 397-416. , https://doi.org/10.1111/jsbm.12481; Small, H., Co-citation in the Scientific Literature: A New Measure of the Relationship Between Two Documents (1973) Journal of the American Society for Information Science, 4 (24), p. 265; Thongpapanl, N., The changing landscape of technology and innovation management: An updated ranking of journals in the field (2012) Technovation. Elsevier, 32 (5), pp. 257-271. , https://doi.org/10.1016Zj.te-chnovation.2012.01.001; Vallaster, C., Kraus, S., Merigo Lindahl, J. M., Nielsen, A., Ethics and entrepreneurship: A bibliometric study and literature review (2019) Journal of Business Research, pp. 226-237. , https://doi.org/10.1016/j.jbus-res.2019.02.050; Vecchio, R. P., Entrepreneurship and leadership: Common trends and common threads (2003) Human Resource Management Review, 13 (2), pp. 303-327. , https://doi.org/10.1016/S1053-4822(03)00019-6; Wallin, J. A., Bibliometric methods: Pitfalls and possibilities (2005) Basic and Clinical Pharmacology and Toxicology, 97 (5), pp. 261-275. , https://doi.org/10.1111/j.1742-7843.2005.pto_139.x; Wang, J., Citation time window choice for research impact evaluation (2013) Scientometrics, 94 (3), pp. 851-872. , https://doi.org/10.1007/s11192-012-0775-9; White, H. D., Griffith, B. C., Author cocitation: A literature measure of intellectual structure (1981) Journal of the American Society for Information Science, 32 (3), pp. 163-171. , https://doi.org/10.1002/asi.4630320302; Zaragoza-Ibarra, A., Merigo, J. M., Alfaro-Calderon, G. G., Bibliometric analysis of innovation in Mexico (2021) Inquietud Empresarial, 21 (1), pp. 75-101. , https://revistas.uptc.edu.co/index.php/inquietud_empresarial/article/view/11474; Zupic, I., Cater, T., Bibliometric Methods in Management and Organization (2015) Organizational Research Methods, 18 (3), pp. 429-472. , ht-tps://doi.org/10.1177/1094428114562629</t>
  </si>
  <si>
    <t>Aparisi-Torrijo, S.; Business Management Department, Camí de Vera,s/n, Spain; email: soaptor@omp.upv.es</t>
  </si>
  <si>
    <t>Institute of Applied Business Economics</t>
  </si>
  <si>
    <t>2-s2.0-85130378815</t>
  </si>
  <si>
    <t>Alfaro-García V.G., Blanco-Mesa F., Castro E.L.</t>
  </si>
  <si>
    <t>55319293000;57201261741;57395063100;</t>
  </si>
  <si>
    <t>Entrepreneurial intention a bibliometric approach [Intención empresarial: un enfoque bibliométrico]</t>
  </si>
  <si>
    <t>https://www.scopus.com/inward/record.uri?eid=2-s2.0-85130351198&amp;doi=10.5295%2fcdg.211558el&amp;partnerID=40&amp;md5=d36a9750ec739285f214203154971c54</t>
  </si>
  <si>
    <t>Universidad Michoacana de San Nicolás de Hidalgo (México), Michoacan, Calle de Santiago Tapia 403,Centro, Morelia, 58000, Mexico; Universidad Pedagógica y Tecnológica de Colombia, Boyacá, Avenida Central del Norte,39-115, Tunja, 150003, Colombia; Universidad Católica de la Santísima Concepción, Chile</t>
  </si>
  <si>
    <t>Alfaro-García, V.G., Universidad Michoacana de San Nicolás de Hidalgo (México), Michoacan, Calle de Santiago Tapia 403,Centro, Morelia, 58000, Mexico; Blanco-Mesa, F., Universidad Pedagógica y Tecnológica de Colombia, Boyacá, Avenida Central del Norte,39-115, Tunja, 150003, Colombia; Castro, E.L., Universidad Católica de la Santísima Concepción, Chile</t>
  </si>
  <si>
    <t>This paper aims to present a bibliometric analysis of the literature on an entrepreneurial intention that considers different topics to enhance starting a business. Using the Core collection of the Web of Science, 1,549 papers are found from 1900 to December 2020 to be analyzed. The analysis is focused on documents, authors, journals, countries, and keywords to detect areas and trends in this field of study. Likewise, bibliographic couplings, co-citation, and co-occurrences are analyzed. Findings show that the field has started to grow since 2010; the most influential authors and universities are in Spain and Taiwan, such as the case of Liñan, Liang, Ip, and Moriano. © This article is distributed under the terms of the Creative Commons Atribution 4.0 Internacional License</t>
  </si>
  <si>
    <t>Bibliometric analysis; Co-citation; Entrepreneurial intention; Entrepreneurship</t>
  </si>
  <si>
    <t>522RT0130; SGI 3134; Universidad Pedagógica y Tecnológica de Colombia, UPTC; Fondo Nacional de Desarrollo Científico y Tecnológico, FONDECYT: 11190056; CYTED Ciencia y Tecnología para el Desarrollo, CYTED</t>
  </si>
  <si>
    <t>This research was funded by Universidad Pedagogica y Tec-nologica de Colombia, grant number SGI 3134, and the Chilean Government through FONDECYT initiation, grant number 11190056. Research supported by Red Sistemas Inteligentes y Expertos Modelos Computacionales Iberoamericanos (SIEM-CI), project number 522RT0130 in Programa Iberoamericano de Ciencia y Tecnologia para el Desarrollo (CYTED)</t>
  </si>
  <si>
    <t>Ajzen, I., The theory of planned behavior (1991) Organizational Behavior and Human Decision Processes, 50 (2), pp. 179-211. , https://doi.org/10.1016/0749-5978(91)90020-T; Ali, A., Yousuf, S., Social capital and entrepreneurial intention: Empirical evidence from rural community of Pakistan (2019) Journal of Global Entrepreneurship Research, 9 (1), pp. 1-13. , https://doi.org/10.1186/s40497-019-0193-z; Alonso, S., Cabrerizo, F. J., Herrera-Viedma, E., Herrera, F., h-Index: A review focused in its variants, computation and standardization for different scientific fields (2009) Journal of Informetrics, 3 (4), pp. 273-289. , https://doi.org/10.1016/j.joi.2009.04.001; Anggadwita, G., Ramadani, V, Permatasari, A., Alamanda, D. T, Key determinants of women’s entrepreneurial intentions in encouraging social empowerment (2021) Service Business, 15 (2), pp. 309-334. , https://doi.org/10.1007/s11628-021-00444-x; Anjum, T., Sharifi, S., Nazar, N., Farrukh, M., Candidates, P., Determinants of entrepreneurial intention in perspective of theory of planned behaviour (2018) Management Theory and Studies for Rural Business and Infrastructure Development, 40 (4), pp. 429-441. , https://doi.org/10.15544/mts.2018.40; Apasieva, T J., Rajh, E., Budak, J., Davcev, L., Entrepreneurial intentions of students at private universities in transition economies (2021) Ekonomskipregled, 72 (2), pp. 157-184. , https://doi.org/10.32910/ep.72.2.1; Bacq, S., Alt, E., Feeling capable and valued: A prosocial perspective on the link between empathy and social entrepreneurial intentions (2018) Journal of Business Venturing, 33 (3), pp. 333-350. , https://doi.org/10.1016/j.jbusvent.2018.01.004; Bae, T J., Qian, S., Miao, C., Fiet, J. O., The relationship between entrepreneurship education and entrepreneurial intentions: A meta-analytic review (2014) Entrepreneurship: Theory and Practice, 38 (2), pp. 217-254. , https://doi.org/10.1111/etap.12095; Bar-Ilan, J., Informetrics at the beginning of the 21st century—A review (2008) Journal of Informetrics, 2 (1), pp. 1-52. , https://doi.org/10.1016/J.JOI.2007.11.001; Blanco-Mesa, A bibliometric analysis of aggregation operators (2019) Applied Soft Computing, 81, p. 105488. , https://doi.org/10.1016/J.ASOC.2019.105488; Blanco-Mesa, F., Merigó, J. M., Gil-Lafuente, A. M., Fuzzy decision making: A bibliometric-based review (2017) Journal of Intelligent &amp; Fuzzy Systems, 32 (3), pp. 2033-2050. , https://doi.org/10.3233/JIFS-161640; Braun, T., Glanzel, W, Schubert, A., A Hirsch-type index for journals (2006) Scientometrics, 69 (1), pp. 169-173. , https://doi.org/10.1007/s11192-006-0147-4; Bruton, G. D., Ahlstrom, D., Li, H.-L., Institutional theory and entrepreneurship: Where are we now and where do we need to move in the future? (2010) Entrepreneurship Theory and Practice, 34 (3), pp. 421-440. , https://doi.org/10.1111/j.1540-6520.2010.00390.x; Cai, L., Murad, M., Ashraf, S. F., Naz, S., Impact of dark tetrad personality traits on nascent entrepreneurial behavior: The mediating role of entrepreneurial intention (2021) Frontiers of Business Research in China, 15 (1), p. 7. , https://doi.org/10.1186/s11782-021-00103-y; Cavalcante, M. A. D., Sousa-Filho, J. M., Lessa, B. de S., Entrepreneurial intentions and education: Effects on low-income students (2021) Journal of Education for Business, pp. 1-9. , https://doi.org/10.1080/08832323.2021.1924602, de; Chien-Chi, C., Sun, B., Yang, H., Zheng, M., Li, B., Emotional competence, entrepreneurial self-efficacy, and entrepreneurial intention: A study based on China College students’ social entrepreneurship project (2020) Frontiers in Psychology, 11, p. 2883. , https://doi.org/10.3389/fpsyg.2020.547627; Di Paola, N., Pathways to academic entrepreneurship: The determinants of female scholars’ entrepreneurial intentions (2020) Journal of Technology Transfer, pp. 1-25. , https://doi.org/10.1007/s10961-020-09824-3; Diaz-Garcia, M. C., Jiménez-Moreno, J., Entrepreneurial intention: The role of gender (2010) International Entrepreneurship and Management Journal, 6 (3), pp. 261-283. , https://doi.org/10.1007/s11365-008-0103-2; DiMaggio, P., Interest and agency in institutional theory (1988) Institutional patterns and organizations: Culture and environment, pp. 3-21. , En L. Zucker (Ed), Ballinger Publishing; Farhangmehr, M., Goncalves, P., Sarmento, M., Predicting entrepreneurial motivation among university students (2016) Education + Training, 58 (7), pp. 861-881. , https://doi.org/10.1108/ET-01-2016-0019, (/8); Fayolle, A., Gailly, B., The impact of entrepreneurship education on entrepreneurial attitudes and intention: Hysteresis and persistence (2015) Journal of Small Business Management, 53 (1), pp. 75-93. , https://doi.org/10.1111/jsbm.12065; Fayolle, A., Linan, F., The future of research on entrepreneurial intentions (2014) Journal of Business Research, 67 (5), pp. 663-666. , https://doi.org/10.1016/j.jbusres.2013.11.024; Ferreira, J. J., Fernandes, C. I., Ratten, V., (2017) The Influence of Entrepreneurship Education on Entrepreneurial Intentions, pp. 19-34. , https://doi.org/10.1007/978-3-319-47949-1_2, Springer, Cham; Gabay-Mariani, L., Boissin, J.-P., Commitment profiles of nascent entrepreneurs: Insights from an empirical taxonomy among French student entrepreneurs (2021) International Journal of Entrepreneurial Behavior &amp; Research, , https://doi.org/10.1108/IJEBR-09-2020-0652, ahead-of-print(ahead-of-print); Garfield, E., Citation analysis as a tool in journal evaluation (1972) Science, 178 (4060), pp. 471-479; Gaviria-Marin, M., Bibliometrics and business. A challenge for researchers (2021) INQUIETUD EMPRESARIAL, 21 (1), pp. I-III; Guan, J., Gao, X., Comparison and evaluation of Chinese research performance in the field of bioinformatics (2008) Scientometrics, 75 (2), pp. 357-379. , https://doi.org/10.1007/s11192-007-1871-0; Gupta, V K., Turban, D. B., Wasti, S. A., Sikdar, A., The role of gender stereotypes in perceptions of entrepreneurs and intentions to become an entrepreneur (2009) Entrepreneurship: Theory and Practice, 33 (2), pp. 397-417. , https://doi.org/10.1111/j.1540-6520.2009.00296.x; Gurel, E., Madanoglu, M., Altinay, L., Gender, risk-taking and entrepreneurial intentions: Assessing the impact of higher education longitudinally (2021) Education + Training, 63 (5), pp. 777-792. , https://doi.org/10.1108/et-08-2019-0190; Ha, N. T., Doan, X. H., Vu, T. N., Linh Nguyen, T. P., Phan, T. H., Duong, C. D., The effect of social capital on social entrepreneurial intention among vietnamese students (2020) Journal of Asian Finance, Economics and Business, 7 (8), pp. 671-680. , https://doi.org/10.13106/JAFEB.2020.V0L7.N08.671; Hirsch, J. E., An index to quantify an individual’s scientific research output (2005) Proceedings of the National Academy of Sciences of the United States of America, 102 (46), pp. 16569-16572. , https://doi.org/10.1073/pnas.0507655102; Hockerts, K., Determinants of social entrepreneurial intentions (2017) Entrepreneurship: Theory and Practice, 41 (1), pp. 105-130. , https://doi.org/10.1111/etap.12171; Huang, Y., Zhang, J., Social media use and entrepreneurial intention: The mediating role of self-efficacy (2020) Social Behavior and Personality, 48 (11). , https://doi.org/10.2224/sbp.9451; Ilyas, M., Gender role stereotyping and entrepreneurial intention among Saudi females (2020) International Transaction Journal of Engineering Management &amp; Applied Sciences &amp; Technologies, 11 (9), p. 11A9E; Kautonen, T., Tornikoski, E. T., Kibler, E., Entrepreneurial intentions in the third age: The impact of perceived age norms (2011) Small Business Economics, 37 (2), pp. 219-234. , https://doi.org/10.1007/s11187-009-9238-y; Krasniqi, B. A., Berisha, G., Pula, J. S., Does decision-making style predict managers’ entrepreneurial intentions? (2019) Journal of Global Entrepreneurship Research, 9 (1), pp. 1-15. , https://doi.org/10.1186/s40497-019-0200-4; Krueger, N. F., Reilly, M. D., Carsrud, A. L., Competing models of entrepreneurial intentions (2000) Journal of Business Venturing, 15 (5-6), pp. 411-432. , https://doi.org/10.1016/S0883-9026(98)00033-0; Leiva, J. C., Mora-Esquivel, R., Krauss-Delorme, C., Bonomo-Odizzio, A., Solis-Salazar, M., Entrepreneurial intention among Latin American university students (2021) Academia Revista Latinoame-ricana de Administración, , https://doi.org/10.1108/ARLA-05-2020-0106, ahead-of-p(ahead-of-print); Linàn, F., Chen, Y. W, Development and cross-cultural application of a specific instrument to measure entrepreneurial intentions (2009) Entrepreneurship Theory and Practice, 33 (3), pp. 593-617; Linàn, F., Fayolle, A., A systematic literature review on entrepreneurial intentions: Citation, thematic analyses, and research agenda (2015) International Entrepreneurship and Management Journal, 11 (4), pp. 907-933. , https://doi.org/10.1007/s11365-015-0356-5; Liu, W, The data source of this study is Web of Science Core Collection? Not enough (2019) Scientometrics 2019 121:3, pp. 1815-1824. , https://doi.org/10.1007/S11192-019-03238-1, 121(3); Lopez, T., Alvarez, C., Martins, I., Perez, J. P., Romànn-Calderón, J. P., Students’ perception of learning from entrepreneurship education programs and entrepreneurial intention in Latin America (2021) Academia Revista Latinoamericana de Administración, , https://doi.org/10.1108/arla-07-2020-0169, ahead-of-p(ahead-of-print); López-Nùnez, M. I., Rubio-Valdehita, S., Diaz-Ramiro, E., Mar-tin-Seoane, G., The entrepreneurial profile of university students: A predictive model (2021) Revista de Educación, 392, pp. 11-33. , https://doi.org/10.4438/1988-592X-RE-2021-392-477; Malebana, M. J., The infl uencing role of social capital in the formation of entrepreneurial intention (2016) Southern African Business Review, 20, pp. 51-70; Merigo, J. M., Blanco-Mesa, F., Gil-Lafuente, A. M., Yager, R. R., Thirty years of the International Journal of Intelligent Systems: A bibliometric review (2017) International Journal of Intelligent Systems, 32 (5), pp. 526-554; Moed, H. F., New developments in the use of citation analysis in research evaluation (2009) Archivum immunologiae et therapiae experimentalis, 57 (1), pp. 13-18. , https://doi.org/10.1007/s00005-009-0001-5; Mohammed, S. A. S. A., Qataan, A. M. Al, Ghawanmeh, F., Alqaadan, F., Personality traits, self-efficacy, and students’ entrepreneurial intention towards entrepreneurship—Is there a contextual difference (2021) SMART Journal of Business Management Studies, 17 (1), pp. 66-79. , https://doi.org/10.5958/2321-2012.2021.00007.5; Neves, S., Brito, C., Academic entrepreneurship intentions: A systematic literature review (2020) Journal of Management Development, 39 (5), pp. 645-704. , https://doi.org/10.1108/JMD-11-2019-0451; Patra, B. C., Lenka, U., Barriers to entrepreneurial intentions of women: Nominal group technique, analytic hierarchy process, and scientometric approach instigating the necessity of policy intervention (2020) Journal of Public Affairs, p. e2429. , https://doi.org/10.1002/pa.2429; Pérez-Macias, N., Fernàndez-Fernàndez, J. L., Rùa-Vieites, A., Entrepreneurial intention among online and face-to-face university students: The influence of structural and cognitive social capital dimensions (2020) Journal of International Entrepreneurship, pp. 1-34. , https://doi.org/10.1007/s10843-020-00280-6; Peterman, N. E., Kennedy, J., Enterprise Education: Influencing Students’ Perceptions of Entrepreneurship (2003) Entrepreneurship Theory and Practice, 28 (2), pp. 129-144. , https://doi.org/10.1046Zj.1540-6520.2003.00035.x; Phillips, N., Tracey, P., (2016) Opportunity recognition, entrepreneurial capabilities and bricolage: Connecting institutional theory and entrepreneurship in strategic organization, 5 (3), pp. 313-320. , http://dx.doi.org/10.1177/1476127007079956, https://doi.org; Romero, M. E. P., Flores-Romero, M. B., Alfaro-Garcia, V G., Merigó, J. M., Tourism competitiveness: Bibliometric analysis of global scientific production from 1991 to 2018 (2021) Inquietud Empresarial, 21 (1), pp. 55-73. , https://doi.org/10.19053/01211048.11476; Rueda Barrios, G. E., Rodriguez, J. F. R., Plaza, A. V., Vélez Zapata, C. P., Zuluaga, M. E. G., Entrepreneurial intentions of university students in Colombia: Exploration based on the theory of planned behavior (2021) Journal of Education for Business, pp. 1-10. , https://doi.org/10.1080/08832323.2021.1918615; Ruiz-Alba, J. L., Guzman-Parra, V. F., Oblitas, J. R. V., Mediano, J. M., Entrepreneurial intentions: A bibliometric analysis (2020) Journal of Small Business and Enterprise Development; Schlaegel, C., Koenig, M., Determinants of entrepreneurial intent: A meta-analytic test and integration of competing models (2014) Entrepreneurship: Theory and Practice, 38 (2), pp. 291-332. , https://doi.org/10.1111/etap.12087; Schubert, A., Successive h-indices (2007) Scientometrics, 70 (1), p. 201205. , https://doi.org/10.1007/s11192-007-0112-x; Shane, S., (2003) A general theory of entrepreneurship: The individual-opportunity nexus, , E. Elgar; Shane, S., Venkataraman, S., The promise of entrepreneurship as a field of research (2000) Academy of management review, 25 (1), pp. 217-226; Shapero, A., (1984) The entrepreneurial event, , ollege of Administrative Science, Ohio State University; Shinnar, R. S., Giacomin, O., Janssen, F., Entrepreneurial perceptions and intentions: The role of gender and culture (2012) Entrepreneurship: Theory and Practice, 36 (3), pp. 465-493. , https://doi.or-g/10.1111/j.1540-6520.2012.00509.x; Solórzano-Garcia, M., Navio-Marco, J., Laguia, A., The influence of intrinsic motivation and contextual factors on MOOC students’ social entrepreneurial intentions (2020) En Interactive Learning Environments, , https://doi.org/10.1080/10494820.2020.1769680, Routledge; Souitaris, V., Zerbinati, S., Al-Laham, A., Do entrepreneurship programmes raise entrepreneurial intention of science and engineering students? The effect of learning, inspiration and resources (2007) Journal of Business Venturing, 22 (4), pp. 566-591. , https://doi.org/10.1016/j.jbusvent.2006.05.002; Sousa-Filho, J. M., Matos, S., da Silva Trajano, S., de Souza Lessa, B., Determinants of social entrepreneurial intentions in a developing country context (2020) Journal of Business Venturing Insights, 14, p. e00207. , https://doi.org/10.1016/j.jbvi.2020.e00207, de; Tan, L. P., Le, A. N. H., Xuan, L. P., (2019) A systematic literature review on social entrepreneurial intention, 11 (3), pp. 241-256. , https://doi.org/10.1080/19420676.2019.1640770, https://doi.org; Tiwari, P., Bhat, A. K., Tikoria, J., Predictors of social entrepreneurial intention: An empirical study (2017) South Asian Journal of Business Studies, 6 (1), pp. 53-79. , https://doi.org/10.1108/SA-JBS-04-2016-0032; Tiwari, P., Bhat, A. K., Tikoria, J., An empirical analysis ofthe factors affecting social entrepreneurial intentions (2017) Journal of Global Entrepreneurship Research, 7 (1), pp. 1-25. , https://doi.org/10.1186/s40497-017-0067-1; Torres, F. C., Méndez, J. C. E., Barreto, K. S., Chavarria, A. P., Machuca, K. J., Guerrero, J. A. O., Exploring entrepreneurial intentions in Latin American university students (2017) International Journal of Psychological Research, 10 (2), pp. 46-59. , https://doi.org/10.21500/20112084.2794; Tremblay, M., Gasse, Y., Entrepreneurial beliefs and intentions: A cross-cultural study of university students in seven countries (2011) International Journal of Business, 16 (4), pp. 303-314; Weinberg, B. H., Bibliographic coupling: A review (1974) Information Storage and Retrieval, 10 (5-6), pp. 189-196. , https://doi.org/10.1016/0020-0271(74)90058-8; Wilson, F., Kickul, J., Marlino, D., Gender, entrepreneurial self-efficacy, and entrepreneurial career intentions: Implications for entrepreneurship education (2007) Entrepreneurship: Theory and Practice, 31 (3), pp. 387-406. , https://doi.org/10.1111Zj.1540-6520.2007.00179.x; Ye, Y., The effect oftemporal distance on Chinese undergraduates’ entrepreneurial decision making (2013) Social Behavior and Personality, 41 (7), pp. 1125-1132. , https://doi.org/10.2224/sbp.2013.4L7.1125; Yousaf, U., Ali, S. A., Ahmed, M., Usman, B., Sameer, I., From entrepreneurial education to entrepreneurial intention: A sequential mediation of self-efficacy and entrepreneurial attitude (2020) International Journal of Innovation Science, 13 (3), pp. 364-380. , https://doi.org/10.1108/IJIS-09-2020-0133; Zhao, H., Hills, G. E., Seibert, S. E., The mediating role of self-efficacy in the development of entrepreneurial intentions (2005) Journal of Applied Psychology, 90 (6), pp. 1265-1272. , https://doi.org/10.1037/0021-9010.90.6.1265; Zhao, H., Seibert, S. E., Lumpkin, G. T., The relationship of personality to entrepreneurial intentions and performance: A me-ta-analytic review (2010) Journal of Management, 36 (2), pp. 381-404. , https://doi.org/10.1177/0149206309335187; Zichella, G., Surprisingly stable: An experiment on willingness to bear uncertainty in individuals with and without entrepreneurial intentions (2020) Journal of Management Development, 39 (9-10), p. 9891011. , https://doi.org/10.1108/JMD-01-2019-0013</t>
  </si>
  <si>
    <t>Castro, E.L.; Universidad Católica de la Santísima ConcepciónChile; email: eleon@ucsc.cl</t>
  </si>
  <si>
    <t>2-s2.0-85130351198</t>
  </si>
  <si>
    <t>Ferro D., Gil J., Jiménez A., Manrique C., Martínez C.A.</t>
  </si>
  <si>
    <t>57674358600;57673820800;55414044400;36909258600;57189620009;</t>
  </si>
  <si>
    <t>Estimation of lactation curves of Gyr cattle and some associated production parameters in the Colombian low tropic [Estimação de curvas de lactação de bovinos Gyr e alguns parâmetros associados no trópico baixo da Colômbia] [Estimación de Curvas de lactancia de bovinos Gyr y algunos parámetros asociados en el trópico bajo Colombiano]</t>
  </si>
  <si>
    <t>Revista Colombiana de Ciencias Pecuarias</t>
  </si>
  <si>
    <t>https://www.scopus.com/inward/record.uri?eid=2-s2.0-85129767611&amp;doi=10.17533%2fudea.rccp.v35n1a01&amp;partnerID=40&amp;md5=2b0252159438c6ad41f2def9b5a6c778</t>
  </si>
  <si>
    <t>Escuela de Matemáticas y Estadística, Universidad Pedagógica y Tecnológica de Colombia, Colombia; Asociación Colombiana de Criadores de Ganado Cebú ASOCEBU, Bogotá, Colombia; Departamento de Producción Animal, Universidad Nacional de Colombia, Sede, Bogotá, Colombia; Dirección de Investigación y Desarrollo, Corporación Colombiana de Investigación Agropecuaria - AGROSAVIA, Sede Central, Mosquera, Colombia</t>
  </si>
  <si>
    <t>Ferro, D., Escuela de Matemáticas y Estadística, Universidad Pedagógica y Tecnológica de Colombia, Colombia; Gil, J., Escuela de Matemáticas y Estadística, Universidad Pedagógica y Tecnológica de Colombia, Colombia; Jiménez, A., Asociación Colombiana de Criadores de Ganado Cebú ASOCEBU, Bogotá, Colombia; Manrique, C., Departamento de Producción Animal, Universidad Nacional de Colombia, Sede, Bogotá, Colombia; Martínez, C.A., Dirección de Investigación y Desarrollo, Corporación Colombiana de Investigación Agropecuaria - AGROSAVIA, Sede Central, Mosquera, Colombia</t>
  </si>
  <si>
    <t>Background: The Gyr breed is widely used in Colombian low tropic dairy production systems. During the last 10 years, the Asociación Colombiana de Criadores de Ganado Cebú† - ASOCEBU, has been leading a dairy milk control program which led to the creation of a dataset that permits to carry out the first analysis of milk yield in Gyr cattle in the country using records from several herds. Objectives: To study milk production dynamics of Gyr cattle in the Colombian low tropic through the estimation of lactation curves and four derived production parameters: Total milk yield between 5 and 305 days (TMY305), peak milk yield (PMY), days at peak (DP) and persistency (P). Methods: 13,798 daily milk yield records from 1,510 cows performing in 103 herds were used; the total number of lactations was 2,480. Four models were considered: Wood, Wiltmink, Papajcsik &amp; Bordero, and a second-degree polynomial. Mean square error, mean absolute error, mean square error of prediction, Akaike and Bayesian information criteria were used to select the model better describing each lactation using the majority rule, that is, the model selected by most criteria was the chosen one. The shape of each fitted lactation curve was checked using basic results from calculus which permitted the classification of the estimated curves into two groups: Typical and atypical; only typical functions were used to compute the four aforementioned production parameters. Results: The second-order polynomial was the model most frequently selected, while the Papajcsik &amp; Bordero model had the lowest frequency. Average TMY305, PMY, DP and P were 3,489.86 kg, 17.28 kg, 57.17 days, and 0.83, respectively, with coefficients of variation: 0.27, 0.21, 0.41, and 0.16. Conclusions: This study permitted to identify individuals with outstanding phenotypic performance. To the best of our knowledge, this is the first study of this kind involving thousands of lactations from Gyr cows performing in several regions of Colombian low tropic. © 2022 Universidad de Antioquia.</t>
  </si>
  <si>
    <t>Bos indicus; Bovines; Cattle; Cows; Lactation; Lactation function shape; Lactation parameters; Linear models; Milk production; Milk yield; Model comparison; Nonlinear models; Statistical modelling; Tropical dairy operations</t>
  </si>
  <si>
    <t>This study was partially funded by Asociación Colombiana de Criadores de Ganado Cebú – ASOCEBU.</t>
  </si>
  <si>
    <t>Akaike, H., A New Look at the Statistical Model Identification (1974) Ieee Transactions On Automatic Control decem, pp. ac-19. , Https://doi.org/10.1109/TAC.1974.1100705, ko. 6; Analla, M., Model Validation Through The Linear Regression Fit To Actual Versus Predicted Values (1998) Agric Syst, 57, pp. 115-119. , Https://doi.org/10.1016/S0308-521X(97)00073-5; La raza Gyr especializada en leche, , Http://www.asocebu.com/index.php/el-cebu/razas/gyr, n.d. [accessed date: May 2019]; Brody, S, Turner, CW, Ragsdale, AC., The Relation Between The Initial Rise And The Subsequent Decline Of Milk Secretion Following Parturition (1924) The Journal of General Physiology, 6, pp. 541-545. , Https://doi.org/10.1085/jgp.6.5.541; Farms, Butler, Gyr Cattle, , Https://butlerfarms.us/gyr-cattle/, n.d. [accessed date: May 2018]; Cañas, A, Cerón-Muñoz, M, Corrales, J., Modelación y parámetros genéticos de curvas de lactancia en bovinos Holstein en Colombia (2012) Revista MVZ Córdoba, 17 (2), pp. 2998-3003. , Https://doi.org/10.21897/rmvz.234; Cuellar, MA, Pereira, RJ., (2002) Evaluación lechera en razas mestizas y gir lechero puro en condiciones sub-tropicales (período 1984 – 2001), , Https://www.academia.edu/8330574/EVALUACI%C3%93N_LECHERA_EN_RAZAS_MESTIZAS_Y_GIR_LECHERO_PURO_EN_CONDICIONES_SUBTROPICALES_Departamento_de_Santa_Cruz_per%C3%ADodo_1984_2001_1, Santa Cruz (Bolivia): Departamento de Santa Cruz Facultad de Ciencias Veterinarias, UAGRM; De Souza, R, Alcalde, CR, Lopes, CA, De Labio, BS, Fonseca, FD, Couto, L, Hygino, B, Silva, AP., Lactation curves and economic results of Saanen goats fed increasing dietary energy levels obtained by the addition of calcium salts of fatty acids (2014) Revista Brasileira de Zootecnia, 43 (2), pp. 73-79. , Http://dx.doi.org/10.1590/S1516-35982014000200004; Faraway, J., (2015) Linear Models with R, , Boca Raton (FL): CRC Press; Ferreira, AG, Henrique, S, Vieira, RA, Maeda, EM, Valotto, AA., Fitting mathematical models to lactation curves from holstein cows in the southwestern region of the state of Parana, Brazil (2015) Anais da Academia Brasileira de Ciências, 1 (87), pp. 503-517. , https://doi.org/10.1590/0001-3765201520130514; Johansson, I, Hansson, A., Causes of Variation in Milk and Butterfat Yields of Dairy Cows (1940) Kungliga Lantbruksakademiens Handlingar, 79 (62), p. 127. , Https://www.cabdirect.org/cabdirect/abstract/19420100118; López, S, France, J, Odongo, NE, McBride, RA, Kebreab, E, AlZahal, O, Dijkstra, J., On the analysis of Canadian Holstein dairy cow lactation curves using standard growth functions (2015) Journal of Dairy Science, 98 (4), pp. 2701-2712. , Https://doi.org/10.3168/jds.2014-8132; Nicolò, PP, Corrado, D, Salvatore, PG, Roberto, S, Giuseppe, P., The Mathematical Description Of Lactation Curves In Dairy Cattle (2011) Italian Journal of Animal Science, 10 (51), pp. 213-223. , Https://doi.org/10.4081/ijas.2011.e51; Mellado, M, Coronel, F, Estrada, A, Ríos, F., Lactation Performance Of Holstein And Holstein X Gyr Cattle Under Intensive Condition In A Subtropical Environment (2011) Tropical and Subtropical Agroecosystems, 14 (3), pp. 927-931. , Http://www.scielo.org.mx/scielo.php?script=sci_arttext&amp;pid=S1870-04622011000300031&amp;lng=es&amp;nrm=iso; Ossa, G, Torregroza, L, Alvarado, L., Determinación de la curva de lactancia en vacas mestizas de un hato de doble propósito en la Región Caribe de Colombia (1997) Revista Corpoica, 2 (1), pp. 54-57. , Https://doi.org/10.21930/rcta.vol2_num1_art:163, july; Wood, PDP., Algebraic Model of the Lactation Curve in Cattle (1967) Nature octubre, 216 (5111), pp. 164-165. , Https://doi.org/10.1038/216164a0; Pereira, RJ, Verneque, RS, Lopes, PS, Santana, ML, Lagrotta, MR, Torres, RA, Vercesi, AE, Machado, MA., Milk yield persistency in Brazilian Gyr cattle based on a random regression model (2012) Genetics and Molecular Research, 11 (2), pp. 1599-1609. , Http://dx.doi.org/10.4238/2012.June.15.9; Papajcsik, IA, Bodero, J., Modelling Lactation Curves Of Friesian Cows In A Subtropical Climate (1988) Animal Production, 47 (2), pp. 201-207. , Https://doi.org/10.1017/S0003356100003275; Quiroz, J, Granados, L, Barrón, M., Producción De Leche De Ganado Gyr Y F1 Y (Holstein X Gyr) (2015) Actas Iberoamericanas de Conservación Animal, 6, pp. 294-299. , Https://docplayer.es/47865539-Produccion-deleche-de-ganado-gyr-y-f1-y-holstein-x-gyr.html; Rawlings, JO, Pantula, SG, Dickey, DA., (1998) Applied regression analysis: A research tool, , New York (NY): Springer-Verlag; Rivera, J., (1997) Producción bovina para leche, , Pasto (Colombia): Universidad de Nariño; Tedeschi, L., Assessment of the Adequacy of Mathematical Models (2004) Workshop on Mathematical Model Analysis and Evaluation, , Https://www.nutritionmodels.com/papers/Tedeschi2004.pdf, Sassari (Italy); DHI Lactation Curves (2001) Western Diary Digest, , Http://www.dairyweb.ca/Resources/WDD24/WDD2424.pdf, Western Canadian Dairy Herd Improvement Services. n.d. [accessed date: May 2019]; Wiltmink, JBM., Comparison of Different Methods of Predicting 305-Day Milk Yield Using Means Calculated From Within-Herd Lactation Curves (1987) Livestock Production Science, 17, pp. 1-17. , Http://anzoo.org/publicaciones/index.php/anzoo/article/download/52/40; Yanar, M, Güler, O., Factors Influencing the Shape of Lactation Curve and Persistency of Holstein Friesian Cows in High Altitude of Eastern Turkey (2009) Journal of Applied Animal Research, 35 (1), pp. 39-44. , Https://doi.org/10.1080/09712119.2009.9706981</t>
  </si>
  <si>
    <t>Martínez, C.A.; Dirección de Investigación y Desarrollo, Sede Central, Colombia; email: cmartinez@agroavia.co</t>
  </si>
  <si>
    <t>Revista Colombiana Ciencias Pecuarias</t>
  </si>
  <si>
    <t>2-s2.0-85129767611</t>
  </si>
  <si>
    <t>Estay Sepúlveda J.G., Sepúlveda J.M., Arbeláez-Campillo D.F., Rojas-Bahamón M.J., Paris A.D., Cáceres C.C.</t>
  </si>
  <si>
    <t>57195990758;57540159100;57209604480;57209599361;57539511900;57541116200;</t>
  </si>
  <si>
    <t>Uncetainy in times of hegemony in crisis [INCERTIDUMBRE EN TIEMPOS DE HEGEMONÍA EN CRISIS]</t>
  </si>
  <si>
    <t>Encuentros (Maracaibo)</t>
  </si>
  <si>
    <t>10.5281/zenodo.5980093</t>
  </si>
  <si>
    <t>https://www.scopus.com/inward/record.uri?eid=2-s2.0-85129468275&amp;doi=10.5281%2fzenodo.5980093&amp;partnerID=40&amp;md5=13a01a67d82bf8dc05130d002857b858</t>
  </si>
  <si>
    <t>Universidad Católica de Temuco, Chile; Universidad de Salamanca, Spain; Universidad Adventista de Chile, Chile; Universidad Pedagógica y Tecnológica de Colombia, Colombia; CEO editorial Primmate SAS, Colombia; Grupo de Investigación Lenguajes, Repre-sentaciones y Educación, Universidad de la Amazonia, Colombia; IE Jorge Eliecer Gaitán, Universidad de la Amazonia Colombia, Colombia; Universidad de Los Lagos, Chile; Universidad de Las Américas, Chile</t>
  </si>
  <si>
    <t>Estay Sepúlveda, J.G., Universidad Católica de Temuco, Chile, Universidad de Salamanca, Spain, Universidad Adventista de Chile, Chile; Sepúlveda, J.M., Universidad Católica de Temuco, Chile, Universidad Pedagógica y Tecnológica de Colombia, Colombia; Arbeláez-Campillo, D.F., CEO editorial Primmate SAS, Colombia, Grupo de Investigación Lenguajes, Repre-sentaciones y Educación, Universidad de la Amazonia, Colombia; Rojas-Bahamón, M.J., IE Jorge Eliecer Gaitán, Universidad de la Amazonia Colombia, Colombia; Paris, A.D., Universidad de Los Lagos, Chile; Cáceres, C.C., Universidad de Las Américas, Chile</t>
  </si>
  <si>
    <t>Uncertainty is part of the life of the human being and it is present in every act that is carried out. Since its origins, humanity is faced with dilemmas and destinies that the Oracles will try to answer. Delphi’s oracle did not abandon us and Pythia today speaks to us from science and everyday technology trying to respond to the uncertainty that will never leave the person, where the scissors of Atropos -the inevitable-, do not have enough edge to cut the thread. © 2022 Universidad Nacional Experimental Rafael Maria Baralt. All Rights Reserved.</t>
  </si>
  <si>
    <t>democracy; demons; fate; history; Uncertainty</t>
  </si>
  <si>
    <t>Aguirre Rojas, Carlos Antonio, (2021) Geografías de la Revuelta, , Editorial Cuadernos de Sofía; Alonso, María Julia, Moulins, Andrés, Caza y sacrificio en la Orestíada: el dilema del héroe guerrero en Homero, Esquilo y M. Your-cenar (2020) En Thamyris nº11, pp. 131-144; Álvarez-Arguelles, Marta Elena, Rojo-Alba, Susana, Melón, Santiago, Vazquez, Fernando, El diagnóstico del SARS-Cov-2 y la incertidumbre radical (2020) En Journal of Healthcare Quality Reseachvol, 35 (4), pp. 199-201; Arbeláez-Campillo, Diego Felipe, Andreyevna Dudareva, Marianna, Rojas-Bahamón, Julissa, Las pandemias como factor perturbador del orden geopolítico en el mundo globalizado (2019) En Cuestiones Políticas, 36 (63), pp. 134-150; Arbeláez-Campillo, Diego Felipe, Rojas-Bahamón, Julissa, Es-cenarios prospectivos de un nuevo orden internacional que se vislumbra luego de la pandemia COVID-19 (2020) En Telos, 22 (3), pp. 494-508; (1988) La Política, , Editorial Gredos; Asimov, Isaac, (1975) Yo, Robot. Colecciòn Nebulae Impresos Romany; Bauman, Zygmunt, Bordoni, Carlo, (2016) Estado de crisis, , Paidos; Berman, Morris, (2006) Historia de la conciencia. De la paradoja al complejo de autoridad sagrada, , Cuatro Vientos; Cáceres, Carolina, Crespo, Julio E., Sepúlveda, Juan Guillermo, Paris, Anita, Lagomarsino Montoya, Mario, Hipermetropía Ambiental en una Sociedad Abierta: El Medio Ambiente en una Encrucijada (2018) En Ammentu Bollettino Storico e Archivistico del Mediterraneo e delle Americhe, (13), pp. 66-72; los Ríos, De, (2016) Grecia o el azar: Divinidad, suerte y destino en la literatura griega antigua, , Ediciones Universidad Alberto Hurtado; Dólar, Mladen, Tyche, clinamen, den (2013) En Continental Philosophy Review, (46), pp. 223-239; Dörner Paris, Anita, Aspectos Formativos de la Enfermería en el Sur de Chile (2017) En Revista Inclusiones, 4 (3), pp. 157-162; Sepúlveda Juan Guillermo, Estay, Lagomarsino Montoya, Mario, Cabezas Cáceres, Carolina, Re-flexiones en torno a la democracia y la bioética: Los nuevos fundamentalismos democráticos y bioéticos (2016) En Argumentos de Razón y Técnica, (19), pp. 141-149; Sepúlveda Juan Guillermo, Estay, Testa, Peña, Leticia, Claudia, Soto Sal-cedo, Alexis, Crespo, Julio E., Moreno Leiva, Germán, Educación y discapacidad intelectual: entre la utopía de una sociedad abierta y la praxis de una sociedad cerrada (2019) Utopía y Praxis Latinoamericana año 24 nºextra, pp. 116-127. , En; Sepúlveda, Juan Guillermo, Lagomarsino Montoya, Mario, (2020) Democracia al estilo búho Tercer Mi-lenio: Miope y con cataratas, , Editorial Cuadernos de Sofía; Estay Sepúlveda, Juan Guillermo, Lagomarsino Montoya, Mario, Mansilla Sepúlveda, Juan, Mancina-Chávez, Rosalba, Véliz Burgos, Alex, Monteverde Sánchez, Alessandro, (2020) En Revista Cuestiones Políticas, 39 (68), pp. 896-913; Estay Sepúlveda, Juan Guillermo, Barrientos-Báez, Almudena, Lagomarsino Montoya, Mario, Véliz Burgos, Alex, Monteverde Sánchez, Alessandro, En torno al neoliberalismo. La democracia amenazada (2021) En Revista Notas Históricas y Geográficas, (26), pp. 208-240; Estay Sepúlveda, Juan Guillermo, Mansilla Sepúlveda, Juan, Lagomarsino Montoya, Mario, La democracia anacrónica debe mirar los microcosmos. Democracias versus Arcadecracias (2021) Moli-neros, Indicios y Subalternidades en el siglo XXI. Presencia viva de Menocchio. Homenaje a la Obra de Carlo Ginzburg, , En: Carlos Antonio Aguirre Rojas (Coord) y Martino Contu; Juan Mansilla Sepúlveda, Juan Guillermo Estay Sepúlveda (Ed). Editorial Cuadernos de Sofía; (1985) Tragedias II, , Editorial Gredos; Fernández Guerrero, Olaya, El hilo de la vida. Diosas tejedoras en la mitología griega (2012) En Feminismo/s nº20, pp. 107-125; Fernández Guerrero, Olaya, Cronos y las Moiras. Lecturas de la temporalidad en la mitología griega (2014) En Pensamiento, 70, pp. 307-322; Fraguas Herráez, David, ¿Hubo una psicoterapia verbal en la Grecia Clásica? (2017) En Frenia, VIII, pp. 167-193; Francisco, F., Véliz-Burgos, A., Carreón, J., Enseñanza y sanación. Una mirada desde una didáctica de raigambre curativa (2018) Utopía y Praxis Latinoamericana, Año, 23 (83), pp. 34-40; Gabriel, Elke, Albanna, Walid, Pasquini, Giovanni, Ramani, Anand, Josipovic, Natasa, Mariappan, Aruljothi, Schinzel, Friedrich, Gopalakrishnan, Jay, Human brain organoids assemble functionally integrated bilateral optic vesicles (2021) En Cell Stem Cell, pp. 1-18. , nº18; Gaiman, Neil, (2001) American Gods, , Norma Editorial; Ginzburg, Carlo, (2021) Cinco re-flexiones sobre Marc Bloch, , Editorial Cuadernos de Sofía; Hays, J. N., (2005) Epidemics and Pandemics: Their Impacts on Human History, , ABC Clío; (1984) Alegorías de Homero, , Editorial Gredos; Hernández Ramos, Pablo, La representación de Grecia en el diario Bild durante los años centrales de la crisis económica, 2008-2012 (2015) En Revista internacional de Historia de la Comunicación, 1 (5), pp. 89-103; (1977) Historia. Libro I Clío, , Editorial Gredos; Hersen, Joke J., (2019) La melancolía en tiempos de incertidumbre, , Editorial Siruela; (1978) Obras y Frag-mentos, , Editorial Gredos; Homero, (1991) Iliada, , Editorial Gredos; Iannella, Alessandro, Ok Google, vorrei parlare con la poetessa Saffo”: intelligenza artificiale, assistenti virtuali e didattica della letteratura (2019) En Thamyris, (10), pp. 81-104. , nº; Jaeger, Werner, (1993) Paideia, , Fondo de Cultura Económica; Junco, Ethel Beatriz, Cáttedra, Olivia, Madre y destino en la tragedia griega (2021) En Conocimiento y Acción, 1 (1), pp. 8-24. , nº; Kangiser, G., Pablo, Oratoria, democracia y manipulación lingüística (2020) Thamyris, pp. 189-210. , nº11; Lagomarsino Montoya, Mario, Mancina-Chávez, Rosalba, Estay Sepúlveda, Juan Guillermo, Moreno Leiva, Germán, Moraga Gálvez, Lorena, El segundo plano de la democracia y de la sociedad abierta, en el primer cuarto del Siglo XXI (2021) En Amazonia Investiga, 10 (37), pp. 68-77; Lagomarsino Montoya, Mario, Sepúlveda, Estay, Guillermo, Juan, Mansilla Sepúlveda, Juan, A propósito de fascismo, neoliberalismo y ultraderecha. Problemas analíticos en la “sociedad abierta” (2021) En Revista Estudios del Desarrollo Social: Cuba y América Latina, 9 (2), pp. 20-38; León Parada, Fernando, De la Paideia Griega y términos de la Probabilidad (2016) En Góndola, Enseñanza y Aprendizaje de las Ciencias, 11 (1), pp. 43-54; Mansilla, Juan, Huaiquián, Claudia, (2021) Logos y Techné. Metodología de la Investigación, , Editorial Internauka S. A. Moscú; Mansilla, Juan, (2021) Fenomenología de Edmund Husserl. Suelo epistemológico de las ciencias humanas cualitativas, , Editorial Internauka S. A. Moscú; Andrés, Marchiori Eugenio, (2009) Los desafíos de la incertidumbre, , OLMO Ediones; Morán Beltrán, Lino, De la teoría de la complejidad a la filosofía intercultural: hacia un nuevo saber (2006) En Revista de Filosofía, 52 (1), pp. 65-82; Beltrán, Morán, LINO, e., Reyes, Méndez, Johan, M., De la teoría de la complejidad a la ética ecológica En Revista de Ciencias Sociales, XVI (1), pp. 128-148; Neira, Luz, Medusa en los mosaicos romanos: de la mirada que petrificaba a una mirada apotropaica (2015) En Ars &amp; Humanitas, 9 (1), pp. 32-57; Pérez-Amezcua, Luis Alberto, Junco, Ethel, Myths of Feminity in American Gods (2020) Journal of Comparative Literature and Aesthetic, 43 (4), pp. 15-27; (1986) Diálogos. Libro V Re-pública, , Editorial Gredos; Roche Cárcel, Juan A., Nosotros somos los griegos, más nuestra incertidumbre. Aproximación sociológica al mundo griego antiguo (2016) En Política y Sociedad, 53 (3), pp. 689-712; Rodríguez López, María Isabel, Arqueología y creencias del mar en la antigua Grecia (2008) En Zephyrus, LXI, pp. 177-195; Shakespeare, William, (2016) Hamlet, , Ediciones UNGS Universidad Nacional de General Sarmiento; Shakespeare, William, (1995) Macbeth, , Nueva Austral; (1981) Tragedias, , Editorial Gredos; (1990) Historia de la Guerra del Peloponeso, , Editorial Gredos; Véliz Burgos, Alex, Salud y bienestar: un campo multidisciplinario (2020) Revista 100-Cs, 6 (2), pp. 15-20; Walbank, Frank W., Fortune (tyché). Polybius (2007) A companion to Greek and Roman historiography, I, pp. 349-355. , En John Marincola (ed). Blackwell Publishing; (2019) Global Economic Propects. Darkening Skies, , January 2019. International Bank for Reconstruction and Develoment The World Bank, Washington D. C; Zagal Arreguín, Héctor, Naturaleza y demonio a propósito en ensueños y adivinos en Aristóteles (2020) En Ideas y Valores, 69 (172), pp. 9-20</t>
  </si>
  <si>
    <t>Universidad Nacional Experimental Rafael Maria Baralt</t>
  </si>
  <si>
    <t>Encuentro. Maracaibo.</t>
  </si>
  <si>
    <t>2-s2.0-85129468275</t>
  </si>
  <si>
    <t>Sánchez J.A.J., Bulla-Castañeda D.M., Díaz-Anaya A.M., Garcia-Corredor D.J., Pulido-Medellin M.O.</t>
  </si>
  <si>
    <t>57659333000;57222960876;55928513700;56241393600;56241968800;</t>
  </si>
  <si>
    <t>Serological determination of enzootic bovine leukosis virus (EBLV) in the municipality of Paipa, Boyacá (Colombia)</t>
  </si>
  <si>
    <t>Revista Mexicana De Ciencias Pecuarias</t>
  </si>
  <si>
    <t>10.22319/RMCP.V13I1.5675</t>
  </si>
  <si>
    <t>https://www.scopus.com/inward/record.uri?eid=2-s2.0-85129287109&amp;doi=10.22319%2fRMCP.V13I1.5675&amp;partnerID=40&amp;md5=a01e7d4214ffe3dbb29431efabc7b9bd</t>
  </si>
  <si>
    <t>Universidad Pedagógica y Tecnológica de Colombia, Facultad de Ciencias Agropecuarias, Grupo de Investigación en Medicina Veterinaria y Zootecnia – GIDIMEVETZ, Avenida Central del Norte 39 - 115 (Boyacá), Tunja, Colombia</t>
  </si>
  <si>
    <t>Sánchez, J.A.J., Universidad Pedagógica y Tecnológica de Colombia, Facultad de Ciencias Agropecuarias, Grupo de Investigación en Medicina Veterinaria y Zootecnia – GIDIMEVETZ, Avenida Central del Norte 39 - 115 (Boyacá), Tunja, Colombia; Bulla-Castañeda, D.M., Universidad Pedagógica y Tecnológica de Colombia, Facultad de Ciencias Agropecuarias, Grupo de Investigación en Medicina Veterinaria y Zootecnia – GIDIMEVETZ, Avenida Central del Norte 39 - 115 (Boyacá), Tunja, Colombia; Díaz-Anaya, A.M., Universidad Pedagógica y Tecnológica de Colombia, Facultad de Ciencias Agropecuarias, Grupo de Investigación en Medicina Veterinaria y Zootecnia – GIDIMEVETZ, Avenida Central del Norte 39 - 115 (Boyacá), Tunja, Colombia; Garcia-Corredor, D.J., Universidad Pedagógica y Tecnológica de Colombia, Facultad de Ciencias Agropecuarias, Grupo de Investigación en Medicina Veterinaria y Zootecnia – GIDIMEVETZ, Avenida Central del Norte 39 - 115 (Boyacá), Tunja, Colombia; Pulido-Medellin, M.O., Universidad Pedagógica y Tecnológica de Colombia, Facultad de Ciencias Agropecuarias, Grupo de Investigación en Medicina Veterinaria y Zootecnia – GIDIMEVETZ, Avenida Central del Norte 39 - 115 (Boyacá), Tunja, Colombia</t>
  </si>
  <si>
    <t>Enzootic Bovine Leukosis (EBL) is an economically important infection of dairy cattle, caused by the Enzootic Bovine Leukemia Virus (EBLV). The usual method of spread of EBLV infection is horizontal transmission, through direct and indirect exposure of susceptible animals to infected lymphocytes from blood or milk. After infection, animals appear to be clinically healthy during the first years after infection, but between 30 and 70 % of animals may develop persistent lymphocytosis and 0.1 to 10 % of cattle suffer from lymphosarcoma. This infection is detected by serological tests, usually by the enzyme-linked immunosorbent assay (ELISA). The objective of this research was to determine the seroprevalence of EBLV in bovine females from the municipality of Paipa (Boyacá). The epidemiological study was Descriptive Observational (Cross-sectional) with simple random sampling, where 1000 serum samples were collected, which were processed using the indirect ELISA technique implementing the commercial kit SERELISA® BLV Ab Mono Blocking. A seroprevalence of 31.1 % (311/1000) was determined, finding a statistically significant association between breed, age and seropositivity for the virus. © 2022 INIFAP-CENID Parasitologia Veterinaria. All rights reserved.</t>
  </si>
  <si>
    <t>Bovine diseases; ELISA; Leukosis; Seroprevalence</t>
  </si>
  <si>
    <t>animal experiment; Article; artificial insemination; Bovine leukemia virus; cattle disease; Colombia; cross-sectional study; dairy cattle; enzootic bovine leukosis; enzyme linked immunosorbent assay; female; geographic distribution; lymphocytosis; lymphosarcoma; male; nonhuman; sample size; serology; seroprevalence</t>
  </si>
  <si>
    <t>SERELISA</t>
  </si>
  <si>
    <t>Zoetis, United States</t>
  </si>
  <si>
    <t>Sandoval, MR, Delgado, CA, Ruiz, GL, Ramos, CO., Determinación de la Seroprevalencia del Virus de la Leucemia Bovina en Lima, Perú (2015) Rev Investig Vet del Perú, 26 (1), pp. 152-158; Vásconez-Hernández, A, Sandoval-Valencia, P, Puga-Torres, B, De La Cueva-Jácome, F., Seroprevalencia de leucosis enzoótica bovina en animales entre 6 a 24 meses en las provincias de Manabí, Pichincha y Chimborazo - Ecuador (2017) La Granja, 26 (2), pp. 131-141; Buitrago-Mejia, JA, Salzar-Torres, LM., Virus de Leucosis Bovina (VLB): Una revisión (2018) Sinergia, 3, pp. 130-151; Algorta-Turini, A, Alvarez-Albanell, JP, De Brun-Mnéndez, ML., (2014) Transmisión de la Leucosis Bovina Enzoótica en un campo de recría de ganado lechero en el sur del Uruguay [tesis doctorado], , Uruguay: Universidad de la República; Gutiérrez, G, Rodríguez, SM, De Brogniez, A, Gillet, N, Golime, R, Burny, A, Vaccination against δ-retroviruses: The bovine leukemia virus paradigm (2014) Viruses, 6 (6), pp. 2416-2427; Nekouei, O, VanLeeuwen, J, Sanchez, J, Kelton, D, Tiwari, A, Keefe, G., Herd-level risk factors for infection with bovine leukemia virus in Canadian dairy herds (2015) Prev Vet Med, 119 (3–4), pp. 105-113; Úsuga-Monroy, C, Echeverri, JJ, López-Herrera, A., El componente racial influencia la resistencia a la infección con el virus de la leucosis bovina (2018) Rev Fac Med Vet Zootec, 65 (2), pp. 130-139; Pulido-Medellín, M, González-Ariza, W, Bayona, H, Chavarro-Tulcán, G., Determinación de Leucosis Enzoótica Bovina mediante las claves hematológicas de Göttingen y Elisa en Boyacá, Colombia (2017) Rev Fac Ciencias Vet, 58 (1), pp. 10-16; Baruta, DA, Ardoino, SM, Brandan, JL, Sosa, RE, Mariani, EL, Albretch, EM., Leucosis Enzoótica Bovina (2011) Cienc Vet, 13 (1), pp. 9-16; Cadavid, G., (2012) Impacto del virus de la leucosis bovina en la producción de leche, , [tesis maestría]. Palmira, Colombia, Universidad Nacional de Colombia, Sede Palmira; Erskine, RJ, Bartlett, PC, Byrem, TM, Render, CL, Febvay, C, Houseman, JT., Association between bovine leukemia virus, production, and population age in Michigan dairy herds (2012) J Dairy Sci, 95 (2), pp. 727-734; Apaza, J., (2019) Seroprevalencia de la Leucosis Viral Bovina (LVB) en vacunos de la raza Brown Swiss en tres asociaciones del distrito de Paucarcolla [tesis licenciatura], , Puno, Perú: Universidad Nacional del Altiplano; Polat, M, Takeshima, S, Aida, Y., Epidemiology and genetic diversity of bovine leukemia virus (2017) Virol J, 14 (209), pp. 1-16; (2015) Resolución 3714 de 2015. Por la cual se establecen las enfermedades de declaración obligatoria en Colombia, , https://www.ica.gov.co/getattachment/3188abb6-2297-44e289e63a5dbd4db210/2015R3714.aspx; Tsutsui, T, Kobayashi, S, Hayama, Y, Yamamoto, T., Fraction of bovine leukemia virus-infected dairy cattle developing enzootic bovine leukosis (2016) Prev Vet Med, 124, pp. 96-101; Monge-Rojas, CR, Elizondo-Salazar, JA., La leucosis enzoótica bovina: un asesino silencioso (2019) Nutr Anim Trop, 13 (1), pp. 38-54; Alcaldía Municipal, P., (2019) Descripción Paipa, Boyacá, , http://www.paipaboyaca.gov.co/MiMunicipio/Paginas/Economia.aspx; (2019) Censo Pecuario Nacional año 2019, , ttps://www.ica.gov.co/areas/pecuaria/servicios/epidemiologia-veterinaria/censos2016/censo-2018, ICA. [Internet]. Disponible en; Figueredo, M, Pompei, A, Martini, M., (2017) Manual veterinario de toma y envío de muestras; Orjuela, J. NM, Betancourt, L., (2009) Salud y productividad en bovinos de la costa norte de Colombia, , http://www.fao.org/3/u5700T07.htm; Benavides-Benavides, B, Cedeño-Quevedo, DA, Serrano-de La Cruz, MF., Epidemiological study of bovine leukemia virus in dairy cows in six herds in the municipality of Pasto, Nariño (2013) Rev Lasallista Investig, 10 (1), pp. 18-26; Bautista, RNA, Nova, RYA, Pulido-Medellín, MO, Andrade-Becerra, RJ., Determinación serológica de leucosis bovina enzoótica en novillas de levante y vacas adultas de la vereda Morichal, Yopal, Casanare (2013) Cienc Agric, 10 (1), pp. 31-37; Alvira, HC, Velasco, JA., (2019) Prevalencia del virus de la leucosis bovina (VLB) en los municipios de Patía y Mercaderes [tesis licenciatura], , Popayán, Cauca, Colombia, Universidad del Cauca; Corredor-Figueroa, AP, Salas, S, Olaya-Galán, NN, Quintero, JS, Fajardo, Á, Soñora, M, Prevalence and molecular epidemiology of bovine leukemia virus in Colombian cattle (2020) Infect Genet Evol, 80, p. 104171; Grau, MA, Monti, G., Prevalencia serológica predial e intrapredial para el virus de la leucosis bovina (VLB) en lecherías de las regiones de Los Ríos y de Los Lagos de Chile (2010) Arch Med Vet, 42 (2), pp. 87-91; Orellana, MA., (2019) Determinación del status sanitario de Leucosis Bovina mediante la seroprevalencia a través de ELISA competitivo en un hato lechero en la provincia de Carchi [tesis licenciatura], , Florencia, Caquetá, Colombia: Universidad de la Amazonía; Bonifas, N, Ulcuango, F., Prevalencia de Leucosis Bovina en la Comunidad Santo Domingo No1, Cayambe-Ecuador 2012 (2015) Rev Ciencias la Vida, 22 (2), pp. 33-39; Lee, E, Kim, E, Ratthanophart, J, Vitoonpong, R, Kim, B, Cho, I, Song, J, Shin, Y., Infection, genetics and evolution molecular epidemiological and serological studies of bovine leukemia virus (BLV) infection in Thailand cattle (2016) Infect Genet Evol, 41, pp. 245-254; Romero, JJ, Dávila, G, Beita, G, Dolz, G., Relación entre el estado serológico a leucosis bovina enzoótica y parámetros reproductivos en hatos lecheros especializados de Costa Rica (2015) Agron Costarric, 39 (2); Hernandez, D, Muñoz, J, Álvarez, L., Dinámica de la leucosis bovina en el ganado criollo Hartón del Valle en infección natural (2016) Arch Zootec, 65 (251), pp. 365-373; Betancur, HC, Rodas, GJ., Seroprevalencia del virus de la Leucosis Viral Bovina en animales con trastornos reproductivos de Montería (2008) Rev MVZ Córdoba, 13 (1), pp. 1197-1204; Andreolla, AP, Scheer Erpen, LM, Frandoloso, R, Kreutz, LC., Development of an indirect ELISA based on recombinant capsid protein to detect antibodies to bovine leukemia virus (2018) Brazilian J Microbiol, 49, pp. 68-75; Carrero-Rojas, JL, Arévalo-Martínez, F, Tarazona-Suárez, A, Cepeda, BM., Prevalencia de la seropositividad a la leucosis bovina mediante la técnica diagnóstica de ELISA indirecta en hatos lecheros situados en Mesa de los Santos, Santander (2009) Spei Domus, 5 (11), pp. 6-11; Gutiérrez, G, Alvarez, I, Politzki, R, Lomónaco, M, Dus Santos, MJ, Rondelli, F, Fondevila, N, Trono, K., Natural progression of Bovine Leukemia Virus infection in Argentinean dairy cattle (2011) Vet Microbiol, 151 (3–4), pp. 255-263; Monti, GE, Frankena, K, De Jong, MCM., Transmission of bovine leukaemia virus within dairy herds by simulation modelling (2007) Epidemiol Infect, 135 (5), pp. 722-732; Radostits, OM, Gay, CC, Hinchcliff, KW, Constable, PD., (2006) Veterinary medicine: A textbook of the diseases of cattle, horses, sheep, pigs and goats, , New York: Elsevier Saunders; Úsuga-Monroy, C, Echeverri, J, López-Herrera, H., Diagnóstico molecular del virus de leucosis bovina en una población de vacas Holstein, Colombia (2015) Arch Zootec, 64 (248), pp. 383-388; Chamizo, PEG., Leucosis Bovina Enzootica: Revisión (2005) Rev Electron Vet, 6 (7), pp. 1-25; Hernández-Herrera, DY, Posso-Terranova, AM, Benavides, JA, Muñoz-Flórez, JE, Giovambattista, G, Álvarez-Franco, LA., Bovine leukosis virus detection in Creole Colombian breeds using nested-PCR (2011) Acta Agronómica, 60 (4), pp. 311-317</t>
  </si>
  <si>
    <t>Pulido-Medellin, M.O.; Universidad Pedagógica y Tecnológica de Colombia, Avenida Central del Norte 39 - 115 (Boyacá), Colombia; email: martin.pulido@uptc.edu.co</t>
  </si>
  <si>
    <t>INIFAP-CENID Parasitologia Veterinaria</t>
  </si>
  <si>
    <t>Rev. Mex. Cienc. Pecuarias</t>
  </si>
  <si>
    <t>2-s2.0-85129287109</t>
  </si>
  <si>
    <t>Tarazona Á.A., Lugos A.C., Jerez A.M.</t>
  </si>
  <si>
    <t>55799895900;57208709349;57215420773;</t>
  </si>
  <si>
    <t>Social cleaning: The case of “La Mano Negra” in Bucaramanga, Colombia [Limpieza social: “La Mano Negra” en Bucaramanga, Colombia]</t>
  </si>
  <si>
    <t>Revista Mexicana de Sociologia</t>
  </si>
  <si>
    <t>https://www.scopus.com/inward/record.uri?eid=2-s2.0-85129279846&amp;doi=10.22201%2fiis.01882503p.2022.2.60282&amp;partnerID=40&amp;md5=b805896b072ddf9542d70c3a597a4a84</t>
  </si>
  <si>
    <t>Universidad Pedagógica y Tecnológica de Colombia, Colombia; Universidad Industrial de Santander, Colombia; Facultad Latinoamericana de Ciencias Sociales-México, Mexico</t>
  </si>
  <si>
    <t>Tarazona, Á.A., Universidad Pedagógica y Tecnológica de Colombia, Colombia; Lugos, A.C., Universidad Industrial de Santander, Colombia; Jerez, A.M., Universidad Industrial de Santander, Colombia, Facultad Latinoamericana de Ciencias Sociales-México, Mexico</t>
  </si>
  <si>
    <t>During the 1980s, violence increased significantly in the main Colombian cities. However, a form of violence stands out, that known by the media as “social cleansing”, aimed at expeditiously eliminating population sectors allegedly involved in crime, drug addiction, prostitution, and subversion. The article analyzes the modus operandi, patterns, and justifications of “La Mano Negra”, a death squad that committed murders in the city of Bucaramanga (Colombia). The article proposes that such a form of violence is a symptom of the institutional insufficiency to provide security, justice, and well-being to the community. © 2022. Universidad Nacional Autónoma de México-Instituto de Investigaciones Sociales.</t>
  </si>
  <si>
    <t>Human rights; Torture; Urban warfare; Violence</t>
  </si>
  <si>
    <t>Acelas, Julio, (2017) La cultura juvenil de las cumbias en Bucaramanga: discriminación y reconocimiento, , Tesis de Maestría en Derechos Humanos. Bucaramanga: Universidad Industrial de Santander; Acevedo Tarazena, Álvaro, Lugos, Andrés Correa, Tanatopolítica y control social: la violencia como dinamizador del orden y la limpieza social en Bucara-manga, Colombia (1988-1998) (2022) Amnis, 20. , https//doi.org/10.4000/amnis.6308; Agamben, Giorgio, (1998) Homo sacer. El poder soberano y la nuda vida, , Valencia: Pre-Textos; Camacho, Álvaro, Guzmán, Álvaro, (1990) Colombia, ciudad y violencia, , Bogotá: Editorial Foro Nacional; (2009) Proyección demográfica en Colombia 1985-2020, , Bogotá: dane; Díaz, William, Van 66 asesinatos por supuesta limpieza social (1991) Vmguardia Liberal, p. 3E. , 3 de diciembre; Dimenstein, Gilberto, (1990) A guerra dos meninos-assassinato de menores no Brasil, , Sao Paulo: Brasiliense; Espectador, El, (1984) Reapareció el escuadrón de la muerte, p. 16. , 12 de junio; Espectador, El, (1989) Reaparece mano negra en Bucaramanga, p. 9B. , 8 de febrero; (1962) Atentan contra el mrl, , 13 de marzo; Tiempo, El, Asesinados 6 jóvenes en Bucaramanga (1989) El Tiempo, p. 6B. , 8 de febrero; Fassin, Didier, (2019) Por una repolitización del mundo: las vidas descartables como desafío del siglo xxi, , Buenos Aires: Siglo XXI Editores; González, Horacio, (2004) Filosofía de la conspiración. Marxistas, peronistas y carbonarios, , Buenos Aires: Ediciones Colihue; Gutiérrez, Francisco, (2016) El orangután con sacoleva: cien años de democracia y represión en Colombia 1910-2010, , Bogotá: Debate; Hoyos, Andrés, La mano negra (2011) El Espectador, , https://www.elespectador.com/opinion/la-mano-negra-columna-279111, [en línea]. 21 de junio. Disponible en [consulta: 11 de julio de 2019]; Marchi, Rita de Cassia, Zambrano, Ivannsan, La limpieza social en la construcción de la infancia moderna: aproximación teórica e historia sobre los niños en situación de calle en Brasil y Colombia (2001) Anuario de Historia Regional y de las Fronteras, 20 (1), pp. 19-40; Maza, Luis de la, Fundamentos de la filosofía hermenéutica: Heidegger y Gadamer (2005) Teología y Vida, 46, pp. 122-138; Mbembe, Achille, (2011) Necropolítica, , Madrid: Melusina; Medina, Medófilo, La violencia en Colombia: inercias y novedades, 19451950,1985-1988 (1990) Revista Colombiana de Sociología, 1 (1), pp. 49-75; Mendieta, Humberto, La 'Mano Negra (2017) El Heraldo, , https://www.elheraldo.co/columnas-de-opinion/la-mano-negra-325357, [en línea]. 3 de febrero. Disponible en [consulta:11 de julio de 2019]; Mendoza, Jorge, Memoria de las desapariciones durante la guerra sucia en México (2015) Athenea Digital15, (3), pp. 85-108; Ortiz, Carlos, Violencia política de los ochenta: elementos para una reflexión histórica (1991) Anuario Colombiano de Historia Social y de la Cultura, 18, pp. 245-280; Orrego, Ely, Homo sacer y violencia divina en el caso judío: lo insacrificable sometido a castigo (2008) Pléyade, 2, pp. 22-32; Pécaut, Daniel, Contra la sociedad (2011) Revista Semana, , https://www.semana.com/nacion/articulo/contra-sociedad/47256-3, [en línea]. 9 de octubre. Disponible en [consulta: 11 de julio de 2019]; Perea, Carlos Mario, (2015) Limpieza social. Una violencia mal nombrada, , Bogotá: Centro Nacional de Memoria Histórica-Instituto de Estudios Políticos y Relaciones Internacionales; Reyes Le Paliscot, Elizabeth, Así sobreviví a la Mano Negra (2009) Vanguardia Liberal, , https://www.vanguardia.com/entretenimiento/galeria/asi-sobrevivi-a-la-mano-negra-LCVL45782, [en línea]. 15 de noviembre. Disponible en [consulta: 4 de mayo de 2020]; Rojas, Carlos, (1996) La violencia llamada limpieza social, , Bogotá: Centro de Investigación y Educación Popular; Saavedra, Guillermo, Cacería de brujas (1991) Vmguardia Liberal,30 de octubre, p. 9. , D. Samper, María Elvira (2019). 1989. Bogotá: Planeta; Santos, Hernando, Lo que los bumangueses no recuerdan de la 'Mano Negra (2016) Vanguardia Liberal, , https://www.vanguardia.com/judicial/lo-que-los-bumangueses-no-recuerdan-de-la-mano-negra-DFVL377730, [en línea]. 26 de octubre. Disponible en [consulta:11 de julio de 2019]; Tirado, Nancy, El Plan Nacional de Rehabilitación: un modelo institucional para la democracia participativa, la descentralización y la lucha contra la pobreza (1990) Coyuntura Social, 264, pp. 121-143; Uribe, María, Vásquez, Teófilo, (1995) Enterrar y callar, , Bogotá: Presencia; Valencia, Sayak, (2010) Capitalismo Gore, , Madrid: Melusina; Liberal, Vanguardia, Asesinado taxista por desconocidos”. 5 de marzo, p. 7A. Vanguardia Liberal (1991a). “Amenazado líder popular del norte”. 2 de octubre, p. 13B. Vanguardia Liberal (1991b). “Asesinado homosexual en el centro”. 29 de julio, p. 3F. Vanguardia Liberal (1991c) (1989), Asesinados dos vendedores de lotería 19 de septiembre, 4C; Liberal, Vanguardia, (1991) Herida pareja de artesanos, p. 5A. , 27 de noviembre; Liberal, Vanguardia, (1991) Investigan procedencia de amenazas de muerte, p. 8B. , 25 de octubre; Liberal, Vanguardia, (1991) Más denuncias por amenazas de muerte, p. 12C. , 23 de octubre; Liberal, Vanguardia, (1991) Usitras denunció amenaza de muerte, p. 6A. , 23 de octubre; Velásquez, Édgar, Historia de la Doctrina de la Seguridad Nacional (2002) Convergencia. Revista de Ciencias Sociales, 27, pp. 11-39; Silenciadas, Vidas, (2019) Base de datos de víctimas silenciadas por el Estado en Colombia, , https://vidassilenciadas.org/la-base-de-datos/, [en línea]. Disponible en [consulta:11 de julio de 2019]; Zuleta, Estanislao, (2015) Colombia: violencia, democracia y derechos humanos, , Bogotá: Ariel</t>
  </si>
  <si>
    <t>Rev. Mex. Sociol.</t>
  </si>
  <si>
    <t>2-s2.0-85129279846</t>
  </si>
  <si>
    <t>Velez-Guerrero M.A., Callejas-Cuervo M., Alvarez J.C., Mazzoleni S., Lopez A.M., Alvarez D., Gonzalez L.</t>
  </si>
  <si>
    <t>57194044803;57189839504;57209074060;56213350800;57656707700;22984500800;57219925928;</t>
  </si>
  <si>
    <t>Protocol Proposal for the Mechanical Evaluation of a Soft Robotic Exoskeleton Using an Optical Motion Capture System</t>
  </si>
  <si>
    <t>Pan American Health Care Exchanges, PAHCE</t>
  </si>
  <si>
    <t>2020-March</t>
  </si>
  <si>
    <t>10.1109/GMEPE/PAHCE55115.2022.9757760</t>
  </si>
  <si>
    <t>https://www.scopus.com/inward/record.uri?eid=2-s2.0-85129193301&amp;doi=10.1109%2fGMEPE%2fPAHCE55115.2022.9757760&amp;partnerID=40&amp;md5=97b4b34268ac9acbb34d9d36f9587c16</t>
  </si>
  <si>
    <t>Universidad Pedagógica y Tecnológica de Colombia, Software Research Group, School of Computer Science, Colombia; University of Oviedo, Multisensor Systems and Robotics Group (SiMuR), Department of Electrical, Electronic, Computer and Systems Engineering, Spain; Polytechnic University of Bari, Department of Electrical and Information Engineering, Italy</t>
  </si>
  <si>
    <t>Velez-Guerrero, M.A., Universidad Pedagógica y Tecnológica de Colombia, Software Research Group, School of Computer Science, Colombia; Callejas-Cuervo, M., Universidad Pedagógica y Tecnológica de Colombia, Software Research Group, School of Computer Science, Colombia; Alvarez, J.C., University of Oviedo, Multisensor Systems and Robotics Group (SiMuR), Department of Electrical, Electronic, Computer and Systems Engineering, Spain; Mazzoleni, S., Polytechnic University of Bari, Department of Electrical and Information Engineering, Italy; Lopez, A.M., University of Oviedo, Multisensor Systems and Robotics Group (SiMuR), Department of Electrical, Electronic, Computer and Systems Engineering, Spain; Alvarez, D., University of Oviedo, Multisensor Systems and Robotics Group (SiMuR), Department of Electrical, Electronic, Computer and Systems Engineering, Spain; Gonzalez, L., University of Oviedo, Multisensor Systems and Robotics Group (SiMuR), Department of Electrical, Electronic, Computer and Systems Engineering, Spain</t>
  </si>
  <si>
    <t>The use of soft and flexible materials in rehabilitation support systems based on robotic exoskeletons plays a crucial role in ergonomics, reducing weight and complexity. However, the selection of these materials can have mechanical implications that affect the performance of the exoskeleton in the chosen application. This paper proposes a testing protocol to assess the mechanical and structural features of a prototype upper limb robotic exoskeleton using an optical motion capture system as the primary measurement instrument. In addition to the protocol, a literature review is presented, laying the ground for the theoretical development of the mechanical evaluation for prototypes. Also, the materials used concerning the evaluation technologies required for data collection and assessment of the devices are described. The development and future application of this protocol will enable the identification of the relevant motion parameters on the exoskeleton prototype, the changes that its structure may experience due to the use of the flexible materials, and the effectiveness of the mechanical support provided in the upper limb. Finally, the proposed protocol can be extended to other types of robotic exoskeletons built with similar materials, regardless of their final application, extending its applicability to other study cases. © 2022 IEEE.</t>
  </si>
  <si>
    <t>Mechanical support; optical tracking; rehabilitation; robotic exoskeleton; soft materials</t>
  </si>
  <si>
    <t>Exoskeleton (Robotics); Instrument testing; Software prototyping; Flexible materials; Mechanical evaluation; Mechanical support; Motion capture system; Optical motion capture; Optical tracking; Robotic exoskeletons; Soft robotics; Softer materials; Upper limbs; Ergonomics</t>
  </si>
  <si>
    <t>Universidad de Oviedo</t>
  </si>
  <si>
    <t>The development of this work was supported and guided by the members of the Research Group on Multisensor Systems and Robotics (SiMuR), belonging to the Department of Electrical, Electronics, Computers, and Systems of the University of Oviedo in Spain, and the Software Research Group GIS from the School of Computer Science, Engineering Department, Universidad Pedagogica y Tecnologica de Colombia (UPTC) in Colombia</t>
  </si>
  <si>
    <t>Pons, J.L., Rehabilitation Exoskeletal Robotics (2010) IEEE Engineering in Medicine and Biology Magazine, 29 (3), pp. 57-63; Gull, M.A., Bai, S., Bak, T., A review on design of upper limb exoskeletons (2020) Robotics, 9 (1), pp. 1-35; Ilami, M., Bagheri, H., Ahmed, R., Skowronek, E.O., Marvi, H., Materials, Actuators, and Sensors for Soft Bioinspired Robots (2021) Jv. Mater., 33 (19), pp. 1-47; Jain, A., Jain, K., Soft Exosuit-A Review (2020) Int. Robot. Autom. J., 6 (2), pp. 99-101; Majidi Fard Vatan, H., Nefti-Meziani, S., Davis, S., Saffari, Z., El-Hussieny, H., A review: A Comprehensive Review of Soft and Rigid Wearable Rehabilitation and Assistive Devices with a Focus on the Shoulder Joint (2021) J. Intel! Robot. Syst. Theory Appl., 102 (1); Masia, L., Soft wearable assistive robotics: Exosuits and supernumerary limbs (2018) Wearable Exoskeleton Systems: Design, control and applications, pp. 219-254; Chen, Y., Wearable Actuators: An Overview (2021) Textiles, 1 (2), pp. 283-321; Sposito, M., Di Natali, C., Toxiri, S., Caldwell, D.G., De Momi, E., Ortiz, J., Exoskeleton kinematic design robustness: An assessment method to account for human variability (2020) Wearable Techno!, 1, pp. 1-26; Tiboni, M., Borboni, A., Verite, F., Bregoli, C., Amici, C., Sensors and Actuation Technologies in Exoskeletons: A Review (2022) Sensors, 22 (3), p. 884; Del Carmen Sanchez-Villamanan, M., Gonzalez-Vargas, J., Torricelli, D., Moreno, J.C., Pons, J.L., Compliant lower limb exoskeletons: a comprehensive review on mechanical design principles; Veneva, I., Chakarov, D., Tsveov, M., Exoskeleton with Soft Actuation and Haptic Interface (2017) Proc. 2nd Int. Symp. Wearable Robot. WeRob2016, 16, pp. 410-414; Sui, D., Fan, J., Jin, H., Cai, X., Zhao, J., Zhu, Y., Design of a wearable upper-limb exoskeleton for activities assistance of daily living (2017) IEEE/ASME Int. Conf. Adv. Intel! Mechatronics, AIM, pp. 845-850; Yahya, M., Shah, J.A., Kadir, K.A., Yusof, Z.M., Khan, S., Warsi, A., Motion capture sensing techniques usedin human upper limb motion: a review (2019) Sens. Rev., , June; Colyer, S.L., Evans, M., Cosker, D.P., Salo, A.I.T., A Review of the Evolution of Vision-Based Motion Analysis and the Integration of Advanced Computer Vision Methods Towards Developing a Markerless System (2018) Sport. Med.-Open, 4 (1); Nagymate, G., Kiss, R.M., Application of OptiTrack motion capture systems in human movement analysis. A systematic literature review (2018) Recent Innov. Mechatronics, 5 (1), pp. 1-9; Sorriento, A., Optical and Electromagnetic Tracking Systems for Biomedical Applications: A Critical Review on Potentialities and Limitations (2020) IEEE Rev. Biomed. Eng., 13, pp. 212-232; Alarcon-Aldana, A.C., Callejas-Cuervo, M., Bo, A.P.L., Upper limb physical rehabilitation using serious videogames and motion capture systems: A systematic review (2020) Sensors (Switzerland), 20 (21), pp. 1-22; Planas-Lara, A.E., Ducun-Lecumberri, M., Tomas-Royo, J.A., Marin, J., Marin, J.J., Objective Techniques to Measure the Effect of an Exoskeleton (2022) Biosyst. Biorobotics, 27, pp. 577-581. , July 2021; Pacifico, I., An experimental evaluation of the proto-mate: A novel ergonomic upper-limb exoskeleton to reduce workers' physical strain (2020) IEEE Robot. Autom. Mag., 27 (1), pp. 54-65; Li, X., Li, W., Li, Q., Method, Design, and Evaluation of an Exoskeleton for Lifting a Load in Situ (2021) Appl. Bionics Biomech., 2021; Samper-Escudero, J.L., Contreras-Gonzalez, A.F., Pont-Esteban, D., Saez-Saez, F.J., Sanchez-Uran, M.A., Ferre, M., Assessment of an upper limb exosuit with textile coupling (2020) Proc. 2020 IEEE Int. Conf. Human-Machine Syst. ICHMS 2020; Samper-Escudero, J.L., Coloma, S., Olivares-Mendez, M.A., Sanchez-Uran, M.A., Ferre, M., Assessment of a textile portable exoskeleton for the upper limbs' flexion (2021) Proc. 2021 IEEE Int. Conf. Human-Machine Syst. ICHMS 2021; Velez-Guerrero, M.A., Callejas-Cuervo, M., Mazzoleni, S., Design, development, and testing of an intelligent wearable robotic exoskeleton prototype for upper limb rehabilitation (2021) Sensors, 21 (16), p. 5411; Velez-Guerrero, M.A., Callejas-Cuervo, M., Mazzoleni, S., Integration and Testing of a High-Torque Servo-Driven Joint and Its Electronic Controller with Application in a Prototype Upper Limb Exoskeleton (2021) Sensors (Basel)., 21 (7220); Bi, S., Gu, Y., Zou, J., Wang, L., Zhai, C., Gong, M., High Precision Optical Tracking System Based on near Infrared Trinocular Stereo Vision (2021) Sensors (Basel)., (21), p. 2528; (2022) OptiTrack-Motion Capture Systems, , https://optitrack.com/, Accessed Feb 03, 2022</t>
  </si>
  <si>
    <t>Velez-Guerrero, M.A.; Universidad Pedagógica y Tecnológica de Colombia, Colombia; email: manuel.velez@uptc.edu.co</t>
  </si>
  <si>
    <t>2022 Global Medical Engineering Physics Exchanges/ Pan American Health Care Exchanges, GMEPE/PAHCE 2022</t>
  </si>
  <si>
    <t>21 March 2022 through 26 March 2022</t>
  </si>
  <si>
    <t>Pan American Health Care Exch., PAHCE</t>
  </si>
  <si>
    <t>2-s2.0-85129193301</t>
  </si>
  <si>
    <t>Pineda M.E.B., Lizarazo Forero L.M., Sierra Avila C.A.</t>
  </si>
  <si>
    <t>57249157100;54405666200;57657861900;</t>
  </si>
  <si>
    <t>Brazilian Journal of Microbiology</t>
  </si>
  <si>
    <t>https://www.scopus.com/inward/record.uri?eid=2-s2.0-85129173686&amp;doi=10.1007%2fs42770-022-00757-7&amp;partnerID=40&amp;md5=f8079988c35e4c65fe2dd96dd076e230</t>
  </si>
  <si>
    <t>Doctorado en Biotecnología UN, Grupo de Investigación en Macromoléculas UN, Grupo de Investigación Biología Ambiental UPTC, Grupo de investigación Gestión Ambiental- Universidad de Boyacá, Universidad Nacional de Colombia, Bogotá, Colombia; Grupo de Investigación Biología Ambiental, Universidad Pedagógica y Tecnológica de Colombia, Tunja, Colombia; Grupo de Investigación en Macromoléculas, Universidad Nacional de Colombia, Bogotá, Colombia</t>
  </si>
  <si>
    <t>Pineda, M.E.B., Doctorado en Biotecnología UN, Grupo de Investigación en Macromoléculas UN, Grupo de Investigación Biología Ambiental UPTC, Grupo de investigación Gestión Ambiental- Universidad de Boyacá, Universidad Nacional de Colombia, Bogotá, Colombia; Lizarazo Forero, L.M., Grupo de Investigación Biología Ambiental, Universidad Pedagógica y Tecnológica de Colombia, Tunja, Colombia; Sierra Avila, C.A., Grupo de Investigación en Macromoléculas, Universidad Nacional de Colombia, Bogotá, Colombia</t>
  </si>
  <si>
    <t>In a bioprospecting study of paramo soils cultivated with potato (Solanum tuberosum), 50 fungal isolates were obtained and evaluated for their nitrate reductase (NR) activity, given the role played by this enzyme in the biosynthesis of silver nanoparticles (AgNps). Five isolates strain with high NR activity belonging to Penicillium simplicissimum, Aspergillus niger, and Fusarium oxysporum species were selected, verifying the presence of the NR enzyme in their enzymatic extract. Later, these strains showed the ability to biosynthesize AgNps with distorted spherical shapes and sizes ranging from 15 to 45 nm. Subsequently, an antibiosis test was carried out by the agar diffusion method using glass fiber disks against the phytopathogenic agent Pectobacterium carotovorum, finding halos of inhibition of bacterial growth up to 15.3 mm using a 100 ppm solution of the AgNps obtained from F. oxysporum. These results contribute to generating the basis of a new alternative for the control of this phytopathogenic agent of potato, challenging to manage by traditional methods and of relevance at the post-harvest level. © 2022, The Author(s) under exclusive licence to Sociedade Brasileira de Microbiologia.</t>
  </si>
  <si>
    <t>Biosynthesis; Pectobacterium carotovorum; Rhizospheric fungi; Silver nanoparticles; Solanum tuberosum</t>
  </si>
  <si>
    <t>To the Government of Boyacá for the call 733 of 2015 for high-level human capital formation for the Department of Boyacá for funding the Ph.D. fellowship and to the Ministry of Science, Technology and Innovation of Colombia.</t>
  </si>
  <si>
    <t>This study was financed with resources from the Science, Technology, and Innovation Fund of the General Royalties System FCTeI-SGR attached to the Department of Boyacá and through the HERMES 47144 project of the National University of Colombia; “Biosynthesis of silver nanoparticles from rhizospheric fungi and its immobilization in a natural fiber for in vitro control of phytopathogenic bacteria (Pectobacterium carotovorum)”.</t>
  </si>
  <si>
    <t>Lurwanu, Y., Wang, Y., Jiao, W.E., Dun-Chun, H., Waheed, A., Nkurikiyimfura, O., Wang, Z., Zhan, J., Increasing temperature elevates the variation and spatial differentiation of pesticide tolerance in a plant pathogen (2021) Evol Appl, 14, pp. 1274-1285; Yi, L., Liu, X., Qi, T., Deng, L., Zeng, K., A new way to reduce postharvest loss of vegetables: antibacterial products of vegetable fermentation and its controlling soft rot caused by Pectobacterium carotovorum (2021) Biol Control, 161, p. 104708; Mansfield, J., Genin, S., Magori, S., Citovsky, V., Sriariyanum, M., Ronald, P., Dow, M., Foster, G., Top 10 plant pathogenic bacteria in molecular plant pathology (2012) Mol Plant Pathol, 13, pp. 614-629; Czajkowski, R., Perombelon, M., van Veen, J., Van der Wolf, J., Control of blackleg and tuber soft rot of potato caused by Pectobacterium and Dickeya species: a review (2011) Plant Pathol, 60, pp. 999-1013; Elizabath, A., Babychan, M., Applications of nanotechnology in agriculture (2019) Int J Pure Appl Biosci, 7 (2), pp. 131-139; Mishra, S., Singh, H., Biosynthesized silver nanoparticles as a nanoweapon against phytopathogens: exploring their scope and potential in agriculture (2015) Appl Microbiol Biotechnol, 99, pp. 1097-1107; Alghuthaymi, M., Almoammar, H., Rai, M., Said-Galiev, E., Abd-Elsalam, K., Myconanoparticles: synthesis and their role in phytopathogens management (2015) Biotechnol Biotechnol Equip, 29 (2), pp. 221-226; Abbasi, E., Milani, M., Aval, S., Kouhi, M., Akbarzadeh, A., Nasrabadi, H., Nikasa, P., Samiei, M., Silver nanoparticles: synthesis methods, bio-applications and properties (2016) Crit Rev Microbiol, 42 (2), pp. 173-180; Dhillon, G., Brar, S., Kaur, S., Verma, M., Green approach for nanoparticle biosynthesis by fungi: current trends and applications (2012) Crit Rev Biotechnol, 32 (1), pp. 49-73; Singh, D., Rathod, V., Ninganagouda, S., Hiremath, J., Singh, A., Mathew, J., Optimization and characterization of silver nanoparticle by endophytic fungi Penicillium sp. isolated from Curcuma longa (Turmeric) and application studies against MDR E. coli and S. aureus (2014) Bioinorg Chem Appl, 2014, p. 408021; Keat, C., Aziz, A., Eid, A., Elmarzugi, N., Biosynthesis of nanoparticles and silver nanoparticles (2015) Bioresour Bioprocess, 2 (1). , (,),., (,)., https://doi.org/10.1186/s40643-015-0076-2; Ramos, M., dos S. Morais, E., da S. Sena, I., Lima, A., de Oliveira, F., de Freitas, C., Silver nanoparticle from whole cells of the fungi Trichoderma spp. isolated from Brazilian amazon (2020) Biotechnol Lett, 42 (5), pp. 833-843; de Souza, A., Biosynthesis of silver nanoparticles by fungi (2015) Fungal Biomolecules. UK, 2015, pp. 117-135. , Vijai Kumar Gupta S, Sreenivasaprasad RLM; Ma, L., Su, W., Liu, J.-X., Zeng, X.-X., Huang, Z., Li, W., Optimization for extracellular biosynthesis of silver nanoparticles by Penicillium aculeatum Su1 and their antimicrobial activity and cytotoxic effect compared with silver ions (2017) Mater Sci Eng C, 77, pp. 963-971; Kotval, S., John, T., Kokila, A., A Review: Fabrication of biogenic silver nanoparticles and applications (2016) J Chem Biol Phys Sci, 6 (3), pp. 997-1009. , COI: 1:CAS:528:DC%2BC2sXhs1KmurzI; Nayak, B., Nanda, A., Prabhakar, V., Biogenic synthesis of silver nanoparticle from wasp nest soil fungus, Penicillium italicum and its analysis against multi drug resistance pathogens (2018) Biocatal Agric Biotechnol, 16, pp. 412-418; Fatima, F., Bajpai, P., Pathak, N., Singh, S., Priya, S., Verma, S., Antimicrobial and immunomodulatory efficacy of extracellularly synthesized silver and gold nanoparticles by a novel phosphate solubilizing fungus Bipolaris tetramera (2015) BMC Microbiol, 15 (1), p. 52; Siddiqi, K., Husen, A., Fabrication of metal nanoparticles from fungi and metal salts: scope and application (2016) Nanoscale Res Lett, 11 (1). , (,),., (,)., https://doi.org/10.1186/s11671-016-1311-2; Elgorban, A., Al-Rahmah, A., Sayed, S., Hirad, A., Mostafa, A., Bahkali, A., Antimicrobial activity and green synthesis of silver nanoparticles using Trichoderma viride (2016) Biotechnol Biotechnol Equip, 30 (2), pp. 299-304; Hamedi, S., Ghaseminezhad, M., Shokrollahzadeh, S., Shojaosadati, S., Controlled biosynthesis of silver nanoparticles using nitrate reductase enzyme induction of filamentous fungus and their antibacterial evaluation (2017) Artif Cells Nanomed Biotechnol, 45 (8), pp. 1588-1596; Samson, R., Hoekstra, E., Frisvad, J., Introduction to food and airborne fungi. 7 th (2004) Centraalbureau Voor Schimmelcultures U, Editor, p. 389; Pitt, J., Hocking, A., Fungi and food spoilage. 3th edn (2009) Springer US, , https://doi.org/10.1007/978-0-387-92207-2; Winn, W., Janda, W., Koneman, E., Procop, G., Schreckenbergew, P., Woods, G., Koneman Diagnóstico microbiológico. Textos y Atlas en color (2006) Editorial Panamericana; Harley, S., Use of a simple, colorimetric assay to demonstrate conditions for induction of nitrate reductase in plants (1993) Am Biol Teach, 55 (3), pp. 161-164; Hu, X., Webster, G., Xie, L., Yu, C., Li, Y., Liao, X., A new method for the preservation of axenic fungal cultures (2014) J Microbiol Methods, 99 (1), pp. 81-83; Sambrook, J., Maccallum, P., Russel, D., (2001) Molecular cloning: a laboratory manual, p. 2344. , 3, Cold Springs Harbour Press, New York; Ahluwalia, V., Kumar, J., Sisodia, R., Shakil, N., Walia, S., Green synthesis of silver nanoparticles by Trichoderma harzianum and their bio-efficacy evaluation against Staphylococcus aureus and Klebsiella pneumonia (2014) Ind Crops Prod, 55, pp. 202-206; Al juraifani, A., Biosynthesis of silver nanoparticles by Aspergillus niger, Fusarium oxysporum and Alternaria solani (2015) Afr J Biotechnol, 14 (26), pp. 2170-2174; Krishnakumar, S., Sindu, D., Shankar, G., Williams, P., Sasikumar, M., Extracellular biosynthesis of silver nanoparticles (Ag-NPs) using Fusarium oxysporium (MTCC-2480) and its antibacterial efficacy against Gram negative human pathogens (2015) J Chem Pharm Res, 7 (1), pp. 62-67. , COI: 1:CAS:528:DC%2BC2MXjvFGltbk%3D; AbdelRahim, K., Mahmoud, S., Ali, A., Almaary, K., Mustafa, A., Husseiny, S., Extracellular biosynthesis of silver nanoparticles using Rhizopus stolonifer (2017) Saudi J Biol Sci, 24 (1), pp. 208-216; Gonzalez, E., Nanopartículas Coloidales. Ed. Nanocitec, 1ra Ed (2015) ISBN: 978–958–46–6931–5; Lelliott, R., Billinge, A., Hayward, C., A determinative scheme for the fluorescent plant pathogenic Pseudomonads (1966) J App Bact, 29 (3), pp. 470-489; Gokul, G., Louis, V., Namitha, P., Mathew, D., Girija, D., Shylaja, M., Variability of Pectobacterium carotovorum causing rhizome rot in banana (2019) Biocatal Agric Biotechnol, 17, pp. 60-81; Hamad, M., Biosynthesis of silver nanoparticles by fungi and their antibacterial activity (2019) Int J Environ Sci Technol, 16, pp. 1015-1024; Krishnakumar, S., Sindu, D., Shankar, G., Williams, P., Sasikumar, M., Extracellular biosynthesis of silver nanoparticles (Ag-NPs) using Fusarium oxysporum (MTCC-2480) and its antibacterial efficacy against Gram negative human pathogens (2015) J Chem Pharm Res, 7 (1), pp. 62-67. , COI: 1:CAS:528:DC%2BC2MXjvFGltbk%3D; Dhoble, S., Biosynthesis of metal nanoparticles from fungal isolates of soybean rhizosphere (2015) Int J Sci Res, 4 (5), pp. 3-5; Madakka, M., Jayaraju, N., Rajesh, N., Mycosynthesis of silver nanoparticles and their characterization (2018) Methods, 5, pp. 20-29; Sayer, J., Raggett, S., Gadd, G., Solubilization of insoluble metal compounds by soil fungi: development of a screening method for solubilizing ability and metal tolerance (1995) Mycol Res, 99 (8), pp. 987-993. , COI: 1:CAS:528:DyaK2MXptFOisbk%3D; Wakelin, S., Warren, R., Ryder, H.P., Phosphate solubilization by Penicillium spp. closely associated with wheat roots (2014) Biol Fertil Soils, 40, pp. 36-43; Achi, O., Emeruwa, A., Influence of cultural conditions on coal solubilization by Penicillium simplicissimum (1993) J Chem Tech Biotechnol, 57, pp. 121-125; Jain, N., Bhargava, A., Majumdar, S., Tarafdar, J., Panwar, J., Extracellular biosynthesis and characterization of silver nanoparticles using Aspergillus flavus NJP08: A mechanism perspective (2011) Nanoscale, 3 (2), pp. 635-641; Elamawi, R., Al-Harbi, R., Hendi, A., Biosynthesis and characterization of silver nanoparticles using Trichoderma longibrachiatum and their effect on phytopathogenic fungi (2018) Egypt J Biol Pest Control, 28 (1). , (,),., (,)., https://doi.org/10.1186/s41938-018-0028-1; Almeida, S., de Oliveira, D., Hotza, D., Characterization of silver nanoparticles produced by biosynthesis mediated by Fusarium oxysporum under different processing conditions (2017) Bioprocess Biosyst Eng; Honary, S., Barabadi, H., Gharaei-Fathabad, E., Naghibi, F., Green synthesis of silver nanoparticles induced by the fungus Penicillium citrinum (2013) Trop J Pharm Res, 12 (1), pp. 7-11; Majeed, S., Abdullah, M., Nanda, A., Ansari, M., In vitro study of the antibacterial and anticancer activities of silver nanoparticles synthesized from Penicillium brevicompactum (MTCC-1999) (2018) J Taibah Univ Sci, 10 (4), pp. 614-620; Ahmad, A., Mukherjee, P., Senapati, S., Mandal, D., Khan, M.I., Kumar, R., Extracellular biosynthesis of silver nanoparticles using the fungus Fusarium oxysporum (2003) Colloids Surf B, 28 (4), pp. 313-318; Guilger, M., Lima, R., Synthesis of silver nanoparticles mediated by Fungi: a review (2019) Front Bioeng Biotechnol, 7, p. 287; Zomorodian, K., Pourshahid, S., Sadatsharifi, A., Mehryar, P., Pakshir, K., Rahimi, M., Biosynthesis and characterization of silver nanoparticles by Aspergillus species (2016) Biomed Res Int, 2016, pp. 1-6; Jaidev, L., Narasimha, G., Fungal mediated biosynthesis of silver nanoparticles, characterization and antimicrobial activity (2010) Colloids Surf B, 81 (2), pp. 430-433; El-Moslamy, S., Elkady, M., Rezk, A., Abdel-Fattah, Y., Applying Taguchi design and large-scale strategy for mycosynthesis of nano-silver from endophytic Trichoderma harzianum SYA.F4 and its application against phytopathogens (2017) Sci Rep, 7 (1), p. 45297; Naveen, H., Kumar, G., Karthik, L., Rao, B., Extracellular biosynthesis of silver nanoparticles using the filamentous fungus Penicillium sp (2010) Arch Appl Sci Res, 2 (6), pp. 161-167; Devi, L., Joshi, S., Ultrastructures of silver nanoparticles biosynthesized using endophytic fungi (2014) J Microsc Ultrastruct, 3 (1), pp. 29-37; Shahzad, A., Saeed, H., Iqtedar, M., Hussain, S., Kaleem, A., Abdullah, R., Sharif, S., Chaudhary, A., Size-controlled production of silver nanoparticles by Aspergillus fumigatus BTCB10: likely antibacterial and cytotoxic effects (2019) Hindawi J Nanomater, 2019, p. 5168698. , 14 pages; Moritz, M., Geszke-moritz, M., The newest achievements in synthesis, immobilization and practical applications of antibacterial nanoparticles (2013) Chem Eng J, 228, pp. 596-613; Ottoni, C., Simões, M., Fernandes, S., dos Santos, J., da Silva, E.S., de Souza, R., Screening of filamentous fungi for antimicrobial silver nanoparticles synthesis (2017) AMB Express, 7 (31), pp. 1-10; Ibrahim, H., Hassan, M., Characterization and antimicrobial properties of cotton fabric loaded with green synthesized silver nanoparticles (2016) Carbohydr Polym</t>
  </si>
  <si>
    <t>Lizarazo Forero, L.M.; Grupo de Investigación Biología Ambiental, Colombia; email: luz.lizarazo@uptc.edu.co</t>
  </si>
  <si>
    <t>2-s2.0-85129173686</t>
  </si>
  <si>
    <t>Alarcon-Aldana A., Callejas-Cuervo M., Bastos-Filho T., Martinez-Bautista L.E., Rubio-Barreto C., Quino-Avila A.C.</t>
  </si>
  <si>
    <t>56303950400;57189839504;6602380721;57657658300;57205615953;56520396700;</t>
  </si>
  <si>
    <t>MovGis: Web Platform for the Management of Medical Records in Physiotherapy [MovGis: Plataforma Web para la Gestión de Historias Clínicas en Fisioterapia]</t>
  </si>
  <si>
    <t>10.1109/GMEPE/PAHCE55115.2022.9757785</t>
  </si>
  <si>
    <t>https://www.scopus.com/inward/record.uri?eid=2-s2.0-85129149448&amp;doi=10.1109%2fGMEPE%2fPAHCE55115.2022.9757785&amp;partnerID=40&amp;md5=27f9a859fbd45fc7c4a31b1f71d66969</t>
  </si>
  <si>
    <t>Universidad Pedagógica y Tecnológica de Colombia, Doctorado en Ingeniería, Tunja, Colombia; Universidad Pedagógica y Tecnológica de Colombia, Facultad de Ingeniería, Tunja, Colombia; Engenharia Elétrica, Vitoria, Brazil; Universidad de Boyacá, Facultad de Ciencias de la Salud, Tunja, Colombia</t>
  </si>
  <si>
    <t>Alarcon-Aldana, A., Universidad Pedagógica y Tecnológica de Colombia, Doctorado en Ingeniería, Tunja, Colombia, Universidad Pedagógica y Tecnológica de Colombia, Facultad de Ingeniería, Tunja, Colombia; Callejas-Cuervo, M., Universidad Pedagógica y Tecnológica de Colombia, Facultad de Ingeniería, Tunja, Colombia; Bastos-Filho, T., Engenharia Elétrica, Vitoria, Brazil; Martinez-Bautista, L.E., Universidad Pedagógica y Tecnológica de Colombia, Facultad de Ingeniería, Tunja, Colombia; Rubio-Barreto, C., Universidad de Boyacá, Facultad de Ciencias de la Salud, Tunja, Colombia; Quino-Avila, A.C., Universidad de Boyacá, Facultad de Ciencias de la Salud, Tunja, Colombia</t>
  </si>
  <si>
    <t>The management of medical records in physiotherapy requires a specific treatment due to the particular nature of this discipline. Based on the criteria of the International Classification of Functioning, Disability and Health and the guide of the American Physiotherapy Association, a framework is identified for the management of clinical information of the patient in physiotherapy, and the design and implementation of a web platform is presented, which allows the management of electronic medical records. In addition to the information management by the therapists, the platform called MovGis allows the patient to execute the therapy through the interaction with active video games, and precise quantitative data associated with joint amplitude are simultaneously captured. The reports generated offer organized, structured, quantitative and timely information to support decision-making by professionals in charge of motor rehabilitation processes for patients. It is concluded that the platform is a tool that allows an adequate handling and management of the information of the physical rehabilitation process and that it offers quantitative data for timely decision making. © 2022 IEEE.</t>
  </si>
  <si>
    <t>APTA Guide; electronic medical record; physical rehabilitation; web platform</t>
  </si>
  <si>
    <t>Classification (of information); Decision making; Information management; Patient treatment; Physical therapy; APTA guide; Clinical information; Decisions makings; Design and implementations; Medical record; Motor rehabilitation; Physical rehabilitation; Quantitative data; Video-games; Web platform; Medical computing</t>
  </si>
  <si>
    <t>Mann, R., Williams, J., Standards in medical record keeping (2003) Clin. Med. (Northfield. II)., 3 (4), pp. 329-332; Carpenter, I., Ram, M.B., Croft, G.P., Williams, J.G., Medical records and record-keeping standards (2007) Clin. Med. J. R. Coll. Physicians London, 7 (4), pp. 328-331; Bailes, A.F., Gannotti, M., Fenchel, M., Using the electronic medical record to study the association of child and environmental characteristics on the type of physical therapy services delivered to individuals with cerebral palsy (2017) Physiother. Theory Pract., 33 (8), pp. 644-652; Gumery, L., Do physiotherapy records meet professional standards? A commitment to good practice and improved patient care through audit within the Birmingham Heartlands adult cystic fibrosis centre (2000) Physiotherapy, 86 (12), pp. 655-659; Hoda El-Talawy, A.A.M.S.M.S., El-Aziem, F.H.A.B.D., Quality Level ofClinical Record for Pediatric Physiotherapy in Teaching Hospital 'Audit Tool' (2019) Med. J. Cairo Univ., 87, pp. 1107-1115. , March; Olawale, O., Akodu, A., Tabeson, E., Analysis of physiotherapy documentation of patients' records and discharge plans in a tertiary hospital (2015) J. Clin. Sci., 12 (2), p. 85; Paim, T., Low-Choy, N., Dorsch, S., Kuys, S., An audit of physiotherapists' documentation on physical activity assessment, promotion and prescription to older adults attending out-patient rehabilitation (2020) Disabil. Rehabil., pp. 1-7; Buyl, R., Nyssen, M., Structured electronic physiotherapy records (2009) Int. J. Med. Inform., 78 (7), pp. 473-481; Xanthidis, D., Xanthidou, O.K., A proposed framework for developing an electronic medical record system (2021) J. Glob. Inf. Manag., 29 (4), pp. 78-92; Gasification Internacional del Funcionamiento (2001) World Heal. Organ., pp. 1-1189. , World Health Organization; (2014) Guide to Physical Therapist Practice, , American Physical Therapy Association; Sommerville, I., (2011) Ingenieria de Software, , 9th ed. Mexico DF; Alarcon-Aldana, A., Callejas-Cuervo, M., Padilha Lanari Bo, A., Platform architecture for musculoskeletal rehabilitation based on serious videogames (2019) 7th E-Health and Bioengineering Conference, EHB 2019, pp. 1-4; Callejas-Cuervo, M., Alvarez, J.C., Alvarez, D., Capture and analysis of biomechanical signals with inertial and magnetic sensors as support in physical rehabilitation processes (2016) BSN 2016-13th Annu. Body Sens. Networks Conf., pp. 119-123</t>
  </si>
  <si>
    <t>Alarcon-Aldana, A.; Universidad Pedagógica y Tecnológica de Colombia, Colombia; email: andrea.alarconaldana@uptc.edu.co</t>
  </si>
  <si>
    <t>2-s2.0-85129149448</t>
  </si>
  <si>
    <t>Vargas-Rodríguez L.J., Barrera-Jerez J.F., Ávila-ávila K.A., Rodríguez-Monguí D.A., Muñoz-Espinosa B.R.</t>
  </si>
  <si>
    <t>57197830878;57656775700;57658366400;57657420500;57657420600;</t>
  </si>
  <si>
    <t>Severity Markers of Acute Appendicitis: Diagnostic Test Study [Marcadores de severidad de la apendicitis aguda: estudio de prueba diagnóstica]</t>
  </si>
  <si>
    <t>Revista Colombiana de Gastroenterologia</t>
  </si>
  <si>
    <t>10.22516/25007440.538</t>
  </si>
  <si>
    <t>https://www.scopus.com/inward/record.uri?eid=2-s2.0-85129123881&amp;doi=10.22516%2f25007440.538&amp;partnerID=40&amp;md5=199e15f3736c309cebe2bcd1225d4c38</t>
  </si>
  <si>
    <t>Universidad de Boyacá, Tunja, Colombia; Programa de Medicina, Universidad Pedagógica y Tecnológica de Colombia (UPTC), Tunja, Colombia; Hospital Regional de la Orinoquía, Yopal, Colombia; Programa de Medicina, Universidad de Boyacá, Tunja, Colombia</t>
  </si>
  <si>
    <t>Vargas-Rodríguez, L.J., Universidad de Boyacá, Tunja, Colombia; Barrera-Jerez, J.F., Programa de Medicina, Universidad Pedagógica y Tecnológica de Colombia (UPTC), Tunja, Colombia, Hospital Regional de la Orinoquía, Yopal, Colombia; Ávila-ávila, K.A., Programa de Medicina, Universidad Pedagógica y Tecnológica de Colombia (UPTC), Tunja, Colombia, Hospital Regional de la Orinoquía, Yopal, Colombia; Rodríguez-Monguí, D.A., Programa de Medicina, Universidad de Boyacá, Tunja, Colombia; Muñoz-Espinosa, B.R., Programa de Medicina, Universidad de Boyacá, Tunja, Colombia</t>
  </si>
  <si>
    <t>Introduction: Acute appendicitis (AA) is one of the most frequent abdominal surgical pathologies globally, with appendectomy being the most performed emergency surgery. Aim: To determine potential markers of AA severity for diagnostic purposes and timely management, thus avoiding possible complications. Materials and methods: This research relies on a randomized sample of 239 patients diagnosed with AA at the Orinoquía Regional Hospital, Colombia. We analyzed blood count, C-reactive protein (CRP), and neutrophil/lymphocyte atio (NLR) records and established their relationship with the AA surgical findings described by Guzmán-Valdivia. Results: In the emergency department, these reactants can provide an approximate diagnosis as markers of the AA severity, with CRP &gt; 15 mg/dL (diagnostic accuracy of 76.15 %) and NLR &gt; 85 % (diagnostic accuracy of 61.09 %) having the best initial operating performance. Regarding complications such as intestinal perforation, we found a statistical relationship; CRP &gt; 15 mg/dL and NLR &gt; 85 % were the markers with he highest predictive performance, with OR 14.46 and OR 2. 17, respectively, regarding Guzmán-Valdivia’s findings. Conclusions: CRP and NLR &gt; 85 % are the acute phase reactants with the best diagnostic charac-eristics to predict potential AA complications. © 2022 Asociación Colombiana de Gastroenterología.</t>
  </si>
  <si>
    <t>Appendicitis; biomarkers; perforation; severity</t>
  </si>
  <si>
    <t>biological marker; C reactive protein; acute appendicitis; Article; blood cell count; diagnostic accuracy; diagnostic test accuracy study; disease marker; disease severity; human; intestine perforation; neutrophil lymphocyte ratio</t>
  </si>
  <si>
    <t>C reactive protein, 9007-41-4</t>
  </si>
  <si>
    <t>Bahena-Aponte, JA, Chávez-Tapia, NC, Méndez-Sánchez, N., Estado actual de la apendicitis (2003) Med Sur, 10 (3), pp. 122-128; Huacuja-Blanco, RR, Ruiz-Campos, M, Lemus-Ramírez, RI, Villegas-Tovar, E, González-Chávez, MA, Díaz-Girón, A, Factores predictores para apéndice blanca y apen- dicitis aguda en pacientes sometidos a apendicectomía. Experiencia de dos años en una institución privada (2015) Med Sur, 22 (1), pp. 11-18; Benito, J, Fernandez, S, Gendive, M, Santiago, P, Perez-Garay, R, Arana-Arri, E, A new clinical score to identify children at low risk for appendicitis (2020) Am J Emerg Med, 38 (3), pp. 554-561. , https://doi.org/10.1016/j.ajem.2019.05.050; Beltrán, MA, Almonacid, FJ, Vicencio, A, Gutiérrez, J, Danilova, T, Cruces, KS., Rol del recuento de leucocitos y de la pro-teína C reactiva en niños con apendicitis (2007) Rev Chil Cir, 59 (1), pp. 38-45. , https://doi.org/10.4067/S0718-40262007000100008; Cuervo, JL., Apendicitis aguda (2014) Rev Hosp Niños, 56 (252), pp. 15-31; Alarcón Thompson, N., Asociación entre Escala de Alvarado y diagnóstico de apendicitis aguda complicada y no compli-cada según anatomía patológica en el Centro Médico Naval (2012) Rev Horiz Med (Barcelona), 12 (2), pp. 14-20; Rebollar, RC, Álvarez, JG, Téllez, RT., Apendicitis aguda: revi-sión de la literatura (2009) Rev Hosp Jua Mex, 76 (4), pp. 210-216; Fallas, J., Apendicitis aguda (2012) Med Leg Costa Rica, 29 (1), pp. 83-90; Ávila, MJ, García-Acero, M., Apendicitis aguda: revisión de la presentación histopatológica en Boyacá, Colombia (2015) Rev Colomb Cir, 30, pp. 125-130; Hernández-Cortez, J, De León-Rendón, JL, Martínez-Luna, MS, Guzmán-Ortiz, JD, Palomeque-López, A, Cruz-López, N, Apendicitis aguda: revisión de la literatura (2019) Cir Gen, 41 (1), pp. 33-38; Rodríguez-Fernández, Z., Consideraciones vigentes en torno al diagnóstico de la apendicitis aguda (2018) Rev Cuba Cir, 57 (4), pp. 55-71; Rodríguez-Fernández, Z., Consideraciones actuales sobre el diagnóstico de la apendicitis aguda (2009) Rev Cuba Cir, 48 (3), pp. 1-9; Calvo Hernández, LD., Apendicitis aguda en el servicio de urgencias (2012) Rev Med Cos Cen, 69 (602), pp. 281-285; Udaquiola, J, Arriaga, V, Oesterreich, R, Cañada, M, Giambini, D., Apendicitis aguda (2014) Rev Pediátr Elizalde, 5 (1), pp. 44-46; Sanabria, Á, Domínguez, LC, Vega, V, Osorio, C, Serna, A, Bermúdez, C., Tiempo de evolución de la apendicitis y riesgo de perforación (2013) Rev Colomb Cir, 28, pp. 24-30; Massaferro Fernández, G, Costa Marsicano, JM., Apendicitis aguda y sus complicaciones (2018) Clin Quir Fac Med UdelaR, pp. 1-7; Souza-Gallardo, LM, Martínez-Ordaz, JL., Apendicitis aguda. Manejo quirúrgico y no quirúrgico (2017) Rev Med Inst Mex Seguro Soc, 55 (1), pp. 76-81; Sánchez-Echániz, J, García, L, Vázquez-Ronco, MA, Mintegui-Raso, S, Benito-Fernández, J, López-Álvarez, P., Valor diagnós-tico de la proteína C reactiva en las sospechas de apendicitis aguda en la infancia (1998) An Esp Pediatr, 48 (5), pp. 470-474; Calvo-Rigual, F, Sendra-Esteve, S, Mialaret-Lahiguera, A, Montagud-Beltrán, E, Llanes-Domingo, S, Medrano-González, J., Valor de la proteína C-reactiva en el diagnóstico de la apen-dicitis aguda en el niño (1998) An Esp Pediatr, 48 (4), pp. 376-380; Prada-Arias, M, Salgado-Barreira, A, Montero-Sánchez, M, Fernández-Eire, P, García-Saavedra, S, Gómez-Veiras, J, Apendicitis versus dolor abdominal agudo inespecífico: evaluación del Pediatric Appendicitis Score (2018) An Pediatr, 88 (1), pp. 32-38. , https://doi.org/10.1016/j.anpedi.2017.01.006; Neira-Sánchez, ER, Málaga, G., Sepsis-3 y las nuevas defi-niciones, ¿es tiempo de abandonar SIRS? (2016) Acta Med Perú, 33 (3), pp. 217-2. , https://doi.org/10.35663/amp.2016.333.115; Alvarado, A., A practical score for the early diagnosis of acute appendicitis (1986) Ann Emerg Med, 15 (5), pp. 557-564. , https://doi.org/10.1016/s0196-0644(86)80993-3; Calvo-Rodríguez, R, Gallardo-Valverde, JM, Montero-Pérez, FJ, Baena-Delgado, E, Jiménez-Murillo, L., Utilidad de los biomarcadores en el manejo del dolor abdominal (2016) Rev Cient Soc Esp Med Urg Emerg, 28 (3), pp. 185-192; Cánovas, VN, Vera, FM, Candia, CR, Astroza, EG, Baksai, EK, Messenger, CK., Proteína C reactiva como predictor de com-plicaciones postoperatorias en apendicitis aguda (2003) Rev Chil Cir, 55 (6), pp. 628-630; Escalona, PA, Bellolio, RF, Dagnino, UB, Pérez, BG, Viviani, GP, Lazo, PD, Utilidad de la proteína C reactiva y recuento de leucocitos en sospecha de apendicitis aguda (2006) Rev Chil Cir, 58 (2), pp. 122-126. , https://doi.org/10.4067/S0718-40262006000200008; de Jonge, J, Bolmers, MDM, Musters, GD, van Rossem, CC, Bemelman, WA, van Geloven, AAW., Predictors for interval appendectomy in non-operatively treated complicated appendicitis (2019) Int J Colorectal Dis, 34 (7), pp. 1325-1332. , https://doi.org/10.1007/s00384-019-03303-4; Padierna-Luna, JL, Ruiz-Valenzuela, KL, Morales-Arellano, AC., Proteína C reactiva en el diagnóstico de apendicitis aguda (2005) Rev Mex Patol Clin Med Lab, 52 (3), pp. 163-167; Aguirre, GA, Falla, A, Sánchez, W., Correlación de los marca-dores inflamatorios (proteína C reactiva, neutrofilia y leu-cocitosis) en las diferentes fases de la apendicitis aguda (2014) Rev Colomb Cir, 29 (2), pp. 110-115; Acharya, A, Markar, SR, Ni, M, Hanna, GB., Biomarkers of acute appendicitis: Systematic review and cost-benefit trade-off analysis (2017) Surg Endosc, 31 (3), pp. 1022-1031. , https://doi.org/10.1007/s00464-016-5109-1; Guzmán-Valdivia Gómez, G., Una clasificación útil en apendi-citis aguda (2003) Rev Gastroenterol Mex, 68 (4), pp. 261-265; Martínez-Luna, MS, Guzmán-Ortiz, JD, Ruschke-Sadot, G., Uso de proteína C reactiva (PCR) como predictor de com-plicaciones en apendicitis aguda (2015) Rev Mex Cirug Apar Diges, 4 (3), pp. 100-103; Ishizuka, M, Shimizu, T, Kubota, K., Neutrophil-to-lymphocyte ratio has a close association with gangrenous appendicitis in patients undergoing appendectomy (2012) Int Surg, 97 (4), pp. 299-304. , https://doi.org/10.9738/CC161.1; Prasetya, D, Rochadi, Gunadi, Accuracy of neutrophil lym-phocyte ratio for diagnosis of acute appendicitis in children: A diagnostic study (2019) Ann Med Surg (Lond), 48, pp. 35-38. , https://doi.org/10.1016/j.amsu.2019.10.013</t>
  </si>
  <si>
    <t>Vargas-Rodríguez, L.J.; Universidad de BoyacáColombia; email: lejovaro@gmail.com</t>
  </si>
  <si>
    <t>Asociacion Colombiana de Gastroenterologia</t>
  </si>
  <si>
    <t>Rev. Colomb. Gastroenterol.</t>
  </si>
  <si>
    <t>2-s2.0-85129123881</t>
  </si>
  <si>
    <t>A State of the Art About Instrumentation and Control Systems from Body Motion for Electric-Powered Wheelchairs</t>
  </si>
  <si>
    <t>IFMBE Proceedings</t>
  </si>
  <si>
    <t>10.1007/978-3-030-70601-2_219</t>
  </si>
  <si>
    <t>https://www.scopus.com/inward/record.uri?eid=2-s2.0-85128959745&amp;doi=10.1007%2f978-3-030-70601-2_219&amp;partnerID=40&amp;md5=b25b93cb8e727d83e9815ad3d91a77a6</t>
  </si>
  <si>
    <t>Software Research Group, Universidad Pedagógica y Tecnológica de Colombia, Calle 24 # 6-138, Tunja, Colombia; Universidade Federal do Espírito Santo, Vitoria, Brazil</t>
  </si>
  <si>
    <t>González-Cely, A.X., Software Research Group, Universidad Pedagógica y Tecnológica de Colombia, Calle 24 # 6-138, Tunja, Colombia; Callejas-Cuervo, M., Software Research Group, Universidad Pedagógica y Tecnológica de Colombia, Calle 24 # 6-138, Tunja, Colombia; Bastos-Filho, T., Universidade Federal do Espírito Santo, Vitoria, Brazil</t>
  </si>
  <si>
    <t>Instrumentation and control for automatic wheelchairs have diversified with technological developments that include non-invasive built-in sensors to capture body signals. The use of micro-electromechanical sensors (MEMS), tilt sensors, electroencephalographic signals (EEG), electromyographic signals (EMG) and cameras to detect movements of the head and hands have been included in the instrumentation of controllers to operate wheelchairs with the aim of improving the mobility of people with disabilities in lower or upper limbs, or in both regions. The goal of this work is to conduct a detailed review of articles about instrumentation and controllers based on body motion capture for automatic wheelchairs. The articles found develop different types of instrumentation for the safety of the user. Due to the inclusion and exclusion criteria, 30 articles that were published between 2003 and 2019 were analyzed. The controllers that implement head motion capture as well as their electronic instrumentation were given special attention in order to realize future developments. The designs that appeared in some articles demonstrated limitations due to specific user or location requirements, as well as offering solutions to these constraints. In conclusion, the controllers that receive information about body motion are useful for people with the aforementioned disabilities, resulting in greater independence and dexterity in the mobility of the wheelchair. © 2022, Springer Nature Switzerland AG.</t>
  </si>
  <si>
    <t>Control; Electric-powered wheelchair; Hand movement; Head movement; Instrumentation</t>
  </si>
  <si>
    <t>Electroencephalography; Wheelchairs; Body motions; Electric powered wheelchairs; Hands movement; Head movements; Instrumentation; Instrumentation and control; Instrumentation and control system; Motion capture; State of the art; Technological development; Controllers</t>
  </si>
  <si>
    <t>To the Software Research Group (GIS) of the School of Computer Science, Department of Engineering, Universidad Pedag?gica y Tecnol?gica de Colombia (UPTC).</t>
  </si>
  <si>
    <t>Ganz, F., Hammam, N., Pritchard, L., Sedentary behavior and children with physical disabilities: A scoping review (2020) Disabil Rehabil, pp. 1-13. , https://doi.org/10.1080/09638288.2020.1723720; Sol, M., Verschuren, O., de Groot, L., Development of a wheelchair mobility skills test for children and adolescents: Combining evidence with clinical expertise (2017) BMC Pediatr, 17 (1). , https://doi.org/10.1186/s12887-017-0809-9; Wai, E., Owen, J., Fehlings, D., Assessing physical disability in children with spina bifida and scoliosis (2000) J Pediatr Orthop, 20, pp. 765-770; Busby, A., Armstrong, B., Dolk, H., Preventing neural tube defects in Europe: A missed opportunity (2005) Reprod Toxicol, 20, pp. 393-402; WHO at https://apps.who.int/iris/bitstream/handle/10665/42407/9241545429.pdf;jsessionid= 7E462920F28D36DF0F8CE141DD849D65?sequence=1?; WHO at https://apps.who.int/iris/bitstream/handle/10665/205041/B4616.pdf?sequence=1&amp;isAllowed=y; WHO at https://www.who.int/publications/i/item/guidelines-on-the-provision-of-manual-wheelchairs-in-less-resourced-settings; Chen, Y., Chen, S., Chen, W., A head orientated wheelchair for people with disabilities (2003) Disabil Rehabil, 25, pp. 249-253; Dobrea, M., Dobrea, D., Severin, I., (2019) A New Wearable System for Head Gesture Recognition Designed to Control an Intelligent Wheelchair. E-Health Bioeng, pp. 7-11. , https://doi.org/10.1109/EHB47216.2019.8969993; Kaur, S., Ch, V., Automation of wheelchair using MEMS accelerometer (Adxl330) (2013) Adv Electon Electr Eng, 3, pp. 227-232; Kader, M., Md, A., Jahan, N., (2019) Design and Implementation of a Head Motion-Controlled Semi-Autonomous Wheelchair for Quadriplegic Patients Based on 3-Axis Accelerometer. In: ICCIT Proceedings, International Conference on Computer and Information Technology, pp. 18-20. , Dhaka, Bangladesh, pp; King, L., Nguyen, H., Taylor, P., Hands-free head-movement gesture recognition using artificial neural networks and the magnified gradient function (2005) IEEE EMBS Proceedings, Annual International Conference on Engineering in Medicine and Biology Society, Shangai, China, pp. 2063-2066. , pp; Jia, P., Yuan, H., Head gesture recognition for hands-free control of an intelligent wheelchair (2012) Indust Robot, 34, pp. 60-68. , https://doi.org/10.1108/01439910710718469; Chen, S., Chen, Y., Chioul, Y., Head-controlled device with M3S-based for people with disabilities (2003) IEEE EMBS Proceedings, Annual International Conference of the IEEE Engineering in Medicine and Biology Society, Cancun, México, 4, pp. 1587-1589. , vol, pp; Nguyen, H., King, L., Knight, G., Real-time head movement system and embedded linux implementation for the control of power wheelchairs (2004) IEEE EMBS Proceedings, Conference on IEEE Engineering in Medicine and Biology Society, San Francisco, USA, 2, pp. 4892-4895. , vol, pp; Yoda, I., Tanaka, J., Raytchev, B., Stereo camera based non-contact non-constraining head gesture interface for electric wheelchairs (2006) ICPR Proceedings, Pattern Recognition International Conference, Hong Kong, China, 4, pp. 740-745. , vol, pp; Pajkanović, A., Branko, D., Wheelchair control by head motion (2013) Serb J Electr Eng, 10, pp. 135-151. , https://doi.org/10.2298/SJEE1301135P; Prasad, S., Sakpal, D., Rawool, S., Head-motion controlled wheelchair (2017) RTEICT 2017—2nd IEEE IRTEICT, Proceedings of the International Conference on Recent Trends in Electronics, Information and Communication Technology, Bangalore, India, 2013, pp. 1636-1640. , pp; Solea, R., Margarit, A., Cernega, D., Head movement control of powered wheelchair (2019) ICSTCC, Proceedings of the International Conference on System Theory Control and Computing, Sinaia, Romania, pp. 632-637. , pp; Dey, P., Hasan, M., Mostofa, S., Smart wheelchair integrating head gesture navigation (2019) ICREST, Proceedings of the International Conference on Robotics, Electrical and Signal Processing Techniques, Dhaka, Bangladesh, pp. 329-334. , pp; Nasif, S., Khan, M., Wireless head gesture controlled wheel chair for disable persons (2018) R10-THC, Proceedings of IEEE Region 10 Humanitarian Technology Conference, Dhaka, Bangladesh, 2017, pp. 156-161. , pp; Marins, G., Carvalho, D., Marcato, A., Development of a control system for electric wheelchairs based on head movements (2017) Intellisys, Proceedings of the Intelligent System Conference (Intellisys), London, UK, pp. 996-1001. , pp; Ruzaij, M., Neubert, S., Stoll, N., Multi-sensor robotic-wheelchair controller for handicap and quadriplegia patients using embedded technologies (2016) HIS Proceedings, International Conference on Human System Interactions, Portsmouth, UK, pp. 103-109. , pp; Bastos-Filho, T., Cheein, F., Torres, S., Towards a new modality-independent interface for a robotic wheelchair (2014) IEEE Trans Neural Syst Rehabil Eng, 22, pp. 567-584; Manogna, S., Vaishnavi, S., Geethanjali B (2010) Head movement based assist system for physically challenged ICBBE Proceedings, International Conference Bioinformatics and Biomedical Engineering, pp. 6-9. , Chengdu, China, pp; Garcia, C., Christensen, H., Infrared non-contact head sensor, for control of wheelchair movements (2014) Proceedings of the European Conference for the Advancement of Assistive Technology, pp. 336-340. , Alcalá, Spain, pp; Hu, Z., Li, L., Luo, Y., A novel intelligent wheelchair control approach based on head gesture recognition (2010) ICCASM Proceedings, International Conference on Computer Application and System Modelling, Taiyuan, China, 6, pp. 159-163. , vol, pp; Taylor, P., Nguyen, H., Performance of a head-movement interface for wheelchair control (2003) IEEE EMBS Proceedings, Annual International Conference of the IEEE Engineering in Medicine and Biology Society, Cancun, Mexico, pp. 1590-1593. , pp; Ruzaij, M., Neubert, S., Stoll, N., (2017) Complementary Functions for Intelligent Wheelchair Head Tilts Controller. In: SISY IEEE Proceedings, International Symposium on Intelligent Systems and Informatics, pp. 117-122. , Subotica, Serbia, pp; Manta, L., Cojocaru, D., Vladu, I., Wheelchair control by head motion using a noncontact method in relation to the pacient (2019) ICCC Proceedings, International Carpathian Control Conference, Krakow-Wieliczka, Poland, pp. 1-6. , pp; Gomes, D., Fernandes, F., Castro, E., Head-movement interface for wheelchair driving based on inertial sensors (2019) ENBENG Proceedings, Portuguese Meeting on Bioengineering, Lisboa, Portugal, pp. 1-4. , pp; Pande, V., Ubale, N., Darshana, P., Hand gesture based wheelchair movement control for disabled (2014) Int J Eng Res Appl, 4, pp. 152-158; Anjaneyulu, D., Kumar, M.B., Hand movements based control of an intelligent wheelchair using accelerometer, obstacle avoidance using ultrasonic and IR sensors (2015) Int J Eng Res Dev, 11, pp. 1-9; Kumar, V., Ramesh, G., Nagesh, P., MEMS based hand gesture wheel chair movement control for disable persons (2015) Int J Curr Eng Tech, 5, pp. 3-6; Lu, T., A motion control method of intelligent wheelchair based on hand gesture recognition (2013) ICIEA IEEE Proceedings, Conference on Industrial Electronics and Applications, Melbourne, Australia, pp. 957-962. , pp; Ramessur Sh, O.V., Hand gesture controller for robotic-wheelchair using microelectromechanical sensor ADXL 345 (2019) Smart Sustain Eng Next Gener Appl, 561, pp. 3-5; Ijjina, E., Mohan, C., Human action recognition based on mocap information using convolution neural networks (2014) ICMLA Proceedings, International Conference on Machine Learning and Applications, Detroit, USA, pp. 159-164. , pp</t>
  </si>
  <si>
    <t>González-Cely, A.X.; Software Research Group, Calle 24 # 6-138, Colombia; email: aura.gonzalez@uptc.edu.co</t>
  </si>
  <si>
    <t>Bastos-Filho T.F.de Oliveira Caldeira E.M.Frizera-Neto A.</t>
  </si>
  <si>
    <t>27th Brazilian Congress on Biomedical Engineering, CBEB 2020</t>
  </si>
  <si>
    <t>26 October 2020 through 30 October 2020</t>
  </si>
  <si>
    <t>IFMBE Proc.</t>
  </si>
  <si>
    <t>2-s2.0-85128959745</t>
  </si>
  <si>
    <t>Herrera C.D.</t>
  </si>
  <si>
    <t>57200793587;</t>
  </si>
  <si>
    <t>BIBLIOMETRIC ANALYSIS AND SEMANTIC OF CINTA DE MOEBIO: TWO DECADES OF SOCIAL SCIENCE EPISTEMOLOGY [ANÁLISIS BIBLIOMÉTRICO Y SEMÁNTICO DE CINTA DE MOEBIO: DOS DÉCADAS DE EPISTEMOLOGÍA EN CIENCIAS SOCIALES]</t>
  </si>
  <si>
    <t>Bibliotecas, Anales de Investigacion</t>
  </si>
  <si>
    <t>https://www.scopus.com/inward/record.uri?eid=2-s2.0-85128816605&amp;partnerID=40&amp;md5=4dd1af1cd9aa59f438d323ec9ba0dba9</t>
  </si>
  <si>
    <t>Universidad Católica del Maule, Chile</t>
  </si>
  <si>
    <t>Herrera, C.D., Universidad Católica del Maule, Chile</t>
  </si>
  <si>
    <t>Objective. The objective of this article is to analyze, through bibliometric indicators, structural and semantic aspects of Cinta de Moebio, one of the best positioned Chilean social scientific journals. Design/Methodology/Approach. With a longitudinal and descriptive design, bibliometric indicators were analyzed complemented with a validated semantic analysis of 489 publications between 1997 and 2019. Results/Discusion. The journal has a structural configuration written in Spanish; internationalized mainly under a Chilean-Argentine alliance; written by men through essays and their corresponding use of documentary sources. Semantically, the journal focuses on the critical review of conceptual categories of the social sciences, systematically reviewing epistemological, theoretical and methodological aspects. Conclusions. In terms of bibliometric indicators, the journal structurally complies as other means of scientific dissemination of miscellaneous social sciences and their historicity in the way of writing the construction of knowledge. Semantically, the journal responds to the call to constantly review concepts of the area of study, facing the historical disciplinary concern of validating itself as a science from the discussion and in-depth review of these conceptual categories. Originality/Value The originality lies in its applied qualitative methodological strategic complement, which advances with an interpretative proposal in the semantic construction in a type of study that is historically quantitative of documentary sources. The value of the study is its potential interpretative construction of the conceptualization of the social sciences, contributing to elucidate an ethos of the area of study and understanding its complexity that transits from the multidisciplinary to the interdisciplinary. © 2022 by the authors.</t>
  </si>
  <si>
    <t>bibliometric; Cinta de Moebio, journal cientific; semantic; Social science</t>
  </si>
  <si>
    <t>Ariza, T., Quevedo-Blasco, R., Análisis bibliométrico de la Revista de Investigación Educativa (2000-2012) (2012) Revista de Investigación Educativa, 31 (1), pp. 31-52. , https://doi.org; Campos, L., Feres, J., Guarnieri, F., 50 Anos da Revista DADOS: Uma Análise Bibliométrica do seu Perfil Disciplinar e Temático (2017) Revista de Ciências Sociais, 60 (3), pp. 623-661. , http://dx.doi.org/10.1590/001152582017131; de Moebio, Cinta, (2019) INICIO/Sobre la revista, , https://cintademoebio.uchile.cl/index.php/CDM/about, Recuperado el 21 de junio de 2021. de Temáticas y objetivos; Díaz Herrera, C., Investigación cualitativa y análisis de contenido temático. Orientación intelectual de revista Universum (2018) Revista General de Información y Documentación, 28 (1), pp. 119-142. , https://doi.org/10.5209/RGID.60813; Díaz Herrera, C., Propuesta metodológica para un análisis semántico de un medio de comunicación simbólicamente generalizado (2020) Revista General de Información y Documentación, 30 (2), pp. 423-444. , https://doi.org/10.5209/rgid.72813; Díaz Herrera, C., Uribe-Bahamonde, Y., Revista Izquierdas: análisis bibliométrico de una revista ideológica y epistemológicamente consecuente (2020) Amoxtli, (4), pp. 1-21. , http://doi.org/10.5281/zenodo.3902870; Frausto, O., La sociología de la ciencia y la reflexividad científica (2015) Acta sociológica, (67), pp. 193-220. , http://dx.doi.org/10.1016/j.acso.2015.03.002; Galindo, A., Arbinaga, F., Análisis bibliométrico de la Revista Iberoamericana de Psicología del Ejercicio y el Deporte (2006-2017) (2018) Revista iberoamericana de psicología del ejercicio y el deporte, 13 (1), pp. 33-40. , https://www.redalyc.org/articulo.oa?id=3111/311153534003, Recuperado de; García, J., Análisis bibliométrico sobre la creación de empresas de base tecnológica de origen universitario (2014) Management Review, 2 (3). , https://dialnet.unirioja.es/descarga/articulo/6137142.pdf, Recuperado; Garretón, M. A., Las ciencias sociales en la trama de Chile y América Latina (2014) Estudio sobre transformaciones sociopolíticas y movimiento social, , Santiago: LOM; Gómez, N., Acuña, O., Bautista, A., Historia Y MEMORIA casi 10 años consolidando comunidad historiográfica. Una mirada desde la Bibliometría (2020) Historia y Memoria, (20), pp. 209-247. , https://doi.org; Hernández-Sampieri, R., Mendoza, C., (2018) Metodología de la investigación. Las rutas cuantitativa, cualitativa y mixta, , México D.F: Mc Graw Hill; Jiménez-Albornoz, J., Teoría de la interacción como socialidad: hacia un análisis social naturalista, universal e interaccional (2017) Cinta de Moebio, (59), pp. 157-171. , http://dx.doi.org/10.4067/S0717-554X2017000200157; Merton, R., (1985) La sociología de la ciencia I, , Madrid: Alianza universidad; Moya, L., Olvera, M., La Revista Mexicana de Sociología, sus conmemoraciones y la experiencia del tiempo (2019) Revista Mexicana de Sociología, 81 (4), pp. 881-912. , http://mexicanadesociologia.unam.mx/docs/vol81/num4/v81n4a7.pdf, Recuperado de; Oliveira, A., Lima, C., Morais, K., Bibliometria e metassíntese de estudos sobre trabalho puplicados na revista Psicologia &amp; Sociedade (2016) Psicologia &amp; Sociedade, 28 (3), pp. 572-581. , http://dx.doi.org/10.1590/1807-03102016v28n3p572; Olvera, M., La etapa inicial de la Revista Mexicana de Ciencias Políticas y Sociales a 60 años de distancia prácticas conmemorativas, legados olvidos y nuevos pasados/presentes (2016) Revista Mexicana de Ciencias Políticas y Sociales, 61 (226), pp. 427-456. , http://dx.doi.org/10.1016/S0185-1918(16)30017-4; Osorio, F., Editorial (1999) Cinta de Moebio, (5), p. 1. , https://cintademoebio.uchile.cl/index.php/CDM/article/view/26436/27729, Recuperado de; Osorio, F., (2019) Historia de Cinta de Moebio en el marco de un proceso de modernización en el sistema ciencia social, , (C. Díaz Herrera, Entrevistador); Osorio, F., Editorial (2000) Cinta de Moebio, (9), p. 254. , https://cintademoebio.uchile.cl/index.php/CDM/article/view/26369/27668, Recuperado de; Osorio, F., Editorial (2000) Cinta de Moebio, (7), p. 1. , https://cintademoebio.uchile.cl/index.php/CDM/article/view/26389/27688, Recuperado de; Pacheco-Méndez, T., La investigación social como actividad institucionalizada y como experiencia socio-histórica (2017) Cinta de Moebio, (58), pp. 47-60. , http://dx.doi.org/10.4067/S0717-554X2017000100047; Parada, A., Endogamia y Bibliotecología/Ciencia de la Información (2017) Información, cultura y sociedad, (36), pp. 5-10. , https://www.redalyc.org/jatsRepo/2630/263051103001/html/index.html, Recuperado de; Pérez, C., (1998) Sobre un concepto histórico de ciencia, , Santiago: LOM; Ritzer, G., (2001) Teoría sociológica clásica, , Madrid: Mc Graw Hill; Reutzel, R., Mohr, K., 50 Years of Reading Research Quarterly (1965–2014): Looking Back, Moving Forward (2015) Reading Research Quarterly, 50 (1), pp. 13-35. , https://doi.org/10.1002/rrq.87; Rodríguez, A., Tensiones teóricas en torno al estudio de la ciencia. De la sociología de la ciencia al concepto de campo científico (2016) Andamios, 13 (31), pp. 13-36. , http://www.scielo.org.mx/pdf/anda/v13n31/1870-0063-anda-13-31-00013.pdf, Recuperado de; Rodríguez-Miranda, F. d., Bolaños, L., Dieciséis años de RELATEC. Estudio bibliométrico de la Revista Latinoamericana de Tecnología Educativa (2018) Revista Latinoamericana de Tecnología Educativa, 17 (2), pp. 57-71. , https://doi.org/10.17398/1695-288X.17.2.57; Sáez-Ibáñez, Á., Zúñiga, C., Lira, D., San Martín, A., Principales indicadores bibliométricos de la Revista de Psicología (1990-2016) (2018) Revista de psicología, 27 (2), pp. 1-15. , http://dx.doi.org; Salas, G., Ponce, F., Méndez, P., Vega, M., Pérez, M. d., López, W., Cárcamo, H., 25 Años de Psykhe: Un Análisis Bibliométrico (2017) Psykhe, 26 (1), pp. 1-17. , http://dx.doi.org/10.7764/psykhe.26.1.1205; Salas, G., Ravelo-Contreras, E.L., Mejía, S., Andrades, R., Acuña, E., Espinoza, F., Núñez, M., Pérez-Acosta, A.M., Dos décadas de Acta Colombiana de Psicología: un análisis bibliométrico (2018) Acta Colombiana de Psicología, 21 (2), pp. 13-25. , http://www.dx.doi.org/10.14718/ACP.2018.21.2.2; Sánchez, A., Carrillo, O., Garridom, P., Análisis bibliométrico de la Revista Mexicana de Sociología basado en indicadores de citación (2015) Revista Mexicana de Sociología, 77, pp. 45-70. , http://www.scielo.org.mx/scielo.php?script=sci_arttext&amp;pid=S0188-25032015000500005, Recuperado de; Schmitt, C., La contribución de RIED en 30 años de actividad científica (2019) Revista Iberoamericana de Educación a Distancia, 22 (1), pp. 09-25. , https://doi.org/10.5944/ried.22.1.22460; (2020) Cinta de Moebio, , https://scielo.conicyt.cl/scielo.php/script_sci_serial/pid_0717-554X/lng_es/nrm_iso, Obtenido el 2 de enero de 2020. Recuperado de; (2021) Cinta de Moebio, , https://www.scimagojr.com/journalsearch.php?q=21100821156&amp;tip=sid&amp;clean=0, Obtenido el 23 de mayo de 2021. Recuperado de; Tudela, J., Aznar, Justo, ¿Publicar o morir? El fraude en la investigación y las publicaciones científicas (2013) Persona y Bioética, 17 (1), pp. 12-27. , http://www.scielo.org.co/scielo.php?script=sci_arttext&amp;pid=S0123-31222013000100002, Recuperado de; Uribe-Bahamonde, Y., KEPES, desde Colombia al mundo. Una tarea pendiente: Una tarea pendiente: análisis bibliométrico y relacional (2020) Kepes, 17 (22), pp. 17-58; Uribe-Bahamonde, Y., Díaz Herrera, C., Universum after 32 years of its foundation: Bibliometric and relational analysis (2019) Universum, 34 (1), pp. 217-245. , http://dx.doi.org/10.4067/S0718-23762019000100217; Vázquez-Cano, E., Belando, M., Bernal, C., Estudio bibliométrico y de impacto de la Revista Complutense de Educación (2005-2015) (2017) Revista Complutense de Educación, 28 (4), pp. 1227-1250. , https://doi.org/10.5209/RCED.51672; Wallerstein, I., (2019) Abrir las ciencias sociales, , México D.F: Siglo XXI</t>
  </si>
  <si>
    <t>Herrera, C.D.; Universidad Católica del MauleChile; email: cdiaz@ucm.cl</t>
  </si>
  <si>
    <t>Biblioteca Nacional de Cuba Jose Marti</t>
  </si>
  <si>
    <t>0006176X</t>
  </si>
  <si>
    <t>Bibl, An. Investig.</t>
  </si>
  <si>
    <t>2-s2.0-85128816605</t>
  </si>
  <si>
    <t>Molina A., López S., Molina-Escobar J.M., Copete H., Soto D., Jaramillo L., Blandón A.</t>
  </si>
  <si>
    <t>7202086031;55662780600;57190220140;26649817100;36926341800;57613580200;23003213500;</t>
  </si>
  <si>
    <t>Towards the creation of a research and education structure for the prevention of accidents due to fires and explosions in Colombia [Hacia una estructura de investigación y educación para la prevención de accidentes por incendios y explosiones en Colombia]</t>
  </si>
  <si>
    <t>10.18257/raccefyn.1539</t>
  </si>
  <si>
    <t>https://www.scopus.com/inward/record.uri?eid=2-s2.0-85128788117&amp;doi=10.18257%2fraccefyn.1539&amp;partnerID=40&amp;md5=4305eaf48f90d6bceaabdc1e9fecccd6</t>
  </si>
  <si>
    <t>Departamento de Procesos y Energía, Bioprocesos y Flujos Reactivos, Facultad de Minas, Universidad Nacional de Colombia, Medellín, Colombia; Departamento de Geociencias y Medio Ambiente, Materia Orgánica Sedimentaria y Análisis de Imagen, Facultad de Minas, Universidad Nacional de Colombia, Medellín, Colombia; Soluciones Energéticas y de Automatización, Medellín, Colombia</t>
  </si>
  <si>
    <t>Molina, A., Departamento de Procesos y Energía, Bioprocesos y Flujos Reactivos, Facultad de Minas, Universidad Nacional de Colombia, Medellín, Colombia; López, S., Departamento de Procesos y Energía, Bioprocesos y Flujos Reactivos, Facultad de Minas, Universidad Nacional de Colombia, Medellín, Colombia; Molina-Escobar, J.M., Departamento de Geociencias y Medio Ambiente, Materia Orgánica Sedimentaria y Análisis de Imagen, Facultad de Minas, Universidad Nacional de Colombia, Medellín, Colombia; Copete, H., Soluciones Energéticas y de Automatización, Medellín, Colombia; Soto, D., Departamento de Procesos y Energía, Bioprocesos y Flujos Reactivos, Facultad de Minas, Universidad Nacional de Colombia, Medellín, Colombia; Jaramillo, L., Departamento de Geociencias y Medio Ambiente, Materia Orgánica Sedimentaria y Análisis de Imagen, Facultad de Minas, Universidad Nacional de Colombia, Medellín, Colombia; Blandón, A., Departamento de Geociencias y Medio Ambiente, Materia Orgánica Sedimentaria y Análisis de Imagen, Facultad de Minas, Universidad Nacional de Colombia, Medellín, Colombia</t>
  </si>
  <si>
    <t>We review here the current situation of research and education related to fires and explosions in Colombia from a science and engineering perspective. We present the fields that should be developed to create a research and education structure in support of the efforts to prevent accidents and explosions. Given the risk of fires and explosions, most countries have developed research and education centers focused on scientific analysis in this field. In Colombia, the development of such a structure is barely incipient. A review of different important areas in fires and explosions such as statistical analysis, physicochemical characterization of flammable substances, chemical kinetics, combustion, simulation, thermal radiation, pyrolysis, smouldering, soot and smoke formation, experimental characterization, risk assessment, education, and specific aspects of explosions showed that combustion and pyrolysis are widely applied for commercial purposes, but with no emphasis on fires and explosions. In the other areas, there is some evidence of research that should be further advanced. To strengthen the academic environment related to fires and explosions, we recommend the creation of graduate science and technology education programs to strengthen the experimental capacity for the characterization of flammable substances fostering research in basic sciences and develop computer and simulation skills. © 2022 Colombian Academy of Exact, Physical and Natural Sciences. All rights reserved.</t>
  </si>
  <si>
    <t>Colombia; Education; Explosions; Fires</t>
  </si>
  <si>
    <t>Abecassis-Empis, C., Reszka, P., Steinhaus, T., Cowlard, A., Biteau, H., Welch, S., Rein, G., Torero, J. L., Characterisation of Dalmarnock fire Test One (2008) Experimental Thermal and Fluid Science, 32 (7), pp. 1334-1343; Aguirre, J., Ordóñez, A., Ordóñez, H., Low-Cost Fire Alarm System Supported on the Internet of Things (2017) Advances in Computing, pp. 257-266; Aldana, M. C., del, R., Navarrete, N., Epidemiology of a decade of Pediatric fatal burns in Colombia, South America (2015) Burns: Journal of the International Society for Burn Injuries, 41 (7), pp. 1587-1592; Amaya-Gómez, R., Dumar, V., Sánchez-Silva, M., Romero, R., Arbeláez, C., Muñoz, F., Process safety part of the engineering education DNA (2019) Education for Chemical Engineers, 27, pp. 43-53; (2021), https://www.ansys.com/products/fluids/ansys-fluent, Ansys Fluent. ANSYS; Armenteras-Pascual, D., Retana-Alumbreros, J., Molowny-Horas, R., Román-Cuesta, R. M., González-Alonso, F., Morales-Rivas, M., Characterising fire spatial pattern interactions with climate and vegetation in Colombia (2011) Agricultural and Forest Meteorology, 151 (3), pp. 279-289; Bain, A. A., Calder, E. S., Cortés, J. A., Cortés, G. P., Loughlin, S. C., Textural and geochemical constraints on andesitic plug emplacement prior to the 2004–2010 vulcanian explosions at Galeras volcano, Colombia (2018) Bulletin of Volcanology, 81 (1), p. 1; (2018), https://www.bakerrisk.com/products/software-tools/safesite/, SafeSite3G BakerRisk; (2018) Computational Fluid Dynamics - BakerRisk, , https://www.bakerrisk.com/services/consequence-risk-analysis/computational-fluid-dynamics/, BakerRisk; Berlied, M., Fajardo, E., Mackenzie, A., Tuttle, C., (2010) Designing a fire-testing laboratory for the University of Costa Rica, , https://web.wpi.edu/Pubs/E-project/Available/E-project-121410-215156/unrestricted/Bomberos_2010IQP_Final_Report.pdf, Worcester Polytechnic Institute; Bustamante-Rúa, M. O., Daza-Aragón, A. J., Bustamante-Baena, P., A study of fire propagation in coal seam with numerical simulation of heat transfer and chemical reaction rate in mining field (2019) International Journal of Rock Mechanics and Mining Sciences, 29 (6), pp. 873-879; Bustamante-Rúa, M. O., Daza-Aragón, A. J., Bustamante-Baena, P., Osorio-Botero, J. D., Determinación de la influencia del sodio superficial en la susceptibilidad de los mantos de carbón a combustión espontánea en una mina a cielo abierto (2019) Investigación e Innovación en Ingenierías, 7 (1), pp. 60-71; Bustamante-Rúa, M. O., Daza-Aragón, A. J., Bustamante-Baena, P., Osorio-Botero, J. D., Statistical analysis to establish an ignition scenario based on extrinsic and intrinsic variables of coal seams that affect spontaneous combustion (2019) International Journal of Mining Science and Technology, 29 (5), pp. 731-737; Cadena, J. E., Muñoz, F. G., The Link between Fire Research and Process Safety: An Evolution from Specific Needs to General Concern (2013) Chemical Engineering Transactions, 31, pp. 679-684; Castro-Marín, W., Martínez-G, C. P., Spontaneous combustion in coal massif (1997) Dyna, 123, pp. 43-50; (2021) MFIRE 4.0 Enhances Fire Modeling Capabilities, , https://www.cdc.gov/niosh/mining/content/MFIRETechNews.html, CDC; (2021) COMSOL: Multiphysics Software for Optimizing Designs, , https://www.comsol.com/, COMSOL; (2021) Process hazard analysis software - Phast - DNV, , https://www.dnv.com/software/services/phast/index.html, DNV; Drysdale, D., (2011) An Introduction to Fire Dynamics, , Wiley. West Sussex, Reino Unido; Faraday, M., (1861) A Course of Six Lectures on the Chemical History of a Candle: To which is Added a Lecture on Platinum, , Harper &amp; Brothers. New York, EE.UU; Fuentes, R., Molina, J., Blandón, A., Explosive Parameters for Coal Samples (Antioquia, Colombia) (2018) Revista Ingenierías Universidad de Medellín, 17 (33), pp. 19-38; García-Torrent, J., Fernández-Añez, N., Medic-Pejic, L., Blandón-Montes, A., Molina-Escobar, J. M., Ignition and explosion parameters of Colombian coals (2016) Journal of Loss Prevention in the Process Industries, 43, pp. 706-713; Garzón-Serrano, A. Y., Sierra, C. A., Rodríguez-Bejarano, O., Sinuco, D., Volatile Organic Compounds, Spectral Characterization and Morphology of Ammonium Nitrate Fuel Oil (ANFO) Samples (2020) Journal of Forensic Sciences, 65 (4), pp. 1085-1093; Gavelli, F., The effect of barriers on reducing thermal heat fluxes from a hydrocarbon pool fire (2021) Journal of Loss Prevention in the Process Industries, 72, p. 104554; (2019) Flacs Software Modules, , https://www.gexcon.com/us/productsservices/FLACS-Software-Modules/25/en, GexCon Us; Gheorghe, G. C., Emergencias mineras mortales en Colombia (2005-2020): investigación con modelo jerárquico de causalidad de 100 eventos (2020) Maestría en Salud Ocupacional y Ambiental, , https://repository.urosario.edu.co/handle/10336/30813, Idrovo Velandia, Alvaro Javier Hernández Herrera, Gilma Norela (eds) Universidad del Rosario; Gheorghe, G. C., Manrique-Hernández, E. F., Idrovo, A. J., (2021) Injuries and fatalities in Colombian mining emergencies (2005 - 2018), , medRxiv. 2021.04.04.21254888; González-Toloza, N. E., Blandón-Rodríguez, A. M., Díaz-Gómez, A., del, P., Marcela-Huguett, C., Buitrago-Puentes, A., Forero-González, M. L., Prieto-Alvarado, F. E., Results of the intensified surveillance of injuries caused by pyrotechnic powder. Colombia, 1 December 2017-13 January 2018 (2018) Informe Quincenal-Epidemiológico Nacional, 23 (5), pp. 48-58; Gutiérrez, G. A., Cotes, D. A., Bastidas, M. J., Estudio de la Combustión Espontánea del Carbón durante el Acopio en la Mina El Hatillo, ubicada en Cesar, Colombia (2018) Información Tecnológica, 29 (6), pp. 287-294; Llamas, I., Wolfschoon, A., Rodríguez-Reyes, R. E., Incendio de un tubo endotraqueal durante traqueostomía (2007) Colombian journal of anesthesiology, 35 (1), pp. 75-77; Magnusson, S. E., Drysdale, D. D., Fitzgerald, R. W., Motevalli, V., Mowrer, F., Quintiere, J., Williamson, R. B., Zalosh, R. G., A Proposal for a Model Curriculum in Fire Safety Engineering (1995) Fire Safety Journal, 1 (25), pp. 1-88; Majdalani, A. H., Cadena, J. E., Cowlard, A., Muñoz, F., Torero, J. L., Experimental characterisation of two fully-developed enclosure fire regimes (2016) Fire Safety Journal, 79, pp. 10-19; Mariño, O., Muñoz, F., Jahn, W., Soot production modelling for operational computational fluid dynamics fire simulations (2020) Journal of Fire Sciences, 38 (3), pp. 284-308; Mariño-Sánchez, O. A., Implementación de modelos de producción hollín para simulaciones de incendio en FDS (2016), https://repositorio.uniandes.edu.co/handle/1992/13253, F. Muñoz Giraldo, P. Ortiz, &amp; O. D. López Mejía (eds) Chemical engineering, Uniandes; McGrattan, K., Hostikka, S., Floyd, J., McDermott, R., Vanella, M., (2021) FDS-SMV. FDS-SMV Fire Dynamics Simulator (FDS) and Smokeview (SMV), , https://pages.nist.gov/fds-smv/, (May); Mena, J., Vera, S., Correal, J. F., López, M., Assessment of fire reaction and fire resistance of Guadua angustifolia Kunth bamboo (2012) Construction and Building Materials, 27 (1), pp. 60-65; Michelsen, H. A., Probing soot formation, chemical and physical evolution, and oxidation: A review of in situ diagnostic techniques and needs (2017) Proceedings of the Combustion Institute, 36 (1), pp. 717-735; Miranda, D., Betancur, A. M., Gutiérrez, G., Master Plans, a New Approach for Contingency Planning in the Colombian Oil Industry (2003) International Oil Spill Conference Proceedings, 2003 (1), pp. 1189-1198; Molina, A., Schefer, R. W., Houf, W. G., Radiative fraction and optical thickness in large-scale hydrogen-jet fires (2007) Proceedings of the Combustion Institute, 31 (2), pp. 2565-2572; Moreno-Sader, K., Alarcón-Suesca, C., González-Delgado, A. D., Application of environmental and hazard assessment methodologies towards the sustainable production of crude palm oil in North-Colombia (2020) Sustainable Chemistry and Pharmacy, 15, p. 100221; Moya-Forero, D. S., Numerical study on the interaction of sprinklers and heat vents (2013) International Master of Science in Fire Safety Engineering, , http://www.cervantesvirtual.com/obra/numerical-study-on-the-interaction-of-sprinklers-and-heat-vents-858647, B. Merci (ed) Ghent University; Murillo, C., Amín, M., Bardin-Monnier, N., Muñoz, F., Pinilla, A., Ratkovich, N., Torrado, D., Dufaud, O., Proposal of a new injection nozzle to improve the experimental reproducibility of dust explosion tests (2018) Powder Technology, 328, pp. 54-74; Murillo, C., Bardin-Monnier, N., Blanchard, C., Funfschilling, D., Muñoz-Giraldo, F., Ratkovich, N., Vizcaya, D., Dufaud, O., CFD to improve the repeatability and accuracy of dust explosion tests in the 20-liters sphere (2016) Chemical Engineering Transactions, 48, pp. 115-120; Murillo, C., Dufaud, O., Bardin-Monnier, N., López, O., Muñoz, F., Perrin, L., Dust explosions: CFD modeling as a tool to characterize the relevant parameters of the dust dispersion (2013) Chemical Engineering Science, 104, pp. 103-116; Navarrete, N., Rodríguez, N., Epidemiologic characteristics of death by burn injury from 2000 to 2009 in Colombia, South America: a population-based study (2016) Burns &amp; Trauma, 4, p. 8; Oran, E. S., Understanding explosions – From catastrophic accidents to creation of the universe (2015) Proceedings of the Combustion Institute, 35 (1), pp. 1-35; Ortega-Ramos, C. A., Franco-Bonfante, T. M., Blandón-Montes, A., Molina-Escobar, J. M., Evaluación del riesgo de explosividad del gas metano en minería subterránea de carbón, caso de la cuenca del Sinifaná, Colombia (2018) Revista Boletín de Geología, 40 (1), pp. 83-91; Perrin, L., Muñoz-Giraldo, F., Dufaud, O., Laurent, A., Normative barriers improvement through the MADS/MOSAR methodology (2012) Safety Science, 50 (7), pp. 1502-1512; Pico, P., Ratkovich, N., Muñoz, F., Dufaud, O., CFD-DPM and experimental study of the dynamics of wheat starch powder/pyrolysis gases hybrid mixtures in the 20-L Sphere (2020) Powder Technology, 372, pp. 638-658; Pico, P., Ratkovich, N., Muñoz, F., Dufaud, O., Analysis of the explosion behaviour of wheat starch/pyrolysis gases hybrid mixtures through experimentation and CFD-DPM simulations (2020) Powder Technology, 374, pp. 330-347; Pinilla, A., Amin, M., Murillo, C., Torrado, D., Bardin-Monnier, N., Muñoz, F., Dufaud, O., CFD Study of the Dust Dispersion in the 20L Explosion Sphere: Influence of the Nozzle Design (2019) Chemical Engineering Transactions, 77, pp. 121-126; Prichard, S., Larkin, N. S., Ottmar, R., French, N. H. F., Baker, K., Brown, T., Clements, C., Watts, A., The Fire and Smoke Model Evaluation Experiment-A Plan for Integrated, Large Fire-Atmosphere Field Campaigns (2019) Atmosphere, 10 (2), p. 66; Ramírez-Camacho, J. G., Pastor, E., Casal, J., Amaya-Gómez, R., Muñoz-Giraldo, F., Analysis of domino effect in pipelines (2015) Journal of Hazardous Materials, 298, pp. 210-220; Ramírez-Rosas, C. H., González-Sierra, M. A., Diagnóstico de la accidentalidad en la pequeña y mediana minería subterránea de la provincia del Sugamuxi (2016) Escuela de Ingeniería de Minas, , https://repositorio.uptc.edu.co/bitstream/001/1610/1/TGT-345.pdf, L. A. Lara-González &amp; Y. B. Benavides-Infante (eds); Romero-Ruiz, M. H., (2011) Influence of land use, climate and topography on the fire regime in the Eastern Savannas of Colombia, , https://leicester.figshare.com/articles/thesis/Influence_of_land_use_climate_and_topography_on_the_fire_regime_in_the_Eastern_Savannas_of_Colombia/10102670/1, K. Tansey &amp; J. C. Berrio (eds) University of Leicester; Salamanca, J., Rodríguez, H., Fernandez, A., Nino-Merchan, J. J., Rojas, V., Modernisation of the underground coal mining sector in Colombia – a proposal from the academy (2017) Proceedings of the First International Conference on Underground Mining Technology. First International Conference on Underground Mining Technology, , https://doi.org/10.36487/acg_rep/1710_42_salamanca; Sapko, M. J., Weiss, E. S., Cashdollar, K. L., Zlochower, I. A., Experimental mine and laboratory dust explosion research at NIOSH (2000) Journal of Loss Prevention in the Process Industries, 13 (3), pp. 229-242; Sedano, C. A., López, O. D., Ladino, A., Muñoz, F., Prediction of a Small-Scale Pool Fire with FireFoam (2017) International Journal of Chemical Engineering, 2017, p. 12. , pag; Serrano, J., Pico, P., Amín, M., Pinilla, A., Torrado, D., Experimental and CFD-DEM study of the dispersion and combustion of wheat starch and carbon-black particles during the standard 20L sphere test (2020) Journal of Loss, , https://www.sciencedirect.com/science/article/pii/S0950423019305662; Sierra, C., Pérez, L. D., Garzón, A., Sinuco, D., Hinestroza, J. P., Detección de minas antipersonal que contienen explosivos tipo ANFO: una revisión (2020) Revista Colombiana de Química, 49 (3), pp. 47-57; Torrado, D., (2017) Effect of carbon black nanoparticles on the explosion severity of gas mixtures, , http://docnum.univ-lorraine.fr/public/DDOC_T_2017_0199_TORRADO.pdf, Universite de Lorraine, Nancy, France (PhD Thesis); Verbeek, A., Debackere, K., Luwel, M., Zimmermann, E., Measuring progress and evolution in science and technology – I: The multiple uses of bibliometric indicators (2002) International Journal of Management Reviews, 4 (2), pp. 179-211; Vignes, A., Muñoz, F., Bouillard, J., Dufaud, O., Perrin, L., Laurent, A., Thomas, D., Risk assessment of the ignitability and explosivity of aluminum nanopowders (2012) Process Safety and Environmental Protection, 90 (4), pp. 304-310; Vizcaya, D., Pinilla, A., Amín, M., Ratkovich, N., Muñoz, F., Murillo, C., Bardin-Monnier, N., Dufaud, O., CFD as an approach to understand flammable dust 20 L standard test: Effect of the ignition time on the fluid flow (2018) AIChE Journal, 64 (1), pp. 42-54; (2021) FireFoam - OpenFOAMWiki. Transient Solver for Fires and Turbulent Diffusion Flames with Reacting Particle Clouds, Surface Film and Pyrolysis Modelling, , https://openfoamwiki.net/index.php/FireFoam, WiKi. (April); William, C. M., Martínez, G, Potential risk of explosions of combustible powder in underground mines of coal (1998) Dyna, 124, pp. 37-53. , C. P; Woodrow, M., (2013) Educating engineers for a holistic approach to fire safety, , https://era.ed.ac.uk/handle/1842/8224, J. Torero (ed) The University of Edinburgh; Woodrow, M., Bisby, L., Torero, J. L., A nascent educational framework for fire safety engineering (2013) Fire Safety Journal, 58, pp. 180-194. , https://www.sciencedirect.com/science/article/pii/S0379711213000374; Woodrow, M., Gillen, A. L., Woodrow, R., Torero, J., Investigating Varied Pedagogical Approaches for Problem-Based Learning in a Fire Safety Engineering Course (2020) International Journal of Engineering Education, 36 (5), pp. 1605-1614; Xi, X., Torero, J. L., Jahn, W., Data driven forecast of droplet combustion (2021) Proceedings of the Combustion Institute, 38 (3), pp. 4785-4793; Zhang, W., Olenick, S. M., Klassen, M. S., Carpenter, D. J., Roby, R. J., Torero, J. L., A smoke detector activation algorithm for large eddy simulation fire modeling (2008) Fire Safety Journal, 43 (2), pp. 96-107</t>
  </si>
  <si>
    <t>Molina, A.; Departamento de Procesos y Energía, Colombia; email: amolinao@unal.edu.co</t>
  </si>
  <si>
    <t>2-s2.0-85128788117</t>
  </si>
  <si>
    <t>Menacho-Vargas I., Ostos D.F.J., Collantes R.D.P., Zamudio J.R.</t>
  </si>
  <si>
    <t>57211802059;57615545900;57610906900;57614885200;</t>
  </si>
  <si>
    <t>Emotional intelligence and its influence on the institutional climate in regular basic education teachers in times of covid-19 [Influencia de la inteligencia emocional en el clima institucional en docentes de educación básica regular en épocas de covid-19]</t>
  </si>
  <si>
    <t>Archivos Venezolanos de Farmacologia y Terapeutica</t>
  </si>
  <si>
    <t>10.5281/zenodo.6371232</t>
  </si>
  <si>
    <t>https://www.scopus.com/inward/record.uri?eid=2-s2.0-85128763828&amp;doi=10.5281%2fzenodo.6371232&amp;partnerID=40&amp;md5=10aa01f35816460889629cf9c4a1be19</t>
  </si>
  <si>
    <t>Universidad César Vallejo, Lima, Peru; Universidad Nacional de Ingeniería, Lima, Peru; Universidad Nacional Mayor de San Marcos, Lima, Peru</t>
  </si>
  <si>
    <t>Menacho-Vargas, I., Universidad César Vallejo, Lima, Peru; Ostos, D.F.J., Universidad César Vallejo, Lima, Peru; Collantes, R.D.P., Universidad Nacional de Ingeniería, Lima, Peru; Zamudio, J.R., Universidad Nacional Mayor de San Marcos, Lima, Peru</t>
  </si>
  <si>
    <t>Introduction: The study places in the limelight the effects of social isolation decreed by the Peruvian government because of the sanitary emergency due to the presence of Covid-19, on the socioemotional aspects of emotional intelligence and how these influence intrapersonal and interpersonal relationships that constitute fundamental basis of the institutional climate in teachers of educational institutions in the district of Co-mas. Methodology: quantitative approach study, basic type, explanatory-causal level, non-experimental-transectional de-sign, hypothetical-deductive method. Census study, made up of 139 teachers of regular basic education. The instruments for data collection were: for emotional intelligence, the BarOn Emotional Coefficient Inventory (I-CE), adapted to the Peruvian context, and for the institutional climate variable, the Work Climate Scale (CL-SP) questionnaire. Results: Ordinal logistic regression was applied for the results, due to the nature of the variables whose measurement was through the ordinal scale. Considering four assumptions, the model fit test, model goodness-of-fit test, parameter estimates and the Pseudo R-squared test. Conclusions: they indicate that the variability of the institutional climate depends on emotional intelligence, as well as on its theoretical components, self-knowledge, self-regulation, motivation, empathy and social ability. © 2022, Venezuelan Society of Pharmacology and Clinical and Therapeutic Pharmacology. All rights reserved.</t>
  </si>
  <si>
    <t>socio-emotional skills; stress and anxiety</t>
  </si>
  <si>
    <t>Andrade Oliveira, D., Clementino, A. M., Pereira Junior, E., (2021) Traba-jo docente en tiempos de pandemia: Una mirada regional latinoa-mericana, , https://www.researchgate.net/publication/356834976_Ebook-2-trabajo-docente-en-tiempos-de-pandemia-1, Brasil; Obtenido de; Hamza, K., Aqeel, M., Jaffar, A., Ahmed, A., COVID-19 Pandemic and impending global mental health implications (2020) Psychiatria Danu-bina, 32 (1), pp. 32-35. , https://doi.org/10.24869/psyd.2020.32; Elizabeth, L, Ramos, T, Dennis, R, Vargas, M., (2021) Estrés e inteligencia emocional en personas adultas durante la pandemia de la COV-ID-19 en Tacna 2020, 10 (1), pp. 37-45; Buitrago, RE, Molina, GE., Profesorado, emociones y escuela (2021) Re-flexiones en tiempo de pandemia —covid-19—. rev.habitus [Inter-net], 1 (1), p. e12551. , https://revistas.uptc.edu.co/index.php/semilleros_investigacion/article/view/12551, Disponible en; Cuenca-León, K, Cabrera-Duffaut, A, Vélez-León, E, Villavicencio-Caparó, E., (2021) Estado de ánimo y de salud del personal universitario durante el periodo de aislamiento por COVID-19; Cuenca, N, Robladillo, L, Meneses, M, Suyo, Jj, Salud mental en ado-lescentes universitarios Latinoaméricanos: Revisión sistemática (2020) Arch Venez Farmacol y Ter, 39; Pantoja, M, Lucero, N, Álvarez, S, Enríquez, J., Educación y pandemia: Desafío para los docentes de educación básica superior y bachil-lerato de la ciudad de Ibarra, Ecuador (2021) Rev Conrado, pp. 307-313; Ozamiz-Etxebarria, N, Berasategi Santxo, N, Idoiaga Mondragon, N, Do-sil Santamaría, M., The Psychological State of Teachers During the CO-VID-19 Crisis: The Challenge of Returning to Face-to-Face Teaching (2021) Front Psychol, , [Internet]. Jan 12;11. /pmc/articles/PMC7835279; Araújo, F.J.O., de Lima, L.S.A., Cidade, P.I.M., Nobre, C.B., Neto, M.L., RImpact of SarsCov-2 and its reverberation in global high-er education and mental health (2020) Psychiatry Res, 288. , https://doi.org/10.1016/j.psychres.2020.112977; Fuensanta, H, Pérez, J, Sánchez, M., (2021) Competencia emocional en docentes de Infantil y Primaria y estudiantes universitarios de los Grados de Educación Infantil y Primaria, 126; MacCann, C., Jiang, Y., Brown, L. E., Double, K. S., Bucich, M., Minbashian, A., Emotional intelligence predicts academic perfor-mance: A meta-analysis (2020) Psychological Bulletin, 146 (2). , https://doi.org/10.1037/bul0000219; Mérida-López, S., Extremera, N., Emotional intelligence and teacher burnout: A systematic review (2017) International Journal of Educational Research, 85, pp. 121-130. , https://doi.org/10.1016/j.ijer.2017.07.006; Huamán, E, Chumpitaz, H, Aguilar, L., (2021) Inteligencia emocional en la práctica educativa: una revisión de la literatura científica, (8), p. 18096; Cajandilay-Díaz, E., Edquén-Collantes, E., Cruz-Gálvez, E. A., Re-tos de la educación virtual peruana en tiempos de la COVID-19: Peruvian virtual education Challenges in times of COVID-19 (2021) Revista Experiencia En Medicina Del Hospital Regional Lambayeque, 7 (3). , https://doi.org/10.37065/rem.v7i3.559, Obtenido de; Guevara Torres, Y., (2017) Inteligencia emocional y clima institucional en docentes de educación primaria de las instituciones educati-vas de la ciudad de Huanta, , http://hdl.handle.net/20.500.12894/4305, Obtenido de; Zubilete, Y., (2021) Inteligencia emocional y clima social escolar en estu-diantes de tercer grado de secundaria de una institución educativa pública de Miraflores [Tesis de maestría, Universidad Marcelino Champagnat], , http://repositorio.umch.edu.pe/handle/UMCH/3388, Repositorio institucional de la Universidad Marcelino Champagnat. Obtenido de; Díaz Rodríguez, S. S., (2020) Factores psicosociales en el estado emo-cional de los docentes de la Institución Educativa N°40199, ciudad Mi Trabajo, , https://fcelan.unsa.edu.pe/investigacion/subidas/grupo_109/4.PROYECTO-DE-INVESTIGACI%C3%93N-DIAZ-RODRIGUEZ.pdf, Arequipa, Obtenido de; Hernández Chirinos de Jesus, R. A., Silva de Jesus Hernández, F. das C., La inteligencia emocional del gestor educativo en tiempos de pandemia (2021) Revista Científica UISRAEL, 8 (3), pp. 11-26. , https://doi.org/10.35290/rcui.v8n3.2021.446, Ob-tenido de; Goleman, D., (2008) libro La Inteligencia Emocional en la Empresa, , http://www.deganadores.com/index.php?view=article&amp;catid=10:inteligeco-dimensiones-de-la-ie&amp;option=com_content&amp;Itemid=3, Obtenido de; Anaya Herrera, N., Rojano Tovar, C. R., (2020) Tensiones y emociones de la práctica docente en tiempos del COVID-19, , https://hdl.handle.net/11323/7679, Barranquilla, Colombia. Obtenido de; Litwin, G., Stringer, R., (1968) Motivation and Organizational Climate, 8, p. 214. , Bos-ton, USA: Division of Research Graduate School of Bussiness Administration Harvard University; Nahoul Larrea, M., (2020) Las habilidades directivas como factor de influ-encia en el clima organizacional de una institución de educación superior en Xalapa, , Https://Ux.Edu.Mx/Wp-Content/Uploads/4.-Las-Habilidades-Direc-tivas-Como-Factor-De-Influencia-En-El-Clima-Organizacional-De-Una-1-22.Pdf, Ver. Universita Ciencia. Obtenido De; Hernández-Sampieri, R., Mendoza, C., (2018) Metodología de la investig-ación. Las rutas cuantitativa, cualitativa y mixta, p. 714. , Ciudad de México, México: Editorial Mc Graw Hill Education; Ñaupas, H., Valdivia, M., Palacios, J., Romero, H., (2018) Metodología de la investigación, Cuantitativa, Cualitativa y redacción de Tesis, , Bo-gotá: ediciones de la U. 5ta. Edición; Ugarriza, N, Pajares, L., La evaluación de la inteligencia emocional a través del inventario de BarOn (2005) Persona [Internet], 8, pp. 11-58. , https://web.teaediciones.com/ejemplos/baron_extracto-web.pdf, (004); Palma, S., (2004) Escala Clima Laboral CL-SPC: manual, , Cartolan; Ortiz-Mancero, M.F., Núñez-Naranjo, A. F., Inteligencia Emocional: Evaluación y Estrategias en tiempos de pandemia (2021) Retos de la Cien-cia, 5 (11), pp. 57-68. , https://doi.org/10.53877/rc.5.11.20210701.06, Obtenido de; Sosa, F, Ambrosi, N, (2021) El rol docente en contexto de pandemia por COVID-19, , https://www.unicef.org/uruguay/in-formes/el-rol-docente-en-contexto-de-pandemia-por-covid-19, Obtenido de; (2020) Cátedra Educación y Pandemia, una visión desde la universidad, , http://catedraunesco.usmp.edu.pe/pdf/educa-cion-pandemia.pdf, Obtenido de; Gómez-Arteta, I., Escobar-Mamani, F., Educación virtual en tiem-pos de pandemia: incremento de la desigualdad social en el Perú (2021) Revista De Ciencias Sociales Y Humanidades, (15), pp. 152-165. , https://doi.org/10.37135/chk.002.15.10, Obtenido de; Celio Pillaca, J., (2021) Burnout y satisfacción con la vida en docentes que realizan clases virtuales en un contexto de pandemia por co-vid-19, 3 (1), pp. 185-212. , https://doi.org/10.37073/puriq.3.1.142, Obtenido de</t>
  </si>
  <si>
    <t>Venezuelan Society of Pharmacology and Clinical and Therapeutic Pharmacology</t>
  </si>
  <si>
    <t>Arch. Venez. Farmacol. Ter.</t>
  </si>
  <si>
    <t>2-s2.0-85128763828</t>
  </si>
  <si>
    <t>Mostacero R.</t>
  </si>
  <si>
    <t>57615507500;</t>
  </si>
  <si>
    <t>Poetics and Singing of Decima in the Orality of Caripe [A poética e o canto da décima na oralidade de Caripe] [La poética y el canto de la décima en la oralidad de Caripe]</t>
  </si>
  <si>
    <t>e13745</t>
  </si>
  <si>
    <t>10.19053/01218530.n42.2022.13745</t>
  </si>
  <si>
    <t>https://www.scopus.com/inward/record.uri?eid=2-s2.0-85128742586&amp;doi=10.19053%2f01218530.n42.2022.13745&amp;partnerID=40&amp;md5=514eb5ae5076a2962a6606514d99e00c</t>
  </si>
  <si>
    <t>Universidad Pedagógica Experimental Libertador, Venezuela</t>
  </si>
  <si>
    <t>Mostacero, R., Universidad Pedagógica Experimental Libertador, Venezuela</t>
  </si>
  <si>
    <t>Orality is characterized by its historical, social, and cultural relevance. Despite technological innovations, orality has not been displaced; on the contrary, it has been reinterpreted. The purpose of this article is to present the originality and richness of oral literature in the community of Caripe El Guácharo, Venezuela. It will explain the historical and social context of the eastern “galerón”, the fusion of two cultural traditions, and the impact that Greek mythology has had on the repertoire of its singers. Participative action research and case study were used to obtain the data, which was then analyzed qualitatively. It is concluded that the “décima cantada” has been related to religiosity, to peasant activities, and within one historical alternative of having started as a memorized singing and ended up being an improvised singing. © 2022, Universidad Pedagogica y Tecnologica de Colombia, Instituto de Investigaciones y Formacion Avanzada. All rights reserved.</t>
  </si>
  <si>
    <t>décima cantada; east galerón; Greek mythology; oral literature; orality</t>
  </si>
  <si>
    <t>Armistead, Samuel, Prólogo. Los estudios sobre la poesía improvisada antes de la décima (1996) Trapero, Maximiano. El libro de la décima. La poesía improvisada en el mundo hispánico, pp. 13-34. , Las Palmas de Gran Canaria, Universidad de Las Palmas de Gran Canaria, Impreso; Homenaje a Tomás Gamboa, galeronista Gabinete Monagas, , https://mppcmonagas.blogspot.com/2014/08/homenaje-tomas-gamboa-galeronista.html, 28 de agosto de 2014. Web. 16 Nov. 2021; Hurtado de Mendoza, William, El repentismo y la décima en la cultura peruana (2014) Anales Científicos, 75 (2), pp. 261-270. , http://dx.doi.org/10.21704/ac.v75i2.962, Web. 15 Jul. 2021; Kleymeyer, Ana María, (2000) La décima: fusión desarrollo cultural en el Afropacífico, , Quito, Ediciones Abya-Yala, Impreso; León, Domingo Rogelio, Mostacero, Rudy, (1997) Caripe: historia cotidiana y oralidad, , Maturín, Ediciones de la Gobernación del Estado Monagas, Colección Guanipa; Medina López, Isaías, (2006) Antología de la décima popular en el Estado Cojedes, , (Comp). San Carlos (Venezuela), Universidad Nacional Experimental de los Llanos Occidentales Ezequiel Zamora; Mijares, Raimundo, La música tradicional venezolana: entrevista imaginaria realizada al concertista y compositor venezolano Eladio Mujica (2018) Revista Historia, Debates y Tendencias, 18 (1), pp. 75-82. , https://doi.org/10.5335/hdtv.18n.1.7742, Web. 16 Nov. 2021; Moreno, Duglas, Puerta, Jesús, La sombra espectral como isotopía de lo siniestro en Florentino y el Diablo (2013) Voz y Escritura, (21), pp. 55-80. , (enero-diciembre): Impreso; Moreno, Duglas, (2015) Aproximación hermenéutica a una simbólica de lo siniestro en la leyenda fantástica de la llanura venezolana, , San Carlos, (Venezuela), Coordinación de Área de Estudios de Posgrado de UNELLEZ; Mendoza, Vicente, (1947) La décima en México. Glosas y valonas, , Buenos Aires, Ministerio de Justicia e Instrucción Pública de la Nación Argentina, Impreso; Mostacero, Rudy, En el galerón de antes el canto era arreglao (1988) Revista Imagen, (100-39), p. 36. , Impreso; Mostacero, Rudy, Caripe: de la aldea a la ciudad recuento histórico-cultural” (Cap. II) (1997) Caripe: historia cotidiana y oralidad, pp. 15-44. , En León, Rogelio y Rudy Mostacero. Maturín, Ediciones de la Gobernación del Estado Monagas, Colección Guanipa; Peña Torres, Juan, Torrealba, Carlos, Formas poéticas y temática del joropo central venezolano (2011) Argos, 28 (54), pp. 270-311. , Impreso; Ramón y Rivera, Luis Felipe, (1992) La poesía folklórica de Venezuela, , Caracas, Monte Ávila Editores, Impreso; Rodríguez Martínez, Jorge Emilio, (2014) La décima como acto discursivo en el caribe colombiano: dinámicas actuales de producción, circulación y recepción, , https://www.redalyc.org/pdf/721/72103406.pdf, Trabajo de grado, Universidad de Cartagena, Web. 16 Nov. 2021; Santa Cruz, Nicomedes, (1982) La décima en el Perú, , Lima, Instituto de Estudios Peruanos, Impreso; Santa Cruz Urquieta, Octavio, (2009) Escritura y perfomance en los decimistas de hoy: la actividad pública de los decimistas en Lima a inicios del siglo xxi, , https://hdl.handle.net/20.500.12672/170, Tesis de maestría, Universidad Nacional Mayor de San Marcos; Subero, Efraín, (1991) La décima popular en Venezuela, , Caracas, Monte Ávila Editores; Trapero, Maximiano, (1996) El libro de la décima. La poesía improvisada en el mundo hispánico, , Las Palmas de Gran Canaria, Universidad de Las Palmas de Gran Canaria; Trapero, Maximiano, La tradición y la improvisación en la poesía oral: la décima, un nuevo género integrador en el mundo hispánico (2013) Anuario de Estudios Atlánticos, 59, pp. 687-718. , http://www.redalyc.org/articulo.oa?id=274430139017, Web. 16 Nov. 2021; Urbani, Franco, Furrer, Max, Caripe y la cueva del guacharo» por el Dr.Alfred Charffernorth, 1890 (2007) Terra Nueva Etapa, XXIII (34), pp. 129-146. , https://www.redalyc.org/pdf/721/72103406.pdf, (julio-diciembre): Web. 22 Oct. 2021; Zárate, Manuel, de Zárate, Dora Pérez, (1953) La décima y la copla en Panamá, , Panamá, Ministerio de Educación, Impreso</t>
  </si>
  <si>
    <t>Mostacero, R.; Universidad Pedagógica Experimental LibertadorVenezuela; email: rudymostacero@gmail.com</t>
  </si>
  <si>
    <t>2-s2.0-85128742586</t>
  </si>
  <si>
    <t>Hernández A.M.G., Mejía N.A.</t>
  </si>
  <si>
    <t>57613546200;57614858500;</t>
  </si>
  <si>
    <t>“Ce qui ronge”: Poetic Experience and Phenomenological Overtures in Two Collections by Jorge Eduardo Eielson and Blanca Varela [“Ce qui ronge”: Experiência poética e abertura fenomenológica em duas colecções de Jorge Eduardo Eielson e Blanca Varela] [La conciencia de lo que roe: experiencia poética y apuesta fenomenológica en dos poemarios de Jorge Eduardo Eielson y Blanca Varela]</t>
  </si>
  <si>
    <t>e13558</t>
  </si>
  <si>
    <t>10.19053/01218530.n43.2022.13558</t>
  </si>
  <si>
    <t>https://www.scopus.com/inward/record.uri?eid=2-s2.0-85128739435&amp;doi=10.19053%2f01218530.n43.2022.13558&amp;partnerID=40&amp;md5=b3e49f20eabb475eb85befc6694b2bbf</t>
  </si>
  <si>
    <t>Université Catholique de Louvain, Belgium; Universidad La Gran Colombia, Colombia</t>
  </si>
  <si>
    <t>Hernández, A.M.G., Université Catholique de Louvain, Belgium; Mejía, N.A., Universidad La Gran Colombia, Colombia</t>
  </si>
  <si>
    <t>The subjective experience of the Late Modernity seems determined by the loss of its significance, its cognitive reach and of its possibilities to be expressed in an aesthetic way. Two Peruvian collections serve as corpus to reflect on how poetic language faces this circumstance at the beginning of the 21st century. To achieve this objective, the phenomenological claims of Merleau-Ponty serve to center the attention on how, after having explored the limits of their language, the poets materialize a poetic experience that can be read as that of a subject-body that makes language an essential part of its lived experience. This analysis highlights the contribution of phenomenology to literary criticism and enriches the reading of the late works of Eielson and Varela in the framework of contemporary poetry. © 2022, Universidad Pedagogica y Tecnologica de Colombia, Instituto de Investigaciones y Formacion Avanzada. All rights reserved.</t>
  </si>
  <si>
    <t>late modernity; Peruvian poetry; phenomenology; poetic experience; subject-body</t>
  </si>
  <si>
    <t>Colón Simbolín, Mario, La sed del anillo: Nietzsche y las evocaciones del eterno retorno (2021) Diálogos, 107, pp. 173-205; Eielson, Jorge Eduardo, (2000) Sin título, , Madrid, Pre-Textos, Impreso; Eielson, Jorge Eduardo, Entrevista con Jorge Eduardo Eielson”, entrevista de Mario Campaña (2001) Guaraguao, 5 (13), pp. 51-63. , Impreso; Eielson, Jorge Eduardo, (2003) Vivir es una obra maestra: poesía escrita, , Madrid, Editorial Ave del Paraíso, Impreso; Eielson, Jorge Eduardo, (2005) Del absoluto amor y otros poemas sin título, , Valencia, Pre-textos, Impreso; Elmore, Peter, El cauce y el caudal: Emilio Adolfo Westphalen y José María Arguedas en la cultura moderna del Perú (2012) Revista de Crítica Literaria Latinoamericana, 38 (75), pp. 229-251. , https://www.proquest.com/docview/1353315101, Web. 27 Oct. 2021; Fernández Cozman, Camilo, La poesía de los años cincuenta y un poema de Eielson (1995) La casa de cartón de OXY, 6, pp. 11-18. , Impreso; Ferrada-Sullivan, Jorge, Sobre la noción de cuerpo en Maurice Merleau-Ponty (2019) Cinta de Moebio: Revista de Epistemología en Ciencias Sociales, 65, pp. 159-166. , https://doi.org/10.4067/s0717-554x2019000200159, Web. 27 Oct. 2021; Guerrero, Gustavo, (2010) Cuerpo plural. Antología de la poesía hispanoamericana contemporánea, , Madrid, Pre-textos, Impreso; Hoy, David Couzens, (2009) The times of our lives. A critical history of temporality, , https://doi.org/10.7551/mitpress/9780262013048.001.0001, Cambridge (MA), MIT Press, Impreso; Huelva Unternbaümen, Enrique, En los vértices del tiempo. Metáforas conceptuales del tiempo y sus variaciones en la poesía y el pensamiento filosófico (2019) Cultura, Lenguaje y Representación, 22, pp. 75-97. , https://doi.org/10.6035/CLR.2019.22.5, Web. 27 Oct. 2021; Kearney, Richard, Écrire la chair: L’expression diacritique chez Merleau-Ponty (2013) Chiasmi International, 15, pp. 183-198. , https://doi.org/10.5840/chiasmi20131517, Web. 27 Oct. 2021; Lorenc, Iwona, ‘Theoretical Turn’ in post-avant-garde art and the aesthetic of de-differentiation (2015) Art Inquiry. Recherches Sur Les Arts, 17, pp. 59-68. , http://journals.ltn.lodz.pl/index.php/Art-Inquiry/issue/view/45/131, Web. 27 Oct. 2021; Lorenc, Iwona, Subversive artistic strategies of the avant-garde and the crisis of modern experience (2017) Art Inquiry. Recherches Sur Les Arts, 19, pp. 17-31. , http://journals.ltn.lodz.pl/index.php/Art-Inquiry/article/view/115, Web. 27 Oct. 2021; Marchese, Angelo, Forradellas, Joaquín, (2013) Diccionario de retórica, crítica y terminología literaria, , Barcelona, Editorial Ariel, Impreso; Merleau-Ponty, Maurice, El lenguaje indirecto y las voces del silencio (1964) Signos, pp. 47-98. , Barcelona, Seix Barral, Impreso; Merleau-Ponty, Maurice, (1971) La prosa del mundo, , Traducido por Francisco Pérez. Madrid, Taurus, Impreso; Merleau-Ponty, Maurice, (1993) La fenomenología de la percepción, , Traducido por Jem Cabanes. Barcelona, Planeta-De Agostini, Impreso; Muñoz Carrasco, Olga, (2007) Sigiloso desvelo. La poesía de Blanca Varela, , Lima, Fondo Editorial Pontificia Universidad Católica del Perú, Impreso; Orihuela, Juan Carlos, La poesía peruana de los 60 y 70: dos etapas en la ruta hacia el sujeto descentrado y la conversacionalidad (2006) A Contracorriente: Revista de Historia Social y Literatura de América Latina, 4 (1), pp. 67-85. , https://dialnet.unirioja.es/servlet/articulo?codigo=2093004, Web. 27 Oct. 2021; Oviedo, José Miguel, (2001) Historia de la literatura hispanoamericana. De Borges al presente, 4. , Madrid, Alianza Editorial, Impreso; Padilla, José Ignacio, (2002) Nu/Do. Homenaje a J. E. Eielson, , (ed). Lima, Fondo Editorial Pontificia Universidad Católica del Perú, Impreso; Padilla, José Ignacio, (2014) El terreno en disputa es el lenguaje: Ensayos sobre poesía latinoamericana, , (ed). Frankfurt, Iberoamericana/Vervuert, Impreso; Rebaza Soraluz, Luis, Una escalera sostenida sobre la arena: la construcción poética escrita y no-escrita de Jorge Eduardo Eielson (2004) Arte Poética, pp. 9-50. , Lima, Fondo Editorial Pontificia Universidad católica del Perú, Impreso; Rivera Yañez, Fausto, María Auxiliadora Balladares ensaya la poesía de Blanca Varela (2016) Letras del Ecuador, 204, pp. 7-8. , https://issuu.com/libreriacce/docs/letras_del_ecuador_204, (enero): Web. 27 Oct. 2021; Rodríguez, Francisco, La poesía posvanguardista latinoamericana: notas para un acercamiento a la lírica conversacional (1993) Revista de Filología y Lingüística, 19 (1), pp. 35-47. , https://doi.org/10.15517/rfl.v19i1.20912, Web. 27 Oct. 2021; Rosa, Hartmut, Aceleración social: consecuencias éticas y políticas de una sociedad de alta velocidad desincronizada (2011) Persona y sociedad, 25 (1), pp. 9-49. , https://doi.org/10.53689/pys.v25i1.204, Web. 27 Oct. 2021; Salazar, Ina, El surrealismo en el Perú (2019) Historias de las literaturas en el Perú. Poesía peruana: entre la fundación de su modernidad y finales del siglo xx. Coordinado por Luis Fernando Chueca y Giovanna Pollarolo, 4, pp. 109-140. , Lima, Fondo Editorial Pontificia Universidad Católica del Perú; Casa de la literatura; Ministerio de Educación del Perú, Impreso; Sandras, Michel, (2016) Idées de la poésie, idées de la prose, , Paris, Classiques Garnier, Impreso; Schaeffer, Jean-Marie, (1983) La naissance de la littérature: La théorie esthétique du romantisme allemand, , Paris, Presses de École Normale Supérieure, Impreso; Siebenmann, Gustav, (1997) Poesía y poéticas del siglo xx en la América hispana y el Brasil. Historia, movimientos, poetas, , Madrid, Gredos, Impreso; Utrera Torremocha, María Victora, (1999) Teoría del poema en prosa, , Sevilla, Universidad de Sevilla, Impreso; Varela, Blanca, Entrevista con Blanca Varela”, entrevista de Efraín Kristal (1995) Mester, xxiv (2), pp. 133-150. , https://bit.ly/3IYt0CL, Web. 27 Oct. 2021; Varela, Blanca, (2017) Poesía reunida, 1949-2000, , México D.F., Fondo de Cultura Económica, Impreso; Verano Gamboa, Leonardo, La experiencia del lenguaje en la literatura: anotaciones a la filosofía de Merleau-Ponty (2005) Cuadernos de Filosofía Latinoamericana, 26 (92), pp. 121-136. , https://doi.org/10.15332/s0120-8462.2005.0092.10, Web. 27 Oct. 2021</t>
  </si>
  <si>
    <t>Hernández, A.M.G.; Université Catholique de LouvainBelgium; email: andrea.guardia@uclouvain.be</t>
  </si>
  <si>
    <t>2-s2.0-85128739435</t>
  </si>
  <si>
    <t>Ruíz-T J.C., Fonseca-Cifuentes G.P.</t>
  </si>
  <si>
    <t>57609113700;57221915009;</t>
  </si>
  <si>
    <t>ABC Costing System Applied to an SME Specializing in Dairy Production in Colombia</t>
  </si>
  <si>
    <t>10.1007/978-3-030-96150-3_11</t>
  </si>
  <si>
    <t>https://www.scopus.com/inward/record.uri?eid=2-s2.0-85128635390&amp;doi=10.1007%2f978-3-030-96150-3_11&amp;partnerID=40&amp;md5=8808b5973c4672d8ae83f8ff56eef522</t>
  </si>
  <si>
    <t>Facultad Seccional Chiquinquirá, Universidad Pedagógica Y Tecnológica de Colombia, Carrera 14A No 2-37, Chiquinquirá, Colombia; Facultad de Ciencias Económicas Y Administrativas, Universidad Pedagógica Y Tecnológica de Colombia, Av. Central del Norte 39-115, Tunja, Colombia</t>
  </si>
  <si>
    <t>Ruíz-T, J.C., Facultad Seccional Chiquinquirá, Universidad Pedagógica Y Tecnológica de Colombia, Carrera 14A No 2-37, Chiquinquirá, Colombia; Fonseca-Cifuentes, G.P., Facultad de Ciencias Económicas Y Administrativas, Universidad Pedagógica Y Tecnológica de Colombia, Av. Central del Norte 39-115, Tunja, Colombia</t>
  </si>
  <si>
    <t>This paper aims to develop a methodology for implementation of management accounting associated with the ABC costing, in an SME specializing related to milk production in Colombia. For this, the methodologies proposed by Kaplan and Cooper, were taken as a reference, which were consolidated through nine stages for the construction of the cost system. Among the results, is the determination of the cost of the agricultural product as well as the measurement of biological assets according to IAS 41. It is concluded that this system costs allows appropriate decisions to this kind of agricultural SMEs, optimizing processes and increasing profitability indicators. © 2022, The Author(s), under exclusive license to Springer Nature Switzerland AG.</t>
  </si>
  <si>
    <t>ABC costing system; Livestock; Management accounting; Milk</t>
  </si>
  <si>
    <t>Berrío Guzmán, D., Castrillón Cifuentes, J., Costos para gerenciar organizaciones manufactureras (2011) Comerciales Y De Servicios, , Barranquilla, Ediciones Uninorte; Brimson, J.A., (1991) Activity Accounting: An Activity-Based Costing Approach; Bruggeman, W., Everaert, P., Anderson, S.R., Levant, Y., (2005) Modeling Logistics Costs Using Time-Driven ABC: A Case in A Distribution Company; Cooper R (1988a) The rise of activity-based costing: Part one: What is an activity-based cost system J Cost Manag, pp. 45-54; Cooper, R., The rise of activity-based costing: Part two: When do i need an activity-based cost system (1988) J Cost Manag, pp. 41-48; Cooper, R., The rise of activity-based costing: Part three: How many cost drivers do you need? and how should you select them (1989) J Cost Manag, pp. 34-46; Cooper, R., The rise of activity-based costing-part four: What do activity-based cost system look like? (1989) J Cost Manag, pp. 34-46; Costa Marques, M.D.C.D., Contribución del modelo ABC en la toma de decisiones: El caso universidades Cuadernos de Contabilidad (2012) Cuadernos De Contabilidad, 13 (33), pp. 527-544; Cuervo Tafur, J., Osorio Agudelo, J.A., Duque Roldán, M.I., (2013) Costeo Basado En Actividades ABC-Gestión Basada En Actividades ABM. Ecoe Editores; Cuevas Villegas, C.F., (2001) Contabilidad De Costos. Enfoque Gerencial Y De gestión, , Bogotá DC, Pearson Educación; (2014) Fedegan (2014) Foro Ganadería Regional Visión, , Cundinamarca; Fonseca-Cifuentes, G., León-Castro, E., Blanco-Mesa, F., Predicting the future price of a commodity using the OWMA operator: An approximation of the interest rate and inflation in the brown pastusa potato price (2020) J Intell Fuzzy Syst, pp. 1-11. , Preprint(Preprint; Hicks, D.T., (1998) El Sistema De Costos Basado En Las Actividades (ABC): Guía Para Su implantación En pequeñas Y Medianas Empresas, , México, Alfaomega; Johnson, H.T., Kaplan, R.S., (1987) Relevance Lost: The Rise and Fall of Management Accounting, , Harvard Business School Press; Kaplan, R.S., Cooper, R., (1998) Cost and Effect: Using Integrated Cost Systems to Drive Profitability and Performance, , Harvard Business Press, Boston; Kuster Nieves, C., Contribución al estudio crítico de los sistemas de costos para los procesos agrícolas ovinos (2018) Costos Y Gestión, 94, pp. 8-30; Lu, T.-Y., Wang, S.-L., Wu, M.-F., Cheng, F.-T., Competitive Price Strategy with Activity-Based Costing-Case Study of Bicycle Part Company (2017) Procedia CIRP, 63, pp. 14-20; Mallo Rodríguez, C., Jiménez Montañés, M.Á., (2009) Contabilidad De Costes; Millán-Solarte, J.C., Sánchez-Mayorga, X., Modelo matricial para la asignación del costo utilizando activity basing cost (2014) Entramado, 10 (2), pp. 144-155; La competitividad de las cadenas agroproductivas en Colombia (2005) Análisis De Su Estructura Y dinámica (1991–2004); (2017), Implementación política para mejorar la competitividad del sector lácteo Nacional; Pérez Barral, O., (2017), Implementación de un procedimiento de gestión y costo basado en actividades a partir de la formación del capital intelectual contable para instalaciones turísticas. II Congreso: Ciencia, Sociedad e Investigación Universitaria; Pérez Falco, G., (2007) Modelo Para La gestión De Costos De La generación De energía En Cuba; Porter, M.E., (1995) Ventaja Competitiva: Creación Y Sostenimiento De Un desempeño Superior, , Grupo Editorial Patria; Rodríguez García, D.M., Ruiz Torres, J.C., (2016) Comparación Del Tratamiento Contable Y Financiero De La NIC 41 Agricultura-Niif Para Pymes, sección 34: Actividades Especiales Y El Decreto 2649 De 1993, , Vestigium Ire 10(1):180–197; Ruiz-Torres, J.C., Fonseca-Cifuentes, G.P., García-Montaño, C.A., Contabilidad de gestión en la ganadería bovina de leche en Colombia: Caso Hacienda Agrícola Casa de Lata Ltda Management accounting in dairy cattle in Colombia:case Hacienda Agrícola Casa de Lata Ltda (2020) Revista Espacios, 41 (15), p. 24; Sánchez-Mayorga, X., Millán-Solarte, J.C., Propuesta para la implementación del costeo ABC en microempresas (2010) Libre Empresa, 7 (1), pp. 107-119; Wang, M., Han, D., Measure Strategic Cost Based on Activity-Based Costing Method (2013) The 19Th International Conference, pp. 302-311. , Chapter 33, E. Qi, S. Jiang, &amp; D. Runliang (Eds.), (pp; Warren, C., Reeve, J., Duchac, J., (2010) Contabilidad Administrativa; Zeuner, P., (2007) Activity-Based Costing: Introducing Process Thinking into Cost Management; Zhang, B.X., Xie, X.T., Liang, H.R., Activity cost based manufacturer cost and profit optimization. Proceedings of the Sixth International Conference on Machine Learning and Cybernetics (2007) ICMLC, 2007 (4), pp. 2306-2310</t>
  </si>
  <si>
    <t>Ruíz-T, J.C.; Facultad Seccional Chiquinquirá, Carrera 14A No 2-37, Colombia; email: juan.ruiz@uptc.edu.co</t>
  </si>
  <si>
    <t>2-s2.0-85128635390</t>
  </si>
  <si>
    <t>Leon-Castro E., Blanco-Mesa F., Alfaro-Garcia V., Gil-Lafuente A.M., Merigó J.M., Kacprzyk J.</t>
  </si>
  <si>
    <t>57200370619;57201261741;55319293000;23481567100;23482135100;26643457100;</t>
  </si>
  <si>
    <t>Preface</t>
  </si>
  <si>
    <t>https://www.scopus.com/inward/record.uri?eid=2-s2.0-85128608398&amp;partnerID=40&amp;md5=79a414dc8e9d6e6fdbb7d0e181e160e5</t>
  </si>
  <si>
    <t>Faculty of Economics and Adminsitrative Sciences, Universidad Catolica de la Santisima Concepcion, Bio Bio, Concepcion, Chile; Facultad de Ciencias Económicas y Administrativas Escuela de Administración de Empresas, Universidad Pedagógica y Tecnológica d Tunja, Colombia; Facultad de Contaduría y Ciencias Administrativas, Universidad Michoacana de San Nicolas de Morelia, Michoacán, Mexico; Department of Business Administration University of Barcelona, Barcelona, Spain; School of Information, Systems and Modelling University of Technology, Sydney, NSW, Australia; School of Economics and Business University of Chile, Santiago, Chile; Systems Research Institute Polish Academy of Sciences, Warsaw, Poland</t>
  </si>
  <si>
    <t>Leon-Castro, E., Faculty of Economics and Adminsitrative Sciences, Universidad Catolica de la Santisima Concepcion, Bio Bio, Concepcion, Chile; Blanco-Mesa, F., Facultad de Ciencias Económicas y Administrativas Escuela de Administración de Empresas, Universidad Pedagógica y Tecnológica d Tunja, Colombia; Alfaro-Garcia, V., Facultad de Contaduría y Ciencias Administrativas, Universidad Michoacana de San Nicolas de Morelia, Michoacán, Mexico; Gil-Lafuente, A.M., Department of Business Administration University of Barcelona, Barcelona, Spain; Merigó, J.M., School of Information, Systems and Modelling University of Technology, Sydney, NSW, Australia, School of Economics and Business University of Chile, Santiago, Chile; Kacprzyk, J., Systems Research Institute Polish Academy of Sciences, Warsaw, Poland</t>
  </si>
  <si>
    <t>2-s2.0-85128608398</t>
  </si>
  <si>
    <t>Velázquez-Cázares M.G., Alvarado-Altamirano S., León-Castro E., Blanco-Mesa F.</t>
  </si>
  <si>
    <t>57210338569;57190948796;57200370619;57201261741;</t>
  </si>
  <si>
    <t>A Bibliometric Analysis of Corporate Social Responsibility and Competitiveness</t>
  </si>
  <si>
    <t>10.1007/978-3-030-96150-3_15</t>
  </si>
  <si>
    <t>https://www.scopus.com/inward/record.uri?eid=2-s2.0-85128592745&amp;doi=10.1007%2f978-3-030-96150-3_15&amp;partnerID=40&amp;md5=3eb33a1eb6ec96c6d785909c6ea3b3ed</t>
  </si>
  <si>
    <t>Universidad of Occidente, Blvd. Lola Beltrán s/n esq. Circuito Vial, Culiacán, 80200, Mexico; Faculty of Economics and Administrative Science, Universidad Católica de La Santísima Concepción, Concepción, 4070129, Chile; Facultad de Ciencias Económicas Y Administrativas, Escuela de Administración de Empresas, Universidad Pedagógica Y Tecnológica de Colombia, Av. Central del Norte, 39-115, Tunja, 150001, Colombia</t>
  </si>
  <si>
    <t>Velázquez-Cázares, M.G., Universidad of Occidente, Blvd. Lola Beltrán s/n esq. Circuito Vial, Culiacán, 80200, Mexico; Alvarado-Altamirano, S., Universidad of Occidente, Blvd. Lola Beltrán s/n esq. Circuito Vial, Culiacán, 80200, Mexico; León-Castro, E., Faculty of Economics and Administrative Science, Universidad Católica de La Santísima Concepción, Concepción, 4070129, Chile; Blanco-Mesa, F., Facultad de Ciencias Económicas Y Administrativas, Escuela de Administración de Empresas, Universidad Pedagógica Y Tecnológica de Colombia, Av. Central del Norte, 39-115, Tunja, 150001, Colombia</t>
  </si>
  <si>
    <t>Corporate Social Responsibility and its relationship with Competitiveness has become a relevant field of study, mainly for the potential strategic and beneficial impact on firms and society. The objective of this paper is to present an overview of the main contributions in these subjects by a bibliometric review approach. The work covers a wide range of bibliometric indicators base on the Web of Science (WoS) Core Collection and it is complemented with the Scopus database. The leading journals, authors, institutions, countries, and articles are considered. The results highlight the increasing relevance of the research field and exhibit Porter and Kramer as the most influential authors and Seuring and Gallardo-Vazquez as the most productive authors on the field. The United States of America is leading the field with the largest number of publications and citations. The relationship between Corporate Social Responsibility and Competitiveness is a rising field of study that contributes to the development of new theories, approaches, and applications. © 2022, The Author(s), under exclusive license to Springer Nature Switzerland AG.</t>
  </si>
  <si>
    <t>Bibliometric; Competitiveness; Corporate Social Responsibility</t>
  </si>
  <si>
    <t>Agrawal, S., Singh, R.K., Murtaza, Q., A literature review and perspectives in reverse logistics (2015) Resour Conserv Recycl, 97, pp. 76-92; Aguinis, H., Glavas, A., What we know and don’t know about corporate social responsibility: A review and research agenda (2012) J Manag, 38 (4), pp. 932-968; Ambec, S., Lanoie, P., (2008) Does It Pay to Be Green? A Systematic Overview. the Academy of Management Perspectives, pp. 45-62; Bansal, P., Hunter, T., Strategic explanations for the early adoption of ISO 14001 (2003) J Bus Ethics, 46 (3), pp. 289-299; Barnett, M.L., Salomon, R.M., Beyond dichotomy: The curvilinear relationship between social responsibility and financial performance (2006) Strateg Manag J, 27 (11), pp. 1101-1122; Baron, D.P., Private politics, corporate social responsibility, and integrated strategy (2001) Journal of Economics &amp; Management Strategy, 10 (1), pp. 7-45; Battaglia, M., Testa, F., Bianchi, L., Iraldo, F., Frey, M., Corporate social responsibility and competitiveness within SMEs of the fashion industry: Evidence from Italy and France (2014) Sustainability, 6, pp. 872-893; Bernal-Conesa, J.A., de Nieves Nieto, C., Briones-Peñalver, A.J., CSR strategy in technology companies: Its influence on performance, competitiveness and sustainability (2017) Corp Soc Responsib Environ Manag, 24 (2), pp. 96-107; Beske, P., Land, A., Seuring, S., Sustainable supply chain management practices and dynamic capabilities in the food industry: A critical analysis of the literature (2014) Int J Prod Econ, 152, pp. 131-143; Blanco-Mesa, F., León-Castro, E., Merigó, J.M., A bibliometric analysis of aggregation operators (2019) Applied Soft Computing, 105; Blanco-Mesa, F., Merigó, J.M., Gil-Lafuente, A.M., Fuzzy decision making: A bibliometric-based review (2017) Journal of Intelligent &amp; Fuzzy Systems, 32 (3), pp. 2033-2050; Bocken, N.M., Short, S.W., Rana, P., Evans, S., A literature and practice review to develop sustainable business model archetypes (2014) J Clean Prod, 65, pp. 42-56; Boulouta, I., Pitelis, C.N., Who needs CSR? The impact of corporate social responsibility on national competitiveness (2014) J Bus Ethics, 119 (3), pp. 349-364; Bowen, H.R., (1953) Social Responsibility Ofthe Businessman, , Harpers and Brothers, New York; Brammer, S., Millington, A., Rayton, B., The contribution of corporate social responsibility to organizational commitment (2007) The International Journal of Human Resource Management, 18 (10), pp. 1701-1719; Branco, M.C., Rodrigues, L.L., Corporate social responsibility and resource-based perspectives (2006) J Bus Ethics, 69 (2), pp. 111-132; Brown, T.J., Dacin, P.A., The company and the product: Corporate associations and consumer product responses (1997) J Mark, 61 (1), pp. 68-84; Campbell, J.T., Eden, L., Miller, S.R., Multinationals and corporate social responsibility in host countries: Does distance matter? (2012) J Int Bus Stud, 43 (1), pp. 84-106; Carroll, A.B., Shabana, K.M., The business case for corporate social responsibility: A review of concepts, research and practice (2010) Int J Manag Rev, 12 (1), pp. 85-105; Carter, C.R., Liane Easton, P., Sustainable supply chain management: Evolution and future directions (2011) Int J Phys Distrib Logist Manag, 41 (1), pp. 46-62; Chabowski, B.R., Mena, J.A., Gonzalez-Padron, T.L., The structure of sustainability research in marketing, 1958–2008: A basis for future research opportunities (2011) J Acad Mark Sci, 39 (1), pp. 55-70; Chih, H.L., Chih, H.H., Chen, T.Y., On the determinants of corporate social responsibility: International evidence on the financial industry (2010) J Bus Ethics, 93 (1), pp. 115-135; Chung, C., Jung, S., Young, J., Do CSR activities increase firm value? Evidence from the Korean market (2018) Sustainability, 10 (9), p. 3164; (2015) 2015 Cone Communications/Ebiquity–Global CSR Study, , http://www.conecomm.com/2015-cone-communications-ebiquity-global-csr-study-pdf; Cronin, J.J., Smith, J.S., Gleim, M.R., Ramirez, E., Martinez, J.D., Green marketing strategies: An examination of stakeholders and the opportunities they present (2011) J Acad Mark Sci, 39 (1), pp. 158-174; Dao, V., Langella, I., Carbo, J., From green to sustainability: Information Technology and an integrated sustainability framework (2011) J Strateg Inf Syst, 20 (1), pp. 63-79; de Bakker, F.G., Groenewegen, P., Den Hond, F., A bibliometric analysis of 30 years of research and theory on corporate social responsibility and corporate social performance (2005) Bus Soc, 44 (3), pp. 283-317; Devika, K., Jafarian, A., Nourbakhsh, V., Designing a sustainable closed-loop supply chain network based on triple bottom line approach: A comparison of metaheuristics hybridization techniques (2014) Eur J Oper Res, 235 (3), pp. 594-615; Dorobantu, S., Kaul, A., Zelner, B., Nonmarket strategy research through the lens of new institutional economics: An integrative review and future directions (2017) Strateg Manag J, 38 (1), pp. 114-140; Du, S., Bhattacharya, C.B., Sen, S., Reaping relational rewards from corporate social responsibility: The role of competitive positioning (2007) Int J Res Mark, 24 (3), pp. 224-241; Du, S., Bhattacharya, C.B., Sen, S., Corporate social responsibility and competitive advantage: Overcoming the trust barrier (2011) Manage Sci, 57 (9), pp. 1528-1545; Dusuki, A.W., Abdullah, N.I., Why do Malaysian customers patronise Islamic banks? (2007) International Journal of Bank Marketing, 25 (3), pp. 142-160; Ehnert, I., Ehnert, I., (2009) Sustainable Human Resource Management, , Physica-Verlag; Esteves, A.M., Evaluating community investments in the mining sector using multi-criteria decision analysis to integrate SIA with business planning (2008) Environ Impact Assess Rev, 28 (4-5), pp. 338-348; Etzion, D., Research on organizations and the natural environment, 1992-present: A review (2007) J Manag, 33 (4), pp. 637-664; Communication from the commission to the European parliament, the council (2011) The European Economic and Social Committee and the Committee of the Regions, , European Commission, Brussels; Fassin, Y., The reasons behind non-ethical behaviour in business and entrepreneurship (2005) J Bus Ethics, 60 (3), pp. 265-279; Feng, Y., Zhu, Q., Lai, K.H., Corporate social responsibility for supply chain management: A literature review and bibliometric analysis (2017) J Clean Prod, 158, pp. 296-307; Flammer, C., Corporate social responsibility and shareholder reaction: The environmental awareness of investors (2013) Acad Manag J, 56 (3), pp. 758-781; Flammer, C., Luo, J., Corporate social responsibility as an employee governance tool: Evidence from a quasi-experiment (2017) Strateg Manag J, 38 (2), pp. 163-183; Foerstl, K., Reuter, C., Hartmann, E., Blome, C., Managing supplier sustainability risks in a dynamically changing environment—Sustainable supplier management in the chemical industry (2010) J Purch Supply Manag, 16 (2), pp. 118-130; Galbreath, J., Shum, P., Do customer satisfaction and reputation mediate the CSR–FP link? Evidence from Australia (2012) Aust J Manag, 37 (2), pp. 211-229; Gallardo-Vazquez, D., Sanchez-Hernandez, I., Information on corporate social responsibility and SME’s environmental responsiveness: A regional study (2012) Economics &amp; Sociology, 5 (2), p. 103; Galvão, A., Mendes, L., Marques, C., Mascarenhas, C., Factors influencing students’ corporate social responsibility orientation in higher education (2019) J Clean Prod, 215, pp. 290-304; Ganesan, S., George, M., Jap, S., Palmatier, R.W., Weitz, B., Supply chain management and retailer performance: emerging trends, issues, and implications for research and practice (2009) J Retail, 85 (1), pp. 84-94; Garay, L., Font, X., Doing good to do well? Corporate social responsibility reasons, practices and impacts in small and medium accommodation enterprises (2012) Int J Hosp Manag, 31 (2), pp. 329-337; Garelli S (2018) 30 Years of Competitiveness Research. IMD International Institute for Management Development, , https://www.imd.org/contentassets/3c6bc732e8864fb0a1d7ee79d664fefb/tc036-18.pdf; Garriga, E., Melé, D., Corporate social responsibility theories: Mapping the territory (2004) J Bus Ethics, 53 (1-2), pp. 51-71; Gimenez, C., Sierra, V., Rodon, J., Sustainable operations: Their impact on the triple bottom line (2012) Int J Prod Econ, 140 (1), pp. 149-159; Godfrey, P.C., Hatch, N.W., Researching corporate social responsibility: An agenda for the 21st century (2007) J Bus Ethics, 70 (1), pp. 87-98; Gugler, P., Shi, J.Y., Corporate social responsibility for developing country multinational corporations: Lost war in pertaining global competitiveness? (2009) J Bus Ethics, 87 (1), pp. 3-24; Husted, B.W., de Jesus Salazar, J., Taking Friedman seriously: Maximizing profits and social performance (2006) J Manage Stud, 43 (1), pp. 75-91; Husted, B.W., Allen, D.B., Corporate social strategy in multinational enterprises: Antecedents and value creation (2007) J Bus Ethics, 74 (4), pp. 345-361; Husted, B.W., Allen, D.B., Strategic corporate social responsibility and value creation among large firms (2007) Lessons from the Spanish Experience. Long Range Plan, 40 (6), pp. 594-610; Husted, B.W., Allen, D.B., (2010) Corporate Social Strategy: Stakeholder Engagement and Competitive Advantage, , Cambridge University Press; Husted, B.W., Jamali, D., Saffar, W., Near and dear? The role of location in CSR engagement (2016) Strateg Manag J, 37 (10), pp. 2050-2070; Jain, P., Vyas, V., Roy, A., Exploring the mediating role of intellectual capital and competitive advantage on the relation between CSR and financial performance in SMEs (2017) Social Responsibility Journal, 13 (1), pp. 1-23; Jenkin, T.A., Webster, J., McShane, L., An agenda for ‘Green’information technology and systems research (2011) Inf Organ, 21 (1), pp. 17-40; Jenkins, H., A ‘business opportunity’model of corporate social responsibility for small-and medium-sized enterprises (2009) Business Ethics: A European Review, 18 (1), pp. 21-36; Joo, J., Eom, M., Shin, M., Finding the missing link between corporate social responsibility and firm competitiveness through social capital: A business ecosystem perspective (2017) Sustainability, 9 (5), p. 707; Kacperczyk, A., With greater power comes greater responsibility? Takeover protection and corporate attention to stakeholders (2009) Strateg Manag J, 30 (3), pp. 261-285; Kirchoff, J.F., Koch, C., Satinover Nichols, B., Stakeholder perceptions of green marketing: The effect of demand and supply integration (2011) Int J Phys Distrib Logist Manag, 41 (7), pp. 684-696; Kim, K.H., Kim, M., Qian, C., Effects of corporate social responsibility on corporate financial performance: A competitive-action perspective (2018) J Manag, 44 (3), pp. 1097-1118; Klassen, R.D., Whybark, D.C., The impact of environmental technologies on manufacturing performance (1999) Acad Manag J, 42 (6), pp. 599-615; Lee, M.D.P., A review of the theories of corporate social responsibility: Its evolutionary path and the road ahead (2008) Int J Manag Rev, 10 (1), pp. 53-73; Lev, B., Petrovits, C., Radhakrishnan, S., Is doing good good for you? How corporate charitable contributions enhance revenue growth (2010) Strateg Manag J, 31 (2), pp. 182-200; López, M.V., Garcia, A., Rodriguez, L., Sustainable development and corporate performance: A study based on the Dow Jones sustainability index (2007) J Bus Ethics, 75 (3), pp. 285-300; Luo, X., Bhattacharya, C.B., Corporate social responsibility, customer satisfaction, and market value (2006) J Mark, 70 (4), pp. 1-18; Mackey, A., Mackey, T.B., Barney, J.B., Corporate social responsibility and firm performance: Investor preferences and corporate strategies (2007) Acad Manag Rev, 32 (3), pp. 817-835; Manaktola, K., Jauhari, V., Exploring consumer attitude and behaviour towards green practices in the lodging industry in India (2007) Int J Contemp Hosp Manag, 19 (5), pp. 364-377; Marin, L., Martín, P.J., Rubio, A., Doing good and different! The mediation effect of innovation and investment on the influence of CSR on competitiveness (2017) Corp Soc Responsib Environ Manag, 24 (2), pp. 159-171; Martinez-Conesa, I., Soto-Acosta, P., Palacios-Manzano, M., Corporate social responsibility and its effect on innovation and firm performance: An empirical research in SMEs (2017) J Clean Prod, 142, pp. 2374-2383; McWilliams, A., Siegel, D.S., Wright, P.M., Corporate social responsibility: Strategic implications (2006) J Manage Stud, 43 (1), pp. 1-18; McWilliams, A., Siegel, D.S., Creating and capturing value: Strategic corporate social responsibility, resource-based theory, and sustainable competitive advantage (2011) J Manag, 37 (5), pp. 1480-1495; Melo, T., Garrido-Morgado, A., Corporate reputation: A combination of social responsibility and industry (2012) Corp Soc Responsib Environ Manag, 19 (1), pp. 11-31; Menguc, B., Ozanne, L.K., Challenges of the “green imperative”: A natural resource-based approach to the environmental orientation–business performance relationship (2005) J Bus Res, 58 (4), pp. 430-438; Merigó, J.M., Gil-Lafuente, A.M., Yager, R.R., An overview of fuzzy research with bibliometric indicators (2015) Appl Soft Comput, 27, pp. 420-433; Miles, M.P., Covin, J.G., Environmental marketing: A source of reputational, competitive, and financial advantage (2000) J Bus Ethics, 23 (3), pp. 299-311; Murphy, D.D., (2006) The Structure of Regulatory Competition: Corporations and Public Policies in a Global Economy, , OUP Oxford University Press; Orlitzky, M., Schmidt, F.L., Rynes, S.L., Corporate social and financial performance: A meta-analysis (2003) Organ Stud, 24 (3), pp. 403-441; Orlitzky, M., Siegel, D.S., Waldman, D.A., Strategic corporate social responsibility and environmental sustainability (2011) Bus Soc, 50 (1), pp. 6-27; Perrini, F., Russo, A., Tencati, A., Vurro, C., Deconstructing the relationship between corporate social and financial performance (2011) J Bus Ethics, 102 (1), pp. 59-76; Porter, M.E., The competitive advantage of nations (1990) Competitive Intelligence Review, 1 (1), pp. 14-14; Porter, M.E., Kramer, M.R., The Competitive Advantage of Corporate Philanthropy (2002) Harv Bus Rev, 80, p. 56; Porter, M.E., Kramer, M.R., The link between competitive advantage and corporate social responsibility (2006) Harv Bus Rev, 84 (12), pp. 78-92; Rettab, B., Brik, A.B., Mellahi, K., A study of management perceptions of the impact of corporate social responsibility on organisational performance in emerging economies: The case of Dubai (2009) J Bus Ethics, 89 (3), pp. 371-390; Reuter, C., Foerstl, K.A.I., Hartmann, E.V.I., Blome, C., Sustainable global supplier management: The role of dynamic capabilities in achieving competitive advantage (2010) J Supply Chain Manag, 46 (2), pp. 45-63; Saeidi, S.P., Sofian, S., Saeidi, P., Saeidi, S.P., Saaeidi, S.A., How does corporate social responsibility contribute to firm financial performance? The mediating role of competitive advantage, reputation, and customer satisfaction (2015) J Bus Res, 68 (2), pp. 341-350; Sarkis, J., Zhu, Q., Lai, K.H., An organizational theoretic review of green supply chain management literature (2011) Int J Prod Econ, 130 (1), pp. 1-15; Sethi, S.P., Globalization and the good corporation: A need for proactive co-existence (2003) J Bus Ethics, 43 (1-2), pp. 21-31; Siegel, D.S., (2009) Green Management Matters Only If It Yields More Green: An Economic/Strategic Perspective. the Academy of Management Perspectives, pp. 5-16; Sun, L., Stuebs, M., Corporate social responsibility and firm productivity: Evidence from the chemical industry in the United States (2013) J Bus Ethics, 118 (2), pp. 251-263; Surroca, J., Tribó, J.A., Waddock, S., Corporate responsibility and financial performance: The role of intangible resources (2010) Strateg Manag J, 31 (5), pp. 463-490; Tang, Z., Hull, C.E., Rothenberg, S., How corporate social responsibility engagement strategy moderates the CSR–financial performance relationship (2012) J Manage Stud, 49 (7), pp. 1274-1303; Tate, W.L., Ellram, L.M., Kirchoff, J.F., Corporate social responsibility reports: A thematic analysis related to supply chain management (2010) J Supply Chain Manag, 46 (1), pp. 19-44; Thompson, J., Doherty, B., The diverse world of social enterprise: A collection of social enterprise stories (2006) Int J Soc Econ, 33 (5-6), pp. 361-375; Vachon, S., Mao, Z., Linking supply chain strength to sustainable development: A country-level analysis (2008) J Clean Prod, 16 (15), pp. 1552-1560; van Wassenhove, L.N., Blackett memorial lecturet humanitarian aid logistics: Supply chain (2006) Journal of the Operational Research Society, 57 (5), pp. 475-489; Velazquez-Cazares, M.G., Leon-Castro, E., Blanco-Mesa, F., Alvarado-Altamirano, S., (2019) The Ordered Weighted Average Corporate Social Responsibility, , Kybernetes; Vilanova, M., Lozano, J.M., Arenas, D., Exploring the nature of the relationship between CSR and competitiveness (2009) J Bus Ethics, 87 (1), pp. 57-69; Wagner, M., The link of environmental and economic performance: Drivers and limitations of sustainability integration (2015) J Bus Res, 68 (6), pp. 1306-1317; Weber, M., The business case for corporate social responsibility: A company-level measurement approach for CSR (2008) Eur Manag J, 26 (4), pp. 247-261; Werther, W.B., Chandler, D., Strategic corporate social responsibility as global brand insurance (2005) Bus Horiz, 48 (4), pp. 317-324; Windsor, D., Corporate social responsibility: Three key approaches (2006) J Manage Stud, 43 (1), pp. 93-114; Yu, H.C., Kuo, L., Kao, M.F., The relationship between CSR disclosure and competitive advantage (2017) Sustainability Accounting, Management and Policy Journal, 8 (5), pp. 547-570; Zhao, H., Zhang, F., Kwon, J., Corporate social responsibility research in international business journals: An author co-citation analysis (2018) Int Bus Rev, 27 (2), pp. 389-400; Zhao, Z., Meng, F., He, Y., Gu, Z., The Influence of Corporate Social Responsibility on Competitive Advantage with Multiple Mediations from Social Capital and Dynamic Capabilities (2019) Sustainability, 11 (1), p. 218; Zupic, I., Čater, T., Bibliometric methods in management and organization (2015) Organ Res Methods, 18 (3), pp. 429-472</t>
  </si>
  <si>
    <t>Velázquez-Cázares, M.G.; Universidad of Occidente, Blvd. Lola Beltrán s/n esq. Circuito Vial, Mexico; email: marlenne.velazquez@udo.mx</t>
  </si>
  <si>
    <t>2-s2.0-85128592745</t>
  </si>
  <si>
    <t>Ballardo-Cárdenas D., León-Castro E., Blanco-Mesa F., Martínez-Huerta R.</t>
  </si>
  <si>
    <t>57606447600;57200370619;57201261741;57607524100;</t>
  </si>
  <si>
    <t>A Bibliometric Analysis on Innovation Management Research</t>
  </si>
  <si>
    <t>10.1007/978-3-030-96150-3_17</t>
  </si>
  <si>
    <t>https://www.scopus.com/inward/record.uri?eid=2-s2.0-85128591593&amp;doi=10.1007%2f978-3-030-96150-3_17&amp;partnerID=40&amp;md5=b0152a54e8215f1db9bcfaedd2a5e8f5</t>
  </si>
  <si>
    <t>Universidad Autónoma de Occidente, Blvd. Lola Beltrán, Blvd. Rolando Arjona Amabilis y, 4 de Marzo, Culiacán Rosales, Sin., 80020, Mexico; Universidad Católica de la Santísima Concepción, Alonso de Ribera 2850, Concepción, Chile; Escuela de Administración de Empresas, Universidad Pedagógica y Tecnológica de Colombia, Av. Central del Norte, 39-115, Tunja, 150001, Colombia; Doctorado en Ciencias Administrativas, Universidad Autónoma de Occidente, Blvd. Rolando Arjona Amabilis y, Blvd. Lola Beltrán4 de Marzo, Culiacán Rosales, Sin., 80020, Mexico</t>
  </si>
  <si>
    <t>Ballardo-Cárdenas, D., Universidad Autónoma de Occidente, Blvd. Lola Beltrán, Blvd. Rolando Arjona Amabilis y, 4 de Marzo, Culiacán Rosales, Sin., 80020, Mexico; León-Castro, E., Universidad Católica de la Santísima Concepción, Alonso de Ribera 2850, Concepción, Chile; Blanco-Mesa, F., Escuela de Administración de Empresas, Universidad Pedagógica y Tecnológica de Colombia, Av. Central del Norte, 39-115, Tunja, 150001, Colombia; Martínez-Huerta, R., Doctorado en Ciencias Administrativas, Universidad Autónoma de Occidente, Blvd. Rolando Arjona Amabilis y, Blvd. Lola Beltrán4 de Marzo, Culiacán Rosales, Sin., 80020, Mexico</t>
  </si>
  <si>
    <t>This article aims to provide an analysis of the information on scientific research publications related to Innovation Management available on the Web of Science. For this, a bibliometric study of the publications of the Web of Science Core Collection database on Innovation Management is carried out. The study considers all the documents published during the period from 1982 to 2018. In the search, the type of document selected is by article, review, and note for researchers interested in the subject. The study graphically maps the bibliographic material by using the VOS viewer software, to provide a more in-depth analysis of data obtained from the search. The present work shows the analysis of data of the publications on Innovation management. Identify the leading publications, the most productive authors, the most productive countries, the most productive institutions, and analyze their evolution over time. The above are some of the data obtained in the analysis. Therefore, the results of the bibliometric study show that Innovation Management remains a topic of interest in research, presents significant development of the journal over time, and provides a synthesis of research for new researchers. © 2022, The Author(s), under exclusive license to Springer Nature Switzerland AG.</t>
  </si>
  <si>
    <t>Bibliometric analysis; Innovation management; VOS viewer visualization</t>
  </si>
  <si>
    <t>Bilton, C., Cummings, S., (2010) Creative Strategy: Reconnecting Business and Innovation, , John Wiley &amp; Sons, Chichester; Damanpour, F., The adoption of technological, administrative, and ancillary innovations: Impact of organizational factors (1987) J Manage, 13 (4), pp. 675-688; Kim, D.-Y., Kumar, V., Kumar, U., Relationship between quality management practices and innovation (2012) J Oper Manage, 30 (4), pp. 295-315; Weerawardena, J., The role of marketing capability in innovation based competitive strategy (2003) J Strateg Mark, 11 (1), pp. 15-36; Tomala, F., Séméchal, O., Innovation management: A synthesis of academic and industrial points of view (2004) Int J Project Manage, 22 (2), pp. 281-287; Lawson, B., Samson, D., Developing innovation capability in organisations: A dynamic capabilities approach (2001) Int J Innovation Manage, 5 (3), pp. 377-400; Santos, J., Zawislak, P., Franzoni, G., Vieira, H., Buscando un camino: Un estudio bibliométrico sobre innovación y capacidades tecnológicas (2015) Revista Internacional De Innovación-IJI, 3 (2), pp. 54-66. , https://doi.org/10.5585/iji.v3i2.58; Yam, R.C., Guan, J.C., Pun, K.F., Tang, E.P., An audit of technological innovation capabilities in Chinese firms: Some empirical findings in Beijing, China (2004) Res Policy, 33 (8), pp. 1123-1140; Damanpour, F., Organizational innovation: A meta-analysis of effects of determinants and moderators (1991) Acad Manage J, 34, pp. 555-590; Damanpour, F., Evan, W.M., Organizational innovation and performance: the problem of organizational lag (1984) Adm Sci Q, 29, pp. 392-409; Damanpour, F., Szabat, K.A., Evan, W.M., The relationship between types of innovation and organizational performance (1989) J Manage Stud, 26 (6), pp. 587-601; Battisti, G., Stoneman, P., How innovative are UK firms? Evidence from the fourth UK community innovation survey on synergies between technological and organizational innovations (2010) Br J Manage, 21, pp. 187-206; Damanpour, F., Aravind, D., Managerial innovation: Conceptions, processes, and antecedents (2011) Manage Org Rev; Damanpour, F., Footnotes to research on management innovation (2014) Organ Stud, 35, pp. 1265-1285; Hervas-Oliver, J.L., Sempere-Ripoll, F., Boronat-Moll, C., Rojas, R., Technological innovation without R&amp;D: Unfolding the extra gains of management innovations on technological performance (2015) Technol Anal Strat Manage, 27 (1), pp. 19-38; Hervas-Oliver, J., Ripoll-Sempere, F., Moll, C., (2016) ¿Beneficia La innovación De La gestión En Las PYME? Evidencia empírica Para Las PYMES españolas. Small Bus Econ, pp. 507-533; Hervas-Oliver, F.-R., Boronat-Moll, C., Rojas-Alvarado, R., On the joint effect of technological and management innovations on performance: increasing or diminishing returns? (2018) Technol Anal Strat Manage, 30 (5), pp. 569-581; Volberda, H.W., Frans, V.D., Bosch, A.J., Mihalache, O.R., (2014) Advancing Management Innovation: Synthesizing Processes. Levels Anal Change Agents Org Stud 2014(35), p. 1245; Volberda, H.W., Bosch, D., Van, F., A. J., &amp; Heij, Cornelis V (2013) Management Innovation: Management as Fertile Ground for Innovation. Eur Manage Rev, 10 (1), pp. 1-15; Wang, W., Laengle, S., Merigó, J.M., Yu, D., Herrera-Viedma, E., Cobo, M.J., Bouchon-Meunier, B., A bibliometric analysis of the first twenty-five years of the international journal of uncertainty, fuzziness and knowledge based systems (2018) Int J Uncertain Fuzz Knowl Based Syst, 26, pp. 169-193; Merigo, J.M., Yang, J.B., A bibliometric analysis of operations research and management science (2017) Omega-Int J Manage Sci, 73, pp. 37-48; de Solla Price, D.J., Networks of science papers (1965) Science, 149 (3683), pp. 510-155; Small, H., Co-citation in the relationship between two documents (1973) J am Soc Inf Sci, 24, pp. 256-269; Small, H., Emerging research fronts in science and technology: Patterns of new knowledge development (2010) Scientometrics, 83, pp. 15-38; Kessler, M.M., Bibliographic coupling between scientific papers (1963) Am Doc, 14 (1), pp. 10-25; White, H.D., Griffith, B., Author co-citation: A literature Measure of Intellectual structure (1981) J am Soc Inf Sci, 32 (3), pp. 163-172; Glänzel, W., National characteristics in international scientific co-authorship relations (2001) Scientometrics, 51, pp. 69-115; van Eck, N.J., Waltman, L., Software survey: VOSviewer, a computer program for bibliometric mapping (2010) Scientometrics, 84 (2), pp. 523-538. , https://doi.org/10.1007/s11192-009-0146-3; Blanco-Mesa, F., Merigó, J.M., Gil-Lafuente, A.M., Fuzzy decision making: A bibliometric-based review (2017) J Intell Fuzzy Syst, 32 (3), pp. 2033-2050. , https://doi.org/10.3233/JIFS-161640; A research agenda on open innovation and entrepreneurship: A co-word analysis (2018) Admin Sci, 8 (3), p. 34; Caputo, A., Marzi, G., Pellegrini, M.M., Rialti, R., Conflict management in family businesses: A bibliometric analysis and systematic literature review (2018) Int J Confl Manage, 29 (4), pp. 519-542; Blanco-Mesa, F., León-Castro, E., Merigó, J.M., A bibliometric analysis of aggregation operators (2019) Appl Soft Comput, 105. , https://doi.org/10.1016/j.asoc.2019.105488; Rey-Martí, A., Ribeiro-Soriano, D., Palacios-Marqués, D., A bibliometric analysis of social entrepreneurship (2016) J Bus Res, 69 (5), pp. 1651-1655. , https://doi.org/10.1016/j.jbusres.2015.10.033; Soosaraei, M., Khasseh, A.A., Fakhar, M., Hezarjaribi, H.Z., A decade bibliometric analysis of global research on leishmaniasis in Web of Science database (2018) Ann Med Surg, 26, pp. 30-37. , https://doi.org/10.1016/j.amsu.2017.12.014; van Nunen, K., Li, J., Reniers, G., Ponnet, K., Bibliometric analysis of safety culture research (2018) Saf Sci, 108, pp. 248-258. , https://doi.org/10.1016/j.ssci.2017.08.011; Calantone, R.J., Cavusgil, S.T., Zhao, Y., Learning orientation, firm innovation capability, and firm performance (2002) Ind Mark Manage, 31 (6), pp. 515-524; Teece, D.J., Business models, business strategy and innovation (2010) Long Range Plan, 43 (2-3), pp. 172-194; Chen, C.C., Greene, P.G., Crick, A., Does entrepreneurial self-efficacy distinguish entrepreneurs from managers? (1998) J Bus Ventur, 13 (4), pp. 295-316; Huizingh, E.K., Open innovation: State of the art and future perspectives (2011) Technovation, 31 (1), pp. 2-9; Anderson, N., Potočnik, K., Zhou, J., Innovation and creativity in organizations: A state-of-the-science review, prospective commentary, and guiding framework (2014) J Manage, 40 (5), pp. 1297-1333; Sivadas, E., Dwyer, F.R., An examination of organizational factors influencing new product success in internal and alliance-based processes (2000) J Mark, 64 (1), pp. 31-49; Hobday, M., Product complexity, innovation and industrial organisation (1998) Res Policy, 26 (6), pp. 689-710; Adams, R., Bessant, J., Phelps, R., Innovation management measurement: A review (2006) Int J Manag Rev, 8 (1), pp. 21-47; Lin, H.F., Knowledge sharing and firm innovation capability: An empirical study (2007) Int J Manpow, 28 (3-4), pp. 315-332; Romijn, H., Albaladejo, M., Determinants of innovation capability in small electronics and software firms in southeast England (2002) Res Policy, 31 (7), pp. 1053-1067; Lilien, G.L., Morrison, P.D., Searls, K., Sonnack, M., Hippel, E.V., Performance assessment of the lead user idea-generation process for new product development (2002) Manage Sci, 48 (8), pp. 1042-1059; West, J., Bogers, M., Leveraging external sources of innovation: A review of research on open innovation (2014) J Prod Innov Manage, 31 (4), pp. 814-831; Hargrave, T.J., van de Ven, A.H., A collective action model of institutional innovation (2006) Acad Manage Rev, 31 (4), pp. 864-888; Tidd, J., Innovation management in context: Environment, organization and performance (2001) Int J Manage Rev, 3 (3), pp. 169-183; Chiesa, V., Coughlan, P., Voss, C.A., Development of a technical innovation audit (1996) J Prod Innov Manage Int Publ Prod Dev Manage Assoc, 13 (2), pp. 105-136; Sawhney, M., Prandelli, E., Communities of creation: Managing distributed innovation in turbulent markets (2000) Calif Manage Rev, 42 (4), pp. 24-54; Faraj, S., Jarvenpaa, S.L., Majchrzak, A., Knowledge collaboration in online communities (2011) Organ Sci, 22 (5), pp. 1224-1239; Keupp, M.M., Gassmann, O., The past and the future of international entrepreneurship: A review and suggestions for developing the field (2009) J Manage, 35 (3), pp. 600-633; Verganti, R., Design, meanings, and radical innovation: A metamodel and a research agenda (2008) J Prod Innov Manage, 25 (5), pp. 436-456; Klerkx, L., Aarts, N., Leeuwis, C., Adaptive management in agricultural innovation systems: The interactions between innovation networks and their environment (2010) Agric Syst, 103 (6), pp. 390-400; Guan, J., Ma, N., Innovative capability and export performance of Chinese firms (2003) Technovation, 23 (9), pp. 737-747; Den Hertog, P., van der Aa, W., de Jong, M.W., Capabilities for managing service innovation: Towards a conceptual framework (2010) J Serv Manage, 21 (4), pp. 490-514; Terziovski, M., Innovation practice and its performance implications in small and medium enterprises (SMEs) in the manufacturing sector: A resource-based view (2010) Strateg Manage J, 31 (8), pp. 892-902; Yoo, Y., Boland, R.J., Lyytinen, K., Majchrzak, A., Organizing for innovation in the digitized world (2012) Organ Sci, 23 (5), pp. 1398-1408; Tatikonda, M.V., Rosenthal, S.R., Successful execution of product development projects: Balancing firmness and flexibility in the innovation process (2000) J Oper Manage, 18 (4), pp. 401-425; Weber, K.M., Rohracher, H., Legitimizing research, technology and innovation policies for transformative change: Combining insights from innovation systems and multi-level perspective in a comprehensive ‘failures’ framework (2012) Res Policy, 41 (6), pp. 1037-1047; Peng, D.X., Schroeder, R.G., Shah, R., Linking routines to operations capabilities: A new perspective (2008) J Oper Manag, 26 (6), pp. 730-748; Siguaw, J.A., Simpson, P.M., Enz, C.A., Conceptualizing innovation orientation: A framework for study and integration of innovation research (2006) J Prod Innov Manage, 23 (6), pp. 556-574; Toivonen, M., Tuominen, T., Emergence of innovations in services (2009) Serv Ind J, 29 (7), pp. 887-902; Francis, D., Bessant, J., Targeting innovation and implications for capability development (2005) Technovation, 25 (3), pp. 171-183; Liao, S.H., Fei, W.C., Chen, C.C., Knowledge sharing, absorptive capacity, and innovation capability: An empirical study of Taiwan’s knowledge-intensive industries (2007) J Inf Sci, 33 (3), pp. 340-359; Fuchs, C., Schreier, M., Customer empowerment in new product development (2011) J Prod Innov Manage, 28 (1), pp. 17-32; Prajogo, D.I., Ahmed, P.K., Relationships between innovation stimulus, innovation capacity, and innovation performance (2006) R&amp;D Manage, 36 (5), pp. 499-515; Wolff, J.A., Pett, T.L., Small-firm performance: modeling the role of product and process improvements (2006) J Small Bus Manage, 44 (2), pp. 268-284; Flatten, T.C., Engelen, A., Zahra, S.A., Brettel, M., A measure of absorptive capacity: Scale development and validation (2011) Eur Manage J, 29 (2), pp. 98-116; Zaglia, M.E., Brand communities embedded in social networks (2013) J Bus Res, 66 (2), pp. 216-223; Schiederig, T., Tietze, F., Herstatt, C., Green innovation in technology and innovation management–an exploratory literature review (2012) R&amp;D Manage, 42 (2), pp. 180-192; Bledow, R., Frese, M., Anderson, N., Erez, M., Farr, J., A dialectic perspective on innovation: Conflicting demands, multiple pathways, and ambidexterity (2009) Ind Organ Psychol, 2 (3), pp. 305-337; Altenburg, T., Schmitz, H., Stamm, A., Breakthrough? China’s and India’s transition from production to innovation (2008) World Dev, 36 (2), pp. 325-344; Oke, A., Innovation types and innovation management practices in service companies (2007) Int J Oper Prod Manage, 27 (6), pp. 564-587; Chiaroni, D., Chiesa, V., Frattini, F., The open innovation journey: How firms dynamically implement the emerging innovation management paradigm (2011) Technovation, 31 (1), pp. 34-43; Brem, A., Voigt, K.I., Integration of market pull and technology push in the corporate front end and innovation management—insights from the German software industry (2009) Technovation, 29 (5), pp. 351-367; Baker, W.E., Sinkula, J.M., Market orientation and the new product paradox (2005) J Prod Innov Manage, 22 (6), pp. 483-502; Ebner, W., Leimeister, J.M., Krcmar, H., Community engineering for innovations: The ideas competition as a method to nurture a virtual community for innovations (2009) R&amp;D Manage, 39 (4), pp. 342-356; Cormican, K., O’Sullivan, D., Auditing best practice for effective product innovation management (2004) Technovation, 24 (10), pp. 819-829</t>
  </si>
  <si>
    <t>Ballardo-Cárdenas, D.; Universidad Autónoma de Occidente, Blvd. Lola Beltrán, Blvd. Rolando Arjona Amabilis y, 4 de Marzo, Mexico; email: denisse.ballardo@uadeo.mx</t>
  </si>
  <si>
    <t>2-s2.0-85128591593</t>
  </si>
  <si>
    <t>Bastidas-Chalán R., Mantilla-Morales G., Samaniego-Salcán O., Coronel-Guerrero C., Andrade-Salazar M., Nuñez-Agurto D., Benavides-Astudillo E.</t>
  </si>
  <si>
    <t>57221979198;57581738400;57581729000;57581738500;57581745800;57217205000;57581705800;</t>
  </si>
  <si>
    <t>Inferential Statistical Analysis in E-Learning University Education in Latin America in Times of COVID-19</t>
  </si>
  <si>
    <t>1535 CCIS</t>
  </si>
  <si>
    <t>10.1007/978-3-031-03884-6_7</t>
  </si>
  <si>
    <t>https://www.scopus.com/inward/record.uri?eid=2-s2.0-85128491881&amp;doi=10.1007%2f978-3-031-03884-6_7&amp;partnerID=40&amp;md5=81ec19632d02637c0de64618bbe2b53f</t>
  </si>
  <si>
    <t>Departamento de Ciencias Exactas, Universidad de las Fuerzas Armadas ESPE. Sede Santo Domingo, Vía Santo Domingo-Quevedo km 24, Santo Domingo de los Tsáchilas, Ecuador; Instituto Superior Tecnológico Japón, Av. Galápagos y Cuenca, Santo Domingo de los Tsáchilas, Ecuador; Departamento de Ciencias de la Computación, Universidad de las Fuerzas Armadas ESPE. Sede Santo Domingo, Vía Santo Domingo-Quevedo km 24, Santo Domingo de los Tsáchilas, Ecuador</t>
  </si>
  <si>
    <t>Bastidas-Chalán, R., Departamento de Ciencias Exactas, Universidad de las Fuerzas Armadas ESPE. Sede Santo Domingo, Vía Santo Domingo-Quevedo km 24, Santo Domingo de los Tsáchilas, Ecuador; Mantilla-Morales, G., Departamento de Ciencias Exactas, Universidad de las Fuerzas Armadas ESPE. Sede Santo Domingo, Vía Santo Domingo-Quevedo km 24, Santo Domingo de los Tsáchilas, Ecuador; Samaniego-Salcán, O., Instituto Superior Tecnológico Japón, Av. Galápagos y Cuenca, Santo Domingo de los Tsáchilas, Ecuador; Coronel-Guerrero, C., Departamento de Ciencias de la Computación, Universidad de las Fuerzas Armadas ESPE. Sede Santo Domingo, Vía Santo Domingo-Quevedo km 24, Santo Domingo de los Tsáchilas, Ecuador; Andrade-Salazar, M., Departamento de Ciencias de la Computación, Universidad de las Fuerzas Armadas ESPE. Sede Santo Domingo, Vía Santo Domingo-Quevedo km 24, Santo Domingo de los Tsáchilas, Ecuador; Nuñez-Agurto, D., Departamento de Ciencias de la Computación, Universidad de las Fuerzas Armadas ESPE. Sede Santo Domingo, Vía Santo Domingo-Quevedo km 24, Santo Domingo de los Tsáchilas, Ecuador; Benavides-Astudillo, E., Departamento de Ciencias de la Computación, Universidad de las Fuerzas Armadas ESPE. Sede Santo Domingo, Vía Santo Domingo-Quevedo km 24, Santo Domingo de los Tsáchilas, Ecuador</t>
  </si>
  <si>
    <t>Since the appearance of COVID-19, the teaching-learning processes in higher education have changed. This article shows a focus on university education and e-learning, performing a statistical analysis on university students in Ecuador, obtaining significant evidence that the use of ICTs improves academic performance in the subject of statistics. In the first case, two third semester courses are taken, the experimental group is made up of 23 students, to which e-learning is applied and an application developed in Scilab that shows the resolution process for descriptive and inferential statistics; while the control group is made up of 14 students, in which only e-learning and traditional teaching are used. In the second case, 2 courses are taken, the first is formed by 14 students and the second by 22 students, using e-learning and traditional teaching. First, the Shapiro Test is used to determine if the population has a normal distribution, then the Student’s T test is applied in the hypothesis test of difference of means to determine if academic performance is improved with the use of ICTs. Finally, for α= 0.05, it is verified that the developed application improves academic performance. Another important finding is that only using traditional teaching with e-learning does not significantly change academic performance. © 2022, Springer Nature Switzerland AG.</t>
  </si>
  <si>
    <t>E-learning; Inferential statistical analysis; Scilab</t>
  </si>
  <si>
    <t>E-learning; Normal distribution; Statistics; Teaching; Academic performance; E - learning; Ecuador; High educations; Inferential statistical analyse; Latin America; Scilab; Teaching-learning process; University education; University students; Students</t>
  </si>
  <si>
    <t>Bermúdez, F., Fueyo, A., Transformando la docencia: Usos de las plataformas de e-learning en la educación superior presencial (2018) Revista Mediterránea De Comunicación, 9 (2), pp. 259-274; Pontoriero, F., E-learning en la educación superior argentina-Modelo de evaluación de calidad a partir del aporte de referentes clave (2021) Virtualidad, Educación Y Ciencia, 12 (22), pp. 22-45; Estrada, O., Fuentes, D., García, A., El engagement en la educación virtual: Expe-riencias durante la pandemia COVID-19 (2021) Texto Livre: Linguagem E Tecnologia, 14 (2); Mascaró, E.A., Moretta, J., Las tic y el e-learning en el proceso de enseñanza aprendizaje de los estudiantes universitarios (2021) Revista Científica Especialidades Odon-tológicas UG, 4 (2); Cóndor, O., Educar en tiempos de COVID-19 (2020) CienciAmérica, 9 (2), pp. 31-37; Paredes, A., González, Inciarte (2020) A., Walles, D.: Educación Superior E investigación En Latinoamérica: Transición Al Uso De tecnologías Digitales Por Covid-19. Revista De Ciencias Sociales, 26 (3), pp. 98-117; Astudillo, M., Chévez, F., Oviedo, Y., La exclusión social y las Tecnologías de la Información y la Comunicación: Una visión estadística de su relación en la educación superior (2020) Liminar, 18 (1), pp. 177-193; Pacheco, D., Martínez, M., Percepciones de la incursión de las TIC en la enseñanza superior en Ecuador (2020) Estudios pedagógicos (Valdivia), 47 (2), pp. 99-116; Flores, P., Comparación de la eficiencia de las pruebas de hipótesis e intervalos de confianza en el proceso de inferencia. Estudio sobre medias (2018) Revista De Ciencias, 22 (2), pp. 65-85; López, M., Impacto de las tecnologías de la información y la comunicación (TIC) en el docente universitario: El caso de la Universidad de Guadalajara (2013) Perspectiva Educacional, 52 (2), pp. 4-34; Ocaña, Y., Valenzuela, A., Gálvez, E., Aguinaga, D., Nieto, J., López, T., Gestión del conocimiento y tecnologías de la información y comunicación (TICs) en estudiantes de ingeniería mecánica (2020) Apuntes Universitarios. Revista De Investigación, 10 (1), pp. 77-88; Rué, J., Definir un entorno virtual para la enseñanza y aprendizaje (EPA), criterios y enseñanzas (2020) Cuaderno De Pedagogía Universitaria, 17 (34), pp. 5-18; Mendoza, H., Burbano, V., Valdivieso, M., El rol del docente de matemáticas en educación virtual universitaria. Un estudio en la Universidad Pedagógica y Tecnológica de Colombia (2019) Formación Universitaria, 12 (5), pp. 51-60; Cabanillas, J., Catarreira, S., Luengo, R., Diferencias entre alumnado y profesorado en la valoración del uso de una plataforma virtual para la enseñanza y aprendizaje de las matemáticas (2020) New Trends Qual. Res., 2 (5), pp. 378-389; Muerza, V., Metodología de enseñanza-aprendizaje de Estadística: Caso de adaptación durante la covid-19 (2020) 4Th International Virtual Conference on Educational Research and Innovation, pp. 253-254. , Spain, pp; Valencia, F., Guevara, C., Uso de las TIC en procesos de aprendizaje de matemática, en estudiantes de básica superior (2020) Dominio De Las Ciencias, 6 (3), pp. 157-176; Hernández, C., Teaching perspectives in teachers who integrate a mathematics network: Perceptions about the integration of ICT and the ways of teaching (2020) Revista Virtual Universidad Católica Del Norte, 1 (61), pp. 19-41; Limache, E., Choque, C., Piaggio, M., La gestión de la información en el aprendizaje de la estadística (2020) Conrado, 16 (72), pp. 222-233; Mejía, G., La aplicación de las TIC en los procesos de enseñanza-aprendizaje en estudiantes de nivel medio superior en Tepic, Nayarit (2020) Revista Iberoamericana Para La Investigación Y El Desarrollo Educativo, 11 (21); Molina, C., Salazar, I., Uso de herramientas TIC en investigación científica de los estudiantes de administración en la UNAS-Tingo María (2021) Investigación Y Amazonía, 8 (5), pp. 40-47</t>
  </si>
  <si>
    <t>Bastidas-Chalán, R.; Departamento de Ciencias Exactas, Vía Santo Domingo-Quevedo km 24, Ecuador; email: rvbastidas@espe.edu.ec</t>
  </si>
  <si>
    <t>Botto-Tobar M.Montes Leon S.Torres-Carrion P.Zambrano Vizuete M.Durakovic B.</t>
  </si>
  <si>
    <t>3rd International Conference on Applied Technologies, ICAT 2021</t>
  </si>
  <si>
    <t>27 October 2021 through 29 October 2021</t>
  </si>
  <si>
    <t>2-s2.0-85128491881</t>
  </si>
  <si>
    <t>López-López W., Ossa J.C., Cudina J.N., Bustamante M.C.A., Torres M., Acevedo-Triana C., Salas G.</t>
  </si>
  <si>
    <t>57215221073;46661918600;57191329662;36809104000;57213829199;56167380700;55803085900;</t>
  </si>
  <si>
    <t>Analysis of production and collaboration networks in doctoral programs in psychology in Colombia [Análisis de la producción y redes de colaboración en los programas de doctorado en psicología en Colombia]</t>
  </si>
  <si>
    <t>Acta Colombiana de Psicologia</t>
  </si>
  <si>
    <t>https://www.scopus.com/inward/record.uri?eid=2-s2.0-85128300849&amp;doi=10.14718%2fACP.2022.25.1.11&amp;partnerID=40&amp;md5=79ca342eb015cc1bf59c9e7aeadff09e</t>
  </si>
  <si>
    <t>Pontificia Universidad Javeriana, Bogotá, Colombia; Fundación Universitaria de Popayán, Popayán, Colombia; Fundación Universitaria Lumen Gentium, Cali, Colombia; Universidad Católica de Colombia, Bogotá, Colombia; Universidad Pedagógica y Tecnológica de Colombia, Boyacá, Tunja, Colombia; Universidad Pedagógica y Tecnológica de Colombia, Colombia; Universidad Católica del Maule, Talca, Chile</t>
  </si>
  <si>
    <t>López-López, W., Pontificia Universidad Javeriana, Bogotá, Colombia; Ossa, J.C., Fundación Universitaria de Popayán, Popayán, Colombia; Cudina, J.N., Fundación Universitaria Lumen Gentium, Cali, Colombia; Bustamante, M.C.A., Universidad Católica de Colombia, Bogotá, Colombia; Torres, M., Universidad Pedagógica y Tecnológica de Colombia, Boyacá, Tunja, Colombia; Acevedo-Triana, C., Universidad Pedagógica y Tecnológica de Colombia, Colombia; Salas, G., Universidad Católica del Maule, Talca, Chile</t>
  </si>
  <si>
    <t>The objective of doctoral training is the generation and dissemination of new knowledge; however, it is not clear how doctoral programs in Colombia relate to this type of production. Based on this, this study presents the general panorama of academic production across Colombian higher education institutions that offer doctoral training programs in psychology. The academic production was obtained from the Scopus database in a sample of 13 universities. After this search, 1345 documents were found with which an analysis was made regarding productivity indicators and the collaboration networks within the discipline in the country were identified. Subsequently, this information was contrasted with the national information registered in the Latin American and Caribbean Curriculum Vitae system (CvLAC) of 193 professors associated with the universities offering doctoral programs. As a result, when comparing national and international academic production, a greater correlation is found between the supervision of graduate theses and publication in national journals. In this sen-se, it is found that the impact of doctoral training on the generation of new knowledge is relative and has a limited scope, being mainly national journals the means of dissemination of this knowledge. It is recommended to evaluate the impact of products associated with postgraduate training and international visibility, with emphasis on indexed journals in international databases. Keywords. © 2022, Universidad Catolica de Colombia. All rights reserved.</t>
  </si>
  <si>
    <t>academic production; Colombia; doctoral training programs</t>
  </si>
  <si>
    <t>Abdill, R. J., Adamowicz, E. M., Blekhman, R., International authorship and collaboration across bior-xiv preprints (2020) ELife, 9, pp. 1-17. , https://doi.org/10.7554/eLife.58496; Abramo, G., Cicero, T., D’Angelo, C. A., Assessing the varying level of impact measurement accuracy as a function of the citation window length (2011) Journal of Informetrics, 5 (4), pp. 659-667. , https://doi.org/10.1016/j.joi.2011.06.004; Acevedo-Triana, C., Torres, M., Aguilar-Bustamante, M. C., Hurtado-Parrado, C., Silva, L. M., López-López, W., Productivity analysis and impact of colombian psychology journals between 2000 and 2016 (2018) Revista Latinoamericana de Psicologia, 50 (3), pp. 145-159. , https://doi.org/10.14349/rlp.2018.v50.n3.2; Aguado-López, E., Becerril-García, A., Aguilar Bustamante, M., Universitas Psychologica: un camino hacia la internacionalización (2016) Universitas Psychologica, 15 (2), pp. 321-338. , https://doi.org/10.11144/Javeriana.upsy15-2.upci; Aguado-López, E., López-López, W., Becerril-García, A., Salas, G., Patrones de Internacionalización en Psicología desde la revista Interamericana de Psicología (2017) Revista Interamericana de Psicología, 51 (3), pp. 268-281. , https://journal.sipsych.org/index.php/IJP/article/view/897/pdf; Aguado-López, E., Rogel-Salazar, R., Garduño-Oropeza, G., Becerril-García, A., Zúñiga-Roca, M. F., Velázquez-Álvarez, A., Patrones de colaboración científica a partir de redes de coautoría (2009) Convergencia Revista de Ciencias Sociales, 16, pp. 225-258. , https://www.redalyc.org/pdf/105/10512244010.pdf; Aguilar Bustamante, M. C., La necesa-ria discusión sobre las consecuencias de la Cienciometría sobre la construcción de las políticas de Ciencia y Tecnología (2018) Diversitas, 14 (1), pp. 11-12. , https://revistas.usantotomas.edu.co/index.php/diversitas/article/view/4461; Aguilar Bustamante, M. C., Aguado López, E., Diversitas: Perspectivas en Psicología. Un camino de calidad y visibilidad de la disciplina para Colombia y el mundo (2018) Diversitas, 14 (1), pp. 163-186. , https://doi.org/10.15332/s1794-9998.2018.0001.12; Alperin, J. P., South America: Citation databases omit local journals (2014) Nature, 511 (7508), pp. 155-155. , https://doi.org/10.1038/511155c; Alperin, J. P., Geographic variation in social media metrics: an analysis of Latin American journal articles (2015) Aslib Journal of Information Management, 67 (3), pp. 289-304. , https://doi.org/10.1108/AJIM-12-2014-0176; Alperin, J. P., Rozemblum, C., La reinterpretación de visibilidad y calidad en las nuevas políticas de eva-luación de revistas científicas (2017) Revista Interamericana de Bibliotecología, 40 (3), pp. 231-241. , https://doi.org/10.17533/udea.rib.v40n3a04; Alperin, J. P., Babini, D., Chan, L., Gray, E., Guédon, J.-C., Joseph, H., Rodrigues, E., Vessuri, H., Open Access in Latin America: a Paragon for the Rest of the World (2015) The Winnower, , https://www.academia.edu/45326154/Open_Access_in_Latin_America_a_Paragon_for_the_Rest_of_the_World; Alzate Medina, G. M., Efectos de la acreditación en el mejoramiento de la calidad de los programas de psicología de Colombia (2008) Universitas Psychologica, 7 (2), pp. 425-439. , https://revistas.javeriana.edu.co/index.php/revPsycho/article/view/425; Ana, J., Koehlmoos, T., Smith, R., Yan, L. L., Research Misconduct in Low-and Middle-Income Countries (2013) PLoS Medicine, 10 (3), pp. 1-6. , https://doi.org/10.1371/journal.pmed.1001315; Ardila, R., (2019) Historia de la Psicología en Colombia, , (2. ª ed). Manual Moderno; Armayones Ruiz, M., Boixadós, M., Gómez Zúñiga, B., Guillamón, N., Hernández, E., Nieto, R., Pousada, M., Sara, B., Psicología 2.0: oportunidades y retos para el profesional de la psicología en el ámbito de la sa-lud (2015) Papeles del Psicólogo, 36 (2), pp. 153-160. , http://www.papelesdelpsicologo.es/pdf/2571.pdf; Ávila-Toscano, J. H., Marenco-Escuderos, A. D., Romero-Pérez, I. K., Redes de cooperación entre autores e instituciones en Ciencias Sociales dentro del modelo científico colombiano: comparación por género y área del conocimiento (2019) Revista General de Información y Documentación, 29 (1), pp. 209-227. , https://doi.org/10.5209/rgid.64545; Ávila-Toscano, J. H., Rambal-Rivaldo, L. I., Producción científica de investigadores de psicología del sistema científico colombiano según su clasificación y sexo (2020) Avances en Psicología Latinoamericana, 38 (3), pp. 1-14. , https://doi.org/10.12804/revistas.urosario.edu.co/apl/a.8133; Ávila-Toscano, J. H., Marenco-Escuderos, A., Madariaga-Orozco, C., Indicadores bibliomé-tricos, redes de coautorías y colaboración institucio-nal en revistas colombianas de psicología (2013) Avances en Psicología Latinoamericana, 32 (1), pp. 167-182. , https://doi.org/10.12804/apl32.1.2014.12; Ávila-Toscano, J. H., Marenco-Escuderos, A., Orozco, C. M., Indicadores bibliométricos, Redes de Coautorías y colaboración institucional en revistas Colombianas de psicología (2014) Avances en Psicología Latinoamericana, 32, pp. 167-182. , https://doi.org/10.12804/apl32.1.2014.12; Ayodele, F. O., Yao, L., Haron, H., Promoting Ethics and Integrity in Management Academic Research: Retraction Initiative (2019) Science and Engineering Ethics, 25 (2), pp. 357-382. , https://doi.org/10.1007/s11948-017-9941-z; Bajwa, N., ul, H., König, C. J., How much is research in the top journals of industrial/organiza-tional psychology dominated by authors from the U.S.? (2019) Scientometrics, 120 (3), pp. 1147-1161. , https://doi.org/10.1007/s11192-019-03180-2; (2021) Datos de libre acceso del Banco Mundial, , https://datos.bancomundial.org; Barbosa, J., Barbosa, J., Rodríguez, M., Revisión y análisis documental para estado del arte: una propuesta metodológica desde el contexto de la sistematización de experiencias educativas (2013) Investigación Bibliotecológica, 27 (61), pp. 83-105. , http://www.scielo.org.mx/pdf/ib/v27n61/v27n61a5.pdf; Bautista-Puig, N., Lopez-Illescas, C., de Moya-Anegon, F., Guerrero-Bote, V., Moed, H., Do journals flipping to gold open access show an OA citation or publication advantage? (2020) Scientometrics, 124 (3), pp. 2551-2575. , https://doi.org/10.1007/s11192-020-03546-x; Benavente, J. M., Crespi, G., Figal Garone, L., Maffioli, A., The impact of national research funds: A regres-sion discontinuity approach to the Chilean FONDECYT (2012) Research Policy, 41 (8), pp. 1461-1475. , https://doi.org/10.1016/J.RESPOL.2012.04.007; Bornmann, L., Mutz, R., Haunschild, R., de Moya-Anegon, F., Clemente, M., Stefaner, M., (2021) Mapping the impact of papers on various status groups: A new excellence mapping tool based on citation and reader scores, , https://arxiv.org/abs/2103.10225v1, de A. M; Bozeman, B., Corley, E., Scientists’ collaboration strategies: implications for scientific and technical human capital (2004) Research Policy, 33 (4), pp. 599-616. , https://doi.org/10.1016/j.respol.2004.01.008; Bucheli, V., Díaz, A., Calderón, J. P., Lemoine, P., Valdivia, J. A., Villaveces, J. L., Zarama, R., Growth of scientific production in Colombian universities: An in-tellectual capital-based approach (2012) Scientometrics, 91 (2), pp. 369-382. , https://doi.org/10.1007/s11192-012-0627-7; Bustos-González, A., Tránsito de universidad do-cente a universidad de investigación. ¿Un problema de información académica, de taxonomías o de rankings universitarios? (2019) El Profesional de La Información, 28 (4), pp. 1-13. , https://doi.org/10.3145/epi.2019.jul.22; Brown, P., Green, A., Lauder, H., (2001) Globalization, Competitiveness, and Skill Formation, , Oxford University Press; Calderón-Prada, S., Cuartas-Arias, J. M., Visibilización de la producción académico-investiga-tiva en psicología y “glocalización” de las capacida-des productivas de la psicología en Colombia (2012) Revista Colombiana de Psicologia, 21 (1), pp. 125-149. , https://revistas.unal.edu.co/index.php/psicologia/article/download/31036/31106/112399; Carlsson, B., Internationalization of innovation sys-tems: A survey of the literature (2006) Research Policy, 35 (1), pp. 56-67. , https://doi.org/10.1016/j.respol.2005.08.003; Chavarro, D., Orozco, L. A., Villaveces, J. L., Análisis del perfil de los grupos de referencia del país (2010) La investigación en Uniandes 2010. Construcción de una política, pp. 107-117. , En J. L. Villaveces-Cardoso, R. Bonilla-Jiménez, A. Bucheli-Guerrero, D. A. Chavarro-Bohórquez, L. Delgado-Vanegas, C. Montilla-Vargas, L. A. Orozco-Castro, C. F. Ruiz-Ramos, &amp; R. Zarama-Urdaneta (Eds), Ediciones Uniandes; Confalonieri, L., Pagnoni, G., Barsalou, L. W., Rajendra, J., Eickhoff, S. B., Butler, A. J., Brain Activation in Primary Motor and Somatosensory Cortices during Motor Imagery Correlates with Motor Imagery Ability in Stroke Patients (2012) International Scholarly Research Network. ISRN Neurology, 2012, p. 613595. , https://doi.org/10.5402/2012/613595; Cronin, B., Hyperauthorship: A postmodern perver-sion or evidence of a structural shift in scholarly com-munication practices? (2001) Journal of the American Society for Information Science and Technology, 52 (7), pp. 558-569. , https://doi.org/10.1002/asi.1097; Cudina, J. N., Millan, J. D., Ossa, J. C., Redes de comunicación científica en la investigación psicológi-ca de las américas a través de la Revista Interamericana de Psicología (2017) Revista Interamericana de Psicología, 51 (3), pp. 282-296. , https://journal.sipsych.org/index.php/IJP/article/view/898; Cudina, J. N., Ossa, J. C., The top 100 high-impact papers in Colombian psychology: A bibliometric study from WoS y Scopus (2016) Informacao e Sociedade, 26 (2), pp. 137-154. , https://periodicos.ufpb.br/ojs2/index.php/ies/article/view/29200; Di Bitetti, M. S., Ferreras, J. A., Publish (in English) or perish: The effect on citation rate of using languages other than English in scientific publica-tions (2017) Ambio, 46 (1), pp. 121-127. , https://doi.org/10.1007/s13280-016-0820-7; Fernández, M. T., Gómez, I., Sebastían, J., Sebastián, S., La cooperación científica de los países de América Latina a través de indicadores bibliométri-cos (1998) Interciencia, 23 (6), pp. 328-337. , https://digital.csic.es/handle/10261/247167; Forero, D. A., Trujillo, M. L., González-Giraldo, Y., Barreto, G. E., Scientific productivity in neuros-ciences in Latin America: a scientometrics perspective (2020) International Journal of Neuroscience, 130 (4), pp. 398-406. , https://doi.org/10.1080/00207454.2019.1692837; Franco-Suárez, O., Quevedo-Blasco, R., Análisis de las revistas iberoamericanas de Psicología y de Educación indexadas en el Journal Citation Reports del 2015 (2015) PSIENCIA. Revista Latinoamericana de Ciencia Psicológica, 9 (4), pp. 1-23. , https://doi.org/10.5872/psiencia/9.4.22; Frenken, K., A new indicator of European integration and an application to collaboration is scientific research (2002) Economic Systems Research, 14 (4), pp. 345-361. , https://doi.org/10.1080/0953531022000024833; Gallegos, M., Berra, M., Benito, E., López-López, W., Las nuevas dinámicas del conoci-miento científico y su impacto en la Psicología Latinoamericana (2014) Psicoperspectivas, 13 (3), pp. 106-117. , https://doi.org/10.5027/psicoperspectivas-Vol13-Issue3-fulltext-377; Gallegos, M., Pérez-Acosta, A. M., Klappenbach, H., López-López, W., Bregman, C., Los es-tudios bibliométricos en el campo de la psicología iberoamericana: Una revisión metabibliométrica (2020) Interdisciplinaria Revista de Psicología y Ciencias Afines, 37 (2), pp. 95-115. , https://doi.org/10.16888/interd.2020.37.2.6; García-Martínez, A. T., Guerrero-Bote, V. P., Moya-Anegón, F., World Scientific Production in Psychology (2012) Universitas Psychologica, 11 (3), pp. 699-717. , https://revistas.javeriana.edu.co/index.php/revPsycho/article/view/2439/2865, de; Garcia, A., Acevedo-Triana, C. A., López-López, W., The meaning of and proposals for Latin-American cooperation in psychology (2015) Psykhe, 24 (2). , https://doi.org/10.7764/psykhe.24.2.765; García, A., Acevedo-Triana, C. A., López-López, W., Cooperación en las ciencias del comportamien-to Latino Americanas: Una investigación documental (2014) Terapia Psicológica, 32 (2). , https://doi.org/10.4067/S0718-48082014000200009; García, A., López-López, W., Acevedo-Triana, C. A., Nogueira-Pereira, F., Cooperation in Latin America: the scientific psychology network (2017) Diversitas, 13 (1), pp. 123-133. , https://doi.org/10.15332/s1794-9998.2017.0001.9; Garfield, E., Psychology Research, 1986-1990: A Citationist Perspective on the Highest Impact Papers, Institutions and Authors (1992) Current Contents, 15 (41), pp. 155-165. , http://garfield.library.upenn.edu/essays/v15p155y1992-93.pdf; Giraldo, B., Rodríguez, O. R., Eventos significa-tivos de la psicología colombiana en el siglo XX (2000) Suma Psicológica, 7 (2), pp. 275-294. , http://publicaciones.konradlorenz.edu.co/index.php/sumapsi/article/view/198; Glänzel, W., National characteristics in international scientific co-authorship relations (2001) Scientometrics, 51 (1), pp. 69-115. , https://doi.org/10.1023/A:1010512628145; Godin, B., Gingras, Y., The place of universities in the system of knowledge production (2000) Research Policy, 29 (2), pp. 273-278. , https://doi.org/10.1016/S0048-7333(99)00065-7; Gómez, V. M., Celis, J. E., Crédito educativo, accio-nes afirmativas y equidad social en la educación superior en Colombia (2009) Revista de Estudios Sociales, pp. 106-117. , https://www.redalyc.org/articulo.oa?id=81511781010; Gómez, Y., El baile de los que sobran: cam-bio cultural y evaluación académica (2017) Revista Colombiana de Antropología, 53 (2), pp. 15-25. , https://doi.org/10.22380/2539472X.115; González-Zabala, M. P., Galvis-Lista, E. A., Angulo-Cuentas, G. L., Análisis de indicadores de Ciencia, Tecnología e Innovación (CTI) propuestos por Instituciones de Educación Superior Latinoamericanas (2017) Revista Virtual Universidad Católica del Norte, 38 (60), pp. 23-40. , https://www.revistaespacios.com/a17v38n60/a17v38n60p05.pdf; Graddy-Reed, A., Lanahan, L., D’Agostino, J., Training across the academy: The impact of R&amp;D funding on graduate students (2021) Research Policy, 50 (5), p. 104224. , https://doi.org/10.1016/J.RESPOL.2021.104224; Guerrero, J., Jaraba, B., (2009) La producción científica de la psicología colombiana: un análisis bibliométrico de las revistas académicas, 1949-2008, , ASCOFAPSI; Gutiérrez, G., Landeira-Fernández, J., Psychological research in Latin America: Current and future perspectives (2018) Psychology in Latin America, pp. 7-26. , https://doi.org/10.1007/978-3-319-93569-0_2, En R. Ardila (Ed), Springer; Harzing, A. W., On becoming a high impact journal in international business and management (2008) European Journal of International Management, 2 (2), pp. 115-118. , https://doi.org/10.1504/EJIM.2008.017763; Hayes, N., What Makes a Psychology Graduate Distinctive? (1996) European Psychologist, 1 (2), pp. 130-134. , https://doi.org/10.1027/1016-9040.1.2.130; Horta, H., Cattaneo, M., Meoli, M., PhD funding as a determinant of PhD and career research performan-ce (2016) Studies in Higher Education, 43 (3), pp. 542-570. , https://doi.org/10.1080/03075079.2016.1185406; Jaraba-Barrios, B., Guerrero-Castro, J., Jack Gómez-Morales, Y., López-López, W., Bibliometría e historia de las prácticas académicas locales: un esbozo a partir del caso de la psicología en Colombia (2011) Avances en Psicología Latinoamericana, 29 (2), pp. 354-369. , https://revistas.urosario.edu.co/index.php/apl/article/view/2008; Jonkers, K., Tijssen, R., Chinese researchers re-turning home: Impacts of international mobility on research collaboration and scientific productivity (2008) Scientometrics, 77 (2), pp. 309-333. , https://doi.org/10.1007/s11192-007-1971-x; Kamler, B., Rethinking doctoral publication prac-tices: Writing from and beyond the thesis (2008) Studies in Higher Education, 33 (3), pp. 283-294. , https://doi.org/10.1080/03075070802049236; Klappenbach, H., La formación universitaria en psi-cología en Argentina: perspectivas actuales y desafíos a la luz de la historia (2015) Universitas Psychologica, 14 (3), pp. 937-960. , http://dx.doi.org/10.11144/Javeriana.upsy14-3.fupa; Krabel, S., Siegel, D. S., Slavtchev, V., The inter-nationalization of science and its influence on academic entrepreneurship (2012) Journal of Technology Transfer, 37 (2), pp. 192-212. , https://doi.org/10.1007/s10961-010-9182-7; Krampen, G., The evaluation of university depart-ments and their scientists: Some general considerations with reference to exemplary bibliometric publication and citation analyses for a Department of psychology (2008) Scientometrics, 76 (1), pp. 3-21. , https://doi.org/10.1007/s11192-007-1900-z; Lafont, P., Knowledge Producing of the Doctoral Thesis: Between Scientific Utility and Social Usage (2014) Procedia-Social and Behavioral Sciences, 116, pp. 570-577. , https://doi.org/10.1016/j.sbspro.2014.01.259; Liberatore, G., Hermosilla, A., La Producción Científica Argentina en Psicología: Un Análisis de la Visibilidad e Impacto en el Ámbito Internacional y su Comparación con Países de la Región (2008) Revista Interamericana de Psicología, 42 (3), pp. 507-512. , https://www.redalyc.org/articulo.oa?id=28442310; López-López, W., Un cambio en la concepción de la edición académica. Del conocimiento centrado en los productos al conocimiento orientado a los servicios (2018) Universitas Psychologica, 17 (1), pp. 1-2. , http://www.scielo.org.co/pdf/rups/v17n1/1657-9267-rups-17-01-00001.pdf; López-López, W., Ecosistema del conocimiento en América Latina: El acceso abierto, métricas, paradojas y contradicciones (2019) Universitas Psychologica, 18 (4), pp. 1-3. , https://doi.org/10.11144/Javeriana.upsy18-4.ecal; López-López, W., La comunicación científica y la política pública: ¿Es posible una política pública basada en la evidencia? (2019) Universitas Psychologica, 18 (1), pp. 1-3. , https://doi.org/10.11144/javeriana.upsy18-1.ccpp; López-López, W., La Coalición S y el Plan S: Implicaciones para los ecosistemas de conocimiento en América Latina (2020) Universitas Psychologica, 19, pp. 1-4. , https://doi.org/10.11144/javeriana.upsy19.csps; López-López, W., Caycedo, C., Acevedo-Triana, C. A., Hurtado-Parrado, C., Silva, L. M., Aguilar-Bustamante, M. C., Training, Academic, and Professional development in Psychology in Colombia: Challenges and Perspectives (2018) Teaching Psychology around the World, 4, pp. 53-79. , En G. J. Rich, A. Padilla-López, L. K. de Souza, L. Zinkiewicz, J. Taylor, &amp; J. L. S. Binti Jaafar (Eds), Cambridge Scholars Publishing; López-López, W., de Moya Anegón, F., Acevedo-Triana, C. A., Garcia, A., Silva, L. M., Psychological Research Collaboration and Visibility in Iberoamerica (2015) Psicologia: Reflexão e Crítica, 28, pp. 72-81. , https://doi.org/10.1590/1678-7153.20152840011, (Suppl 1); López-López, W., Silva, L. M., García-Cepero, M. C., Aguilar-Bustamante, M. C., Aguado, E., Panorama general de la producción académica en la psicología colombiana indexada en psicoredalyc (2010) Acta Colombiana de Psicología, 13 (2), pp. 35-46. , https://actacolombianapsicologia.ucatolica.edu.co/article/view/368; López-López, W., Tortosa, F., Santolaya, F., Tortosa, M., Santolaya Prego de Oliver, J., Aguilar-Bustamante, M. C., History, difficulties, and challenges of the Ibero-American Federation of Psychology Associations (2021) Papeles del Psicólogo, 42 (1), pp. 67-78. , https://doi.org/10.23923/pap.psicol2021.2951; Luukkonen, T., Persson, O., Sivertsen, G., Understanding Patterns of International Scientific Collaboration (1992) Science, Technology &amp; Human Values, 17 (1), pp. 101-126. , https://doi.org/10.1177/016224399201700106; Miguel, S., Chinchilla-Rodríguez, Z., González, C., de Moya Anegón, F., Analysis and visualization of the dynamics of research groups in terms of projects and co-authored publications. A case study of library and information science in Argentina (2012) Information Research, 17 (3), p. 524. , https://digital.csic.es/handle/10261/63799; (2017) Programa Colombia Científica apor-tará al desarrollo de la capacidad investigativa del país, , https://bit.ly/2Y7lFhN, Programa Colombia Científica; (2021), https://bit.ly/3k1jAM9, Convocatoria del Fondo de Ciencia, Tecnología e Innovación del Sistema General de Regalías para la conformación de una lista de proyectos elegibles para ser viabilizados, priorizados y aproba-dos por el OCAD en el marco del Programa de Becas de Excelencia. Plan Bienal de Convocatorias; (2021) Objetivo del Programa de Formación de Alto Nivel, , https://bit.ly/3jWWPZC, Minciencias; (2019) Sistema de aseguramien-to de la calidad de la educación superior, , https://bit.ly/3jZN7WC; Morales, Y. J. G., Jaraba-Barrios, B., Guerrero-Castro, J., López-López, W., (2012) Entre internacionalización; y consolidación de comunidades académicas locales. Sobre la revista latinoamericana de psicología Revista Colombiana de Psicologia, 21 (1), pp. 97-110. , https://repositorio.unal.edu.co/handle/unal/41688; De, F., Informe de diagnóstico sobre la producción científica de Colombia (Scopus, 2003-2010) (2011) En Producción científica de Colombia, , http://repositorio.minciencias.gov.co/handle/11146/485, Moya Anegon Scopus, 2003-2010. Minciencias; Orozco, L. A., Ruiz, C. F., Bonilla, R., Chavarro, D., Los grupos de investigación en Colombia. Sus prácticas, su reconocimeinto y su legitimidad (2013) Colciencias cuarenta años: entre la le-, , En M. Salazar (Ed); gitimidad, la normatividad y la práctica, pp. 634-687. , Observatorio Colombiano de Ciencia y Tecnología; Ossa, J. C., Cudina, J. N., Sesenta años de las revistas de psicología en Colombia (2016) Revista Guillermo de Ockham, 14 (2), pp. 7-17. , https://doi.org/10.21500/22563202.2720; Otte, E., Rousseau, R., (2002) Social network analysis: A powerful strategy, also for the information sciences; Journal of Information Science, 28 (6), pp. 441-453. , https://doi.org/10.1177/016555150202800601; Packalen, M., Bhattacharya, J., NIH funding and the pursuit of edge science (2020) Proceedings of the National; Academy of Sciences, 117 (22), pp. 12011-12016. , https://doi.org/10.1073/pnas.1910160117; Peña-Correal, T., La psicología en Colombia: Historia de una disciplina y una profesión (1993) Historia social de la ciencia en Colombia, Tomo IX: ciencias sociales, pp. 95-179. , En C. E. Vasco, D. Obregón, &amp; L. E. Orozo (Eds), Colciencias; Piwowar, H., Priem, J., Larivière, V., Alperin, J. P., Matthias, L., Norlander, B., Farley, A., Haustein, S., The state of OA: a large-scale analysis of the prevalence and impact of Open Access articles (2018) PeerJ, 6, p. e4375. , https://doi.org/10.7717/peerj.4375; Polanco-Carrasco, R., Gallegos, M., Salas, G., López-López, W., Las revistas de psicología en Chile: historia y situación actual (2017) Terapia Psicológica, 35 (1), pp. 81-93. , https://doi.org/10.4067/S0718-48082017000100008; Polanco, F., Beria, J., Klappenbach, H., Cinco déca-das de la Revista Interamericana de Psicología. Un estudio socio-bibliométrico (2017) Revista Interamericana de Psicología, 51 (3), pp. 297-319. , http://doi.org/10.30849/rip/ijp.v51i3.910; Puche-Navarro, R., Ossa, J. C., Claves de la pu-blicación psicológica en Colombia: Ritmo, grupos y modalidades de producción en la práctica investigativa (2012) Revista Colombiana de Psicología, 21 (1), pp. 79-95. , http://www.scielo.org.co/pdf/rcps/v21n1/v21n1a06.pdf; Ravelo-Contreras, E. L., Barboza-Palomino, M., Mejía, S., Millán, J. D., Salas, G., La producción científi-ca de la revista Acta Colombiana de Psicología: Análisis descriptivo y bibliométrico del período 2015-2019 (2020) Acta Colombiana de Psicología, 23 (2), pp. 170-204. , https://doi.org/10.14718/acp.2020.23.2.8; Rivera-Garzón, D. M., Caracterización de la comu-nidad científica de Psicología que publica en la revista Universitas Psychologica (2002-2008) (2008) Universitas Psychologica, 7 (3), pp. 917-932. , http://revistas.javeriana.edu.co/index.php/revPsycho/article/download/401/283; Robayo-Castro, B., Rico, J. L., Hurtado-Parrado, C., Ortega, L. A., Impacto y calidad de la produc-tividad académica de los investigadores en Colombia en neurociencia comportamental utilizando mo-delos animales (2016) Universitas Psychologica, 15 (5). , https://doi.org/10.11144/Javeriana.upsy15-5.icpa; Romero-Torres, M., Acosta-Moreno, L. A., Tejada-Gómez, M.-A., Ranking de revistas científi-cas en Latinoamérica mediante el índice h: estudio de caso Colombia (2013) Revista Española de Documentación Científica, 36 (1), p. e003. , https://doi.org/10.3989/redc.2013.1.876; Russell, J. M., Ainsworth, S., Del Río, J. A., Narváez-Berthelemot, N., Cortés, H. D., Colaboración científica entre países de la región latinoamericana (2007) Revista Española de Documentación Científica, 30 (2), pp. 180-198. , https://doi.org/10.3989/redc.2007.v30.i2.378; Sala, F. G., Lluch, J. O., Gil, F. T., Ortega, M. P., Characteristics of monographic special issues in Ibero-American psychology journals: visibility and relevance for authors and publishers (2017) Scientometrics, 112 (2), pp. 1069-1077. , https://doi.org/10.1007/s11192-017-2372-4; Salas, G., Vega-Arce, M., González, C., Ossa, J. C., Cudina, J. N., Caycho-Rodríguez, T., Barboza-Palomino, M., López-López, W., The fiftieth anniversary of the Revista latinoa-mericana de psicología: A bibliometric analysis (2019) Revista Latinoamericana de Psicología, 51 (2), pp. 123-135. , https://doi.org/10.14349/rlp.2019.v51.n2.7; Salazar-Acosta, M., Lucio-Arias, D., López-López, W., Aguado-López, E., (2013) Informe sobre la producción científica de Colombia en revistas iberoamericanas de acceso abierto en redalyc.org, 2005-2011, , (1. ª ed). Universidad Autónoma del Estado de México; Torka, M., Projectification of Doctoral Training? How Research Fields Respond to a New Funding Regime (2018) Minerva, 56 (1), pp. 59-83. , https://doi.org/10.1007/S11024-018-9342-8; Van Eck, N. J., Waltman, L., Software survey: VOSviewer, a computer program for bibliometric ma-pping (2010) Scientometrics, 84 (2), pp. 523-538. , https://doi.org/10.1007/s11192-009-0146-3; Vasconcelos, S., Leta, J., Costa, L., Pinto, A., Sorenson, M. M., Discussing plagiarism in Latin American science: Brazilian researchers begin to address an ethi-cal issue (2009) EMBO Reports, 10 (7), pp. 677-682. , https://doi.org/10.1038/embor.2009.134; Vasconcelos, S., Sorenson, M. M., Leta, J., Sant’Ana, M. C., Batista, P. D., Researchers´writing compe-tence: a bottleneck in the publication of Latin-American science? (2008) EMBO Reports, 9 (8), pp. 700-702. , https://doi.org/10.1038/embor.2008.143; Vélez-Cuartas, G., Gómez-Flórez, H., Úsuga-Ciro, A., Vélez-Trujillo, M., Diversidad y reconoci-miento de la producción académica en los sistemas de evaluación de la investigación en Colombia (2014) Revista Española de Documentación Científica, 37 (3), pp. 1-14. , https://doi.org/10.3989/redc.2014.3.1133; Vera-Villarroel, P., López-López, W., Lillo, S., Silva, L. M., La producción científica en psicología latinoa-mericana: Un análisis de la investigación por países (2011) Revista Latinoamericana de Psicología, 43 (1), pp. 95-104. , http://www.scielo.org.co/pdf/rlps/v43n1/v43n1a08.pdf; Vessuri, H., Cambios en las ciencias ante el impacto de la globalización (2014) Revista de Estudios Sociales, 50 (50), pp. 167-173. , https://doi.org/10.7440/res50.2014.16; White, M. J., White, K. G., Citation analysis of psychology journals (1977) American Psychologist, 32 (5), pp. 301-305. , https://doi.org/10.1037/0003-066X.32.5.301</t>
  </si>
  <si>
    <t>López-López, W.; Pontificia Universidad JaverianaColombia; email: lopezw@javeriana.edu.co</t>
  </si>
  <si>
    <t>2-s2.0-85128300849</t>
  </si>
  <si>
    <t>Rojas Gamba N.I., Fonseca Salamanca L.A., Pérez Rueda S.L., Blanco Suarez M.A.</t>
  </si>
  <si>
    <t>57578005700;57577563700;57577782700;57578005800;</t>
  </si>
  <si>
    <t>Urban Growth Modeling: Tunja 2017-2035 [Modélisation de l’expansion Urbaine: Tunja 2017-2035] [Modelagem de Desenvolvimento Urbano: Tunja 2017-2035] [Modelación de Crecimiento Urbano: Tunja 2017 – 2035[1][2]]</t>
  </si>
  <si>
    <t>Bitacora Urbano Territorial</t>
  </si>
  <si>
    <t>10.15446/bitacora.v32n1.87758</t>
  </si>
  <si>
    <t>https://www.scopus.com/inward/record.uri?eid=2-s2.0-85128294807&amp;doi=10.15446%2fbitacora.v32n1.87758&amp;partnerID=40&amp;md5=824f5ed4c0c74b237d26775431c03038</t>
  </si>
  <si>
    <t>Universidad Santo Tomás, Tunja, Colombia; Universidad de Boyacá, Colombia; Universidad Sergio Arboleda, Colombia</t>
  </si>
  <si>
    <t>Rojas Gamba, N.I., Universidad Santo Tomás, Tunja, Colombia; Fonseca Salamanca, L.A., Universidad de Boyacá, Colombia; Pérez Rueda, S.L., Universidad Sergio Arboleda, Colombia; Blanco Suarez, M.A., Universidad Sergio Arboleda, Colombia</t>
  </si>
  <si>
    <t>This article quantifies the trends in the growth of urbanized land in Tunja city, Colombia, with the aim of modelling future scenarios. The modeling is based on the satellite images classification and the inclusion of the driving factors in the urban development. The view of the viable development areas is achieved through the following stages. 1). The preprocessing, which defines the study area and adapts the images. 2). The processing, which classifies the images of years 2000, 2012 and 2017 and generates coverage and use maps: urbanized, green zone and open area. 3). The postprocessing, in which the accuracy of the classification of images is validated. 4). The Modeling of future scenarios, that incorporates factors of change and restrictions towards urbanized areas. It generates the analysis of change and potential areas of transition to urbanized areas, providing predictive data for 2017, 2025 and 2030. The modeling is validated comparing the 2017 prediction with the classification image of the same year and then, modifying factors until the 2017 prediction image is representative of the classification image. © 2022 Universidad Nacional de Colombia. All rights reserved.</t>
  </si>
  <si>
    <t>Remote sensing; Simulation models; Urban planning; Urbanization</t>
  </si>
  <si>
    <t>(2017) Por la cual se adoptan unas normas sobre Aeródromos, Aeropuertos y Helipuertos y se adicionan como parte décimo cuarta a los Reglamentos Aeronáuticos de Colombia, , https://www.redjurista.com/Documents/resolucion_1092_de_2007_aeronautica_civil.aspx#/, AEROCIVIL. (MARZO 13) RESOLUCIÓN 1092 DE 2007; (2014) Acuerdo Municipal 0016 de 2014. Por medio del cual se modifican excepcionalmente las normas urbanísticas del POT del Municipio de Tunja, , https://www.tunja-boyaca.gov.co/pot/acuerdo-municipalno-0016-del-28-de-julio-de-2014-por, ALCALDÍA MAYOR DE TUNJA. (JULIO 28); (2019) Demografía de Tunja, localización, , http://www.tunja.gov.co/?idcategoria=439&amp;download=Y, ALCALDÍA MAYOR DE TUNJA. (FEBRERO 15, DE); BHATTA, B., Analysis of urban growth pattern using remote sensing and GIS: a case study of Kolkata, India (2009) International Journal of Remote Sensing, 30, pp. 4733-4746. , https://doi.org/10.1080/01431160802651967; BREIMAN, L., Random Forests (2001) Machine Learning, 45, pp. 5-32. , https://doi.org/10.1023/A:1010933404324; BRENES, C., Tutorial de clasificación supervisada de imágenes de satétite con QGIS y R StatisticsClasificación de imágenes con Random Forests en R (y QGIS) (2019) Researchgate, , https://www.researchgate.net/publication/336775871_Tutorial_de_clasificacion_supervisada_de_imagenes_de_satetite_con_QGIS_y_R_Statistics, (OCTUBRE DE); DEL TORO ESPÍN, N., GOMÁRIZ CASTILLO, F., CÁNOVAS GARCÍA, F., ALONSO SARRÍA, F., Comparación de métodos de clasificación de imágenes de satélite en la cuenca del río Argos (Región de Murcia) (2015) Boletín de la Asociación de Geógrafos Españoles, 67, pp. 327-347. , https://dialnet.unirioja.es/servlet/articulo?codigo=5035579, Y; ¿Cuántos somos? Información estratégica (2019), https://www.dane.gov.co/index.php/estadisticaspor-tema/demografia-y-poblacion/censo-nacionalde-poblacion-y-vivenda-2018/cuantos-somos, Resultados preliminares. Censo nacional de población y vivienda, Colombia, segunda entrega preliminar; (2021) Serie municipal de población por área, para el periodo 2018 -2035, , https://www.dane.gov.co/index.php/estadisticaspor-tema/demografia-y-poblacion/proyeccionesde-poblacion, [Archivo Excel]; HUETE, A.R., A Soil-Adjusted Vegetation Index (SAVI) (1988) Remote Sensing of Environment, 25 (3), pp. 295-309. , https://doi.org/10.1016/0034-4257(88)90106-X; Tunja valor del suelo (2015) Análisis geográficos, 52, pp. 1-179. , http://biblioteca.igac.gov.co/janium-bin/busqueda_rapida.pl?Id=20170727114848; KRUSE, F., Comparison of ATREM, A CORN and FLAASH Atmospheric Corrections using Low- Altitude AVIRIS Data of Boulder, Colorado, Proceedings 13th, JPL (2018), https://citeseerx.ist.psu.edu/viewdoc/download?doi=10.1.1.569.8864&amp;rep=rep1&amp;type=pdf, Airbone Geoscience Workshop, Jet Propulsion Laboratory [Archivo pdf]; LÓPEZ VÁZQUEZ, V.H., PLATA ROCHA, W., Análisis de los cambios de cobertura de suelo derivados de la expansión urbana de la Zona Metropolitana de la Ciudad de México, 1990-2000 (2009) Investigaciones Geográficas, 68, pp. 85-101. , http://www.scielo.org.mx/scielo.php?pid=S018846112009000100007&amp;script=sci_abstract&amp;tlng=pt, Y; LV, Z., DAI, F., SUN, C., Evaluation of urban sprawl and urban landscape pattern in a rapidly developing región (2012) Environ Monit Assess, 184, pp. 6437-6448. , https://doi.org/10.1007/s10661-011-2431-x, Y; (2010) Leyenda nacional de coberturas de la tierra, metodología CORINE Land Cover adaptada para Colombia, escala 1:100.000[Archivopdf], , https://www.researchgate.net/publication/303960063_LEYENDA_NACIONAL_DE_COBERTURAS_DE_LA_TIERRA_METODOLOGIA_CORINE_LAND_COVER_ADAPTADA_PARA_COLOMBIA_ESCALA_1100000; MONSERUD, R.A. Y, LEEMANS, R., Comparing Global Vegetation Maps with the Kappa Statistic (1992) Ecological Modelling, 62 (4), pp. 275-293. , https://doi.org/10.1016/0304-3800(92)90003-W; NOLASCO, M., WILLINGTON, E., BOCCO, M., Uso del suelo agrícola: comparación entre series temporales e imágenes satelitales individuales para su clasificación (2016) Revista de Investigaciones de la Facultad de Ciencias AgrariasUNR, 26, pp. 017-021. , https://cienciasagronomicas.unr.edu.ar/journal/index.php/agronom/article/view/102; RENZA, D., MARTÍNEZ, E., MOLINA, I., BALLESTEROS, D., Unsupervised change detection in a particular vegetation land cover type using Spectral Angel Mapper (2017) Advances in Space Research, 59 (8). , https://doi.org/DOI:10.1016/j.asr.2017.01.027, Y; RINCÓN, M., Procesos de transformación urbana: el caso Tunja 1900-2005 (2019) Perspectiva Geográfica, 14, pp. 12-44. , https://revistas.uptc.edu.co/index.php/perspectiva/article/view/1716; GÓMEZ, L., (2018) Taller 4 Análisis Idrisi. Módulo LCM. Notas de Clase. Técnicas de Modelación y Simulación, , Universidad Sergio Arboleda; (2018) Around 2.5 billion more people will be living in cities by 2050, projects new UN report, , https://www.un.org/en/desa/around-25-billion-more-people-will-be-living-cities-2050projects-new-un-report, Department of Economic and Social Affairs; (2018) The speed of urbanization around the world, , https://www.un.org/en/development/desa/population/publications/pdf/popfacts/PopFacts_2018-1.pdf, [Archivo pdf]; (2009) Estudios para la formulación del plan de movilidad de Tunja [Archivo pdf], , https://docplayer.es/144742-Realizar-los-estudios-para-laformulacion-de-los-planes-de-movilidad-de-tunjay-zipaquira-y-adelantar-el-acompanamiento-alproceso-de-socializacion.html; ZHA, Y., GAO, J., NI, S., Use of normalized difference built-up index in automatically mapping urban areas from TM imagery (2003) International Journal of Remote Sensing, 24 (3), pp. 583-594. , https://doi.org/10.1080/01431160304987, Y</t>
  </si>
  <si>
    <t>Bitacora Urban. Territorial</t>
  </si>
  <si>
    <t>2-s2.0-85128294807</t>
  </si>
  <si>
    <t>Tiscareño-García E., Santorum S.G., Miranda-Villanueva O.M.</t>
  </si>
  <si>
    <t>57216334749;57216529101;56737185700;</t>
  </si>
  <si>
    <t>Male and female sources in the coverage of femicide in the Mexican press [Fuentes femeninas y masculinas en la cobertura del feminicidio en la prensa mexicana]</t>
  </si>
  <si>
    <t>Cuadernos.info</t>
  </si>
  <si>
    <t>10.7764/cdi.51.27581</t>
  </si>
  <si>
    <t>https://www.scopus.com/inward/record.uri?eid=2-s2.0-85128200998&amp;doi=10.7764%2fcdi.51.27581&amp;partnerID=40&amp;md5=7fa72d1391291b0c43b2cd496c29b6ca</t>
  </si>
  <si>
    <t>Tecnológico de Monterrey, Campus Monterrey, Mexico; Instituto Tecnológico de Santo Domingo (INTEC), Santo Domingo, Dominican Republic; Tecnológico de Monterrey, Campus Estado de México, Mexico</t>
  </si>
  <si>
    <t>Tiscareño-García, E., Tecnológico de Monterrey, Campus Monterrey, Mexico; Santorum, S.G., Instituto Tecnológico de Santo Domingo (INTEC), Santo Domingo, Dominican Republic; Miranda-Villanueva, O.M., Tecnológico de Monterrey, Campus Estado de México, Mexico</t>
  </si>
  <si>
    <t>This study investigates the journalistic sources used in the Mexican press in news about feminicide. The aim is to analyze the dynamics of the sources' selection regarding gender and its official status (officiality). The research is quantitative and studies the content on feminicide and gender violence in four newspapers of national circulation: La Jornada, Reforma, El Universal and Milenio during 2017. Of 1324 news pieces emerged 2091 sources for analysis. These were classified with a pre-established model: official sources that accept the official version regarding the information on the facts of femicide, officials who reject the official version, protagonists of the events, victims of the situations and specialists, experts or willing to express themselves. The result shows that the female sources question the official version, while the male ones support and sustain it; female sources also have greater presence as experts regarding femicide. The female sources build the critical discourse on femicide, while male sources support the hegemonic discourse. The research confirms a high level of discrimination against women as official sources of information about feminicide in Mexico. Gender is a category that the media use to discriminate the valid sources in the construction of the news event. © 2022 Pontificia Universidad Catolica de Chile. All rights reserved.</t>
  </si>
  <si>
    <t>femicide; gender; Mexico; newspaper; press; sources</t>
  </si>
  <si>
    <t>Álvarez-Monsiváis, E., Encuadres noticiosos sobre primeras damas: las expertas, las novatas y las actuales (Framing first ladies: the experts, the novices, and the incumbents) (2020) Profesional de la información, 29 (6), p. e290621. , https://doi.org/10.3145/epi.2020.nov.21; Bautista, E., Las tendencias ideológico-políticas en el manejo de la información de los periódicos El Universal, Reforma y Milenio, en el caso de la detención de Gregorio Sánchez Martínez, candidato a la gubernatura de Quintana Roo en 2010 por la coalición PRD, PT y Convergencia (2013), http://132.248.9.195/ptd2013/agosto/0698983/0698983.pdf, (The ideological-political tendencies in the handling of the information of the newspapers El Universal, Reforma &amp; Milenio, in the case of the arrest of Gregorio Sánchez Martínez, candidate for governor of Quintana Roo in 2010 of the PRD, PT &amp; Convergencia coalition) (Undergraduate thesis, Universidad Autónoma de México); Bejarano, M., El feminicidio es sólo la punta del iceberg (Femicide is just the tip of the iceberg) (2014) Región y sociedad, 26 (4), pp. 13-44. , https://doi.org/10.22198/rys.2014.0.a85; Bernal, A. L. D., Flores, J. A., Feminicidios y Políticas Públicas: declaratorias de alertas de violencia de género en México, 2015-2017 (Femicides and Public Policies: Declarations of Gender Violence Alerts in Mexico, 2015-2017) (2018) Perspectiva Geográfica: Revista del Programa de Estudios de Posgrado en Geografía, 23 (2), pp. 33-57. , https://revistas.uptc.edu.co/index.php/perspectiva/article/view/7287; Berkowitz, D. A., Reporters and their sources (2009) The Handbook of Journalism Studies, pp. 122-135. , https://doi.org/10.4324/9780203877685, K. Wahl-Jorgensen &amp; T. Hanitzsch (Eds), Routledge; Berkowitz, D., Liu, Z., The Social-Cultural Construction of News. From Doing Work to Making Meanings (2014) The Handbook of Media and Mass Communication Theory, pp. 301-313. , https://doi.org/10.1002/9781118591178.ch17, R. S. Fortner &amp; P. M. Fackler (Eds), Wiley Blackwell; Berlo, D. K., (1999) El proceso de la comunicación: introducción a la teoría y a la práctica (The communication process: Introduction to theory and practice), , El Ateneo; Bezunartea, O., (1988) Noticias e ideología profesional. Los periodistas vascos en la transición (News and professional ideology. Basque journalists in the transition), , Ediciones Deusto; Breed, W., Mass communication and socio-cultural integration (1958) Social Forces, 37 (2), pp. 109-116. , https://doi.org/10.2307/2572792; Bystrom, D. G., Women as political communication sources and audiences (2004) Handbook of Political Communication Research, pp. 435-459. , https://doi.org/10.4324/9781410610584, L. Lee Kaid (Ed), Routledge; Caputi, J., Russell, D. E., Femicide: Speaking the unspeakable (1990) Ms, 1 (2), pp. 34-47; Carpenter, S., How online citizen journalism publications and online newspapers utilize the objectivity standard and rely on external sources (2008) Journalism &amp; Mass Communication Quarterly, 85 (3), pp. 531-548. , https://doi.org/10.1177/107769900808500304; Danés, S., (2017) La representación del feminicidio en la prensa regiomontana (The representation of femicide in the Monterrey press), , https://repositorio.itesm.mx/ortec/handle/11285/622529, (Master's thesis, Instituto Tecnológico y de Estudios Superiores de Monterrey); Diezhandino, P., (2007) Periodismo en la era de Internet (Journalism in the Internet age), , (Coord). Ariel; Durán, G. M., (2009) La Ideología en los medios: Una Propuesta para un Mapa Conceptual de la Prensa en México (Ideology in the media: A proposal for a concept map of the press in Mexico), , http://hdl.handle.net/11285/572959, (Undergraduate thesis, Instituto Tecnológico y de Estudios Superiores de Monterrey); Freedman, E., Fico, F., Love, B., Male and female sources in newspaper coverage of male and female candidates in US senate races in 2004 (2004) Journal of Women, Politics &amp; Policy, 29 (1), pp. 57-76. , https://doi.org/10.1300/j501v29n01_04; Gallur, S., García, B., El uso de las fuentes como estrategia de producción informativa en una agencia de noticias de género: El caso de CIMAC (The use of sources as an estrategy of news production in a gender news agency: The case of CIMAC) (2019) Estudios Sobre El Mensaje Periodístico, 25 (3), pp. 1421-1443. , https://doi.org/10.5209/esmp.66995; Gans, H. J., (2004) Deciding what's news: A study of CBS evening news, NBC nightly news, Newsweek, and Time, , Northwestern University Press; Gómez, E., Culpabilización de las víctimas y reconocimiento: límites del discurso mediático sobre la violencia de género (Victim Blaming and Recognition: Boundaries of Media Discourse on Gender Violence) (2016) Feminismo/s, (27), pp. 197-218. , https://doi.org/10.14198/fem.2016.27.11; (2021) Who Makes the News?, , https://whomakesthenews.org/wp-content/uploads/2021/07/GMMP-2020.Highlights.spa_.FINAL_.pdf, Global Media Monitoring Project 2020; Grijelmo, A., (2002) El estilo del periodista (The Journalist's Style), , Santillana; Herman, E. S., Chomsky, N., (1988) Manufacturing Consent: The Political Economy of the Mass Media, , Pantheon Books; Jasso, C., González, K., Brecha en las mediciones de feminicidio en México (Gap in Femicide Measurements in Mexico) (2018) Resonancias, , https://www.iis.unam.mx/blog/brechas-en-la-medicion-de-feminicidios-en-mexico/, (September 10); Lagos, C., (2008) El feminicidio según la prensa chilena: Otra forma de violencia contra las mujeres (Femicide according to the Chilean press: Another form of violence against women), , https://repositorio.uchile.cl/handle/2250/106063, (Master's thesis, Universidad de Chile); Len-Ríos, M. E., Rodgers, S., Thorson, E., Yoon, D., Representation of Women in News and Photos: Comparing Content to Perceptions (2005) Journal of Communication, 55 (1), pp. 152-168. , https://doi.org/10.1111/j.1460-2466.2005.tb02664.x; (2007) Ley General de Acceso de las Mujeres a una Vida Libre de Violencia (General Law on Women's Access to a Life Free of Violence), , http://www.diputados.gob.mx/LeyesBiblio/ref/lgamvlv/LGAMVLV_orig_01feb07.pdf, (February 1); (2006) Ley General para la Igualdad entre Mujeres y Hombres (General Law for equality between Women and Man), , http://www.diputados.gob.mx/LeyesBiblio/pdf_mov/Ley_General_para_la_Igualdad_entre_Mujeres_y_Hombres.pdf, (August 2); Lippmann, W., (1965) Public Opinion, , Free Press; Lozano, J. C., Teoría e investigación de comunicación de masas (Theory and research of mass communication). Pearson Comunicación. Manning, P. (2013). Financial journalism, news sources and the banking crisis (2007) Journalism, 14 (2), pp. 173-189. , https://doi.org/10.1177/1464884912448915; McCombs, M., (2006) Establecimiento de la agenda: el impacto de los medios en la opinión pública y en el conocimiento (Establishment of the agenda setting: the impact of the media on public opinion and knowledge), , Grupo Planeta (GBS); McCombs, M. E., Shaw, D. L., The agenda-setting function of mass media (1972) Public opinion quarterly, 36 (2), pp. 176-187. , http://doi.org./10.1086/267990; Menéndez, M. I., Retos periodísticos ante la violencia de género: El caso de la prensa local en España (Journalistic challenges in relation to gender violence. The case of the Spanish local press) (2014) Comunicación y sociedad, (22), pp. 53-77. , https://doi.org/10.32870/cys.v0i22.48; Monárrez, J. E., Las diversas representaciones del feminicidio y los asesinatos de mujeres en Ciudad Juárez, 1993-2005 (The various representations of feminicide and murders of women in Ciudad Juárez, 1993-2005) (2010) Violencia contra las mujeres e inseguridad ciudadana en Ciudad Juárez, pp. 361-394. , J. E. Monárrez, L. E. Cervera, C. M. Fuentes, &amp; R. Rubio (Coords), El Colegio de la Frontera Norte; Monárrez, J. E., Feminicidio sexual sistémico: impunidad histórica constante en Ciudad Juárez, víctimas y perpetradores (Systemic Sexual Feminicide: a constant historical impunity in Ciudad Juárez, victims and perpetrators) (2019) Estado &amp; comunes, revista de políticas y problemas públicos, 1 (8). , https://doi.org/10.37228/estado_comunes.v1.n8.2019.99; Niemi, M., Pitkanen, V., Gendered use of experts in the media: Analysis of the gender gap in Finnish news journalism (2016) Public Understanding of Science, 26 (3), pp. 355-368. , https://doi.org/10.1177/0963662515621470; Ortega, F., Humanes, L., (2000) Algo más que periodistas (More than journalists), , Ariel, SA; (2005) The Gender Gap. Women Are Still Missing as Sources for Journalists, , https://pewrsr.ch/37HBBaW, Pew Research Center; Powers, A., Fico, F., Influences on use of sources at large US newspapers (1994) Newspaper Research Journal, 15 (4), pp. 87-97. , https://doi.org/10.1177/073953299401500410; Radford, J., Russell, D. E., (1992) Femicide: The politics of woman killing, , Twayne Publishers; Rizo, L. A., ¿A qué llamamos exclusión social?. (What do we call social exclusión?) Polis (2006) Revista Latinoamericana, 15. , http://journals.openedition.org/polis/5007; Rodelo, F. V., Muñiz, C., La orientación política del periódico y su influencia en la presencia de encuadres y asuntos dentro de las noticias (The political orientation of the newspaper and its influence on the presence of frames and issues within the news) (2017) Estudios sobre el Mensaje Periodístico, 23 (1), pp. 241-257. , https://doi.org/10.5209/esmp.55594; Retegui, L., La construcción de la noticia desde el lugar del emisor. Una revisión del newsmaking (The Process of Making News from the Newsmaker's Perspective. A Review of Newsmaking) (2017) Revista mexicana de opinión pública, (23), pp. 103-121. , https://doi.org/10.22201/fcpys.24484911e.2017.23.56354; Salgado, E., Una nueva tipología para analizar la prensa en México (A new typology to analyze the press in Mexico) (2005) Revista latinoamericana de estudios del discurso, 5 (2), pp. 107-125. , http://raled.comunidadaled.org/index.php/raled/article/view/148/150; Salazar, M. G., Bravo, C., Vaca, M., Paxman, A., López, A., Hughes, S., Democracia, prensa y poder en México: un debate sobre Newsrooms in Conflict, de Sallie Hughes (Democracy, the Press and the Power in Mexico: A Debate on Newsrooms in Conflict, by Sallie Hughes) (2019) Política y gobierno, 26 (2). , http://www.politicaygobierno.cide.edu/index.php/pyg/article/view/1301; Salazar, M. G., de la Garza, P., La cobertura periodística de los feminicidios en México. Heterogeneidad y variación (Journalistic coverage of femicides in Mexico. Heterogeneity and variation) (2020) Revista mexicana de opinión pública, (29), pp. 111-125. , https://doi.org/10.22201/fcpys.24484911e.2020.29.70633; (2021) Información sobre la violencia contra las mujeres. víctimas de homicidio, secuestro y extorsión. Incidencia delictiva y llamadas de emergencia al 9-1-1 (Information on violence against women. victims of homicide, kidnapping and extortion. Crime Incidence and 9-1-1 Emergency Calls), , Secretariado Ejecutivo del Sistema Nacional de Seguridad. (October 31). SESNSP-Gobierno de México; Shoemaker, P. J., Reese, S. D., (2014) Mediating the message in the 21st century: Theories of influence on mass media content, , Routledge; Sigal, L. V., Sources make the news (1986) Reading the news, pp. 9-37. , R. K. Manoff &amp; M. Schudson (Eds), Pantheon; Tagle Martínez, M. A., Vida libre de violencia: Un derecho pendiente para las mujeres (Life free of violence: A pending right for women) (2017) Pluralidad y Consenso, 7 (31), pp. 100-109. , http://revista.ibd.senado.gob.mx/index.php/PluralidadyConsenso/article/view/404; Tamarit, A., Paz, N. Q., Plaza, J. F., ¿Quién habla de las mujeres en las noticias donde ellas son las protagonistas?. (Who Talks About Women in the News in Which They Are Protagonists?) (2011) Palabras Clave, 14 (2), pp. 247-260. , https://doi.org/10.5294/pacla.2011.14.2.4; Taylor, R., Slain and slandered. A content analysis of the portrayal of femicide in crime news (2009) Homicide Studies, 13 (1), pp. 21-49. , https://doi.org/10.1177/1088767908326679; Tuchman, G., Making news by doing work: Routinizing the unexpected (1973) American journal of Sociology, 79 (1), pp. 110-131. , https://www.journals.uchicago.edu/doi/abs/10.1086/225510; Tiscareño-García, E., (2021) El lenguaje en la prensa escrita mexicana sobre víctimas y victimarios o presuntos victimarios de feminicidio (The language in the Mexican written press about victims and perpetrators or alleged perpetrators of femicide), , https://repositorio.tec.mx/handle/11285/637313, (Doctoral dissertation, Instituto Tecnológico y de Estudios Superiores de Monterrey); Tiscareño-García, E., Miranda-Villanueva, O., Victims and perpetrators of feminicide in the language of the Mexican written press (2020) Comunicar, 63, pp. 51-60. , https://doi.org/10.3916/C63-2020-05; Van der Pas, D. J., Aaldering, L., Gender Differences in Political Media Coverage: A Meta-Analysis (2020) Journal of Communication, 70 (1), pp. 114-143. , https://doi.org/10.1093/joc/jqz046; Wimmer, R., Dominick, J., Part two. Research approaches (2011) Mass Media Research, pp. 114-148. , R. Wimmer &amp; J. Dominick (Eds), Wadswort Cengage Learning; Xantomila, Y., (2020) ONU: Feminicidios en México crecieron diariamente de 7 a 10 en tres años (Femicides in Mexico grew daily from 7 to 10 in three years), , https://www.jornada.com.mx/ultimas/sociedad/2020/03/05/onu-feminicidios-enmexico-crecieron-de-7-a-10-diarios-en-tres-anos-8647.html, (March 5). La Jornada</t>
  </si>
  <si>
    <t>Pontificia Universidad Catolica de Chile 1</t>
  </si>
  <si>
    <t>2-s2.0-85128200998</t>
  </si>
  <si>
    <t>Mejia C.R., Chacon J.I., Serrano F.T., Antón-Montero V., Gavilema-Tipantuña D., Jorge M., Garay E., Estupiñán A., Madrigal-Miranda J.F.</t>
  </si>
  <si>
    <t>50462014500;57191842540;57195980799;57563440000;57563697100;57563440100;57564708700;57210470222;57563697200;</t>
  </si>
  <si>
    <t>Labor characteristics and postgraduate studies of human resources in health in eight Latin American countries [Características laborales y académicas de los recursos humanos del sistema de salud en ocho países de Latinoamérica]</t>
  </si>
  <si>
    <t>https://www.scopus.com/inward/record.uri?eid=2-s2.0-85127689398&amp;doi=10.17533%2fudea.iatreia.112&amp;partnerID=40&amp;md5=a81f475f0123ac592a0cc88b6742e04f</t>
  </si>
  <si>
    <t>Universidad Norbert Wiener, Lima, Peru; Escuela Militar de Chorrillos “Coronel Francisco Bolognesi”, Lima, Peru; Asociación Científica de Estudiantes de Medicina de la Universidad Pedagógica y Tecnológica de Colombia (ACEMED-UPTC), Tunja, Colombia; Sociedad Científica de Estudiantes de Medicina de la Universidad Autónoma de Chiriquí (SOCEM-UNACHI), David, Panama; Sociedad Científica de Estudiantes de Medicina de la Universidad Central del Ecuador (SOCEM UCE), Quito, Ecuador; Asociación Científica Universitaria de Estudiantes de Medicina de la Universidad de Los Andes “Dr. Jacinto Convit” (ACUEM ULA Mérida), Merida, Venezuela; Asociación Colombiana Médica Estudiantil (ACOME), Bogotá, Colombia; Asociación de Estudiantes de Medicina de la Universidad Hispanoamericana, San José, Costa Rica</t>
  </si>
  <si>
    <t>Mejia, C.R., Universidad Norbert Wiener, Lima, Peru; Chacon, J.I., Escuela Militar de Chorrillos “Coronel Francisco Bolognesi”, Lima, Peru; Serrano, F.T., Asociación Científica de Estudiantes de Medicina de la Universidad Pedagógica y Tecnológica de Colombia (ACEMED-UPTC), Tunja, Colombia; Antón-Montero, V., Sociedad Científica de Estudiantes de Medicina de la Universidad Autónoma de Chiriquí (SOCEM-UNACHI), David, Panama; Gavilema-Tipantuña, D., Sociedad Científica de Estudiantes de Medicina de la Universidad Central del Ecuador (SOCEM UCE), Quito, Ecuador; Jorge, M., Asociación Científica Universitaria de Estudiantes de Medicina de la Universidad de Los Andes “Dr. Jacinto Convit” (ACUEM ULA Mérida), Merida, Venezuela; Garay, E., Asociación Colombiana Médica Estudiantil (ACOME), Bogotá, Colombia; Estupiñán, A., Asociación Científica Universitaria de Estudiantes de Medicina de la Universidad de Los Andes “Dr. Jacinto Convit” (ACUEM ULA Mérida), Merida, Venezuela; Madrigal-Miranda, J.F., Asociación de Estudiantes de Medicina de la Universidad Hispanoamericana, San José, Costa Rica</t>
  </si>
  <si>
    <t>Introduction: Most research shows the situation of first world countries regarding human resources of health; therefore, it is necessary to characterize our Latin American reality. Objective: To characterize the type of work and postgraduate training of health human resources in eight Latin American countries. Methods: A descriptive study was carried out, through self-applied surveys on the characteristics of its work center, and post-graduate training that them has had. Results: Of the 1283 people who responded to the survey, 87.1% worked in a hospital (average monthly salary: 840 dollars), 23.3% also worked in a clinic (average monthly salary: 1200 dollars). In addition, only 20.5% worked in an establishment of the first level of care (average monthly salary: 420 dollars). 31.2% had completed a post-graduate course, 23.2% had a diplo-ma, 17.8% had a master’s degree and 5.1% had a doctoral degree. Conclusions: The human resources in health work mainly in hospitals and the salaries are different ac-cording to the place where they work. The physicians are those who have higher remuneration, but in the private sector the salaries are more similar than in the other sectors. Less than a third have taken courses or other academic activities, having been completed several years ago. This serves to improve the work and training characteristics. © 2022, Universidad de Antioquia. All rights reserved.</t>
  </si>
  <si>
    <t>Health Services Research; Health Systems; Health Workforce; Latin America; Multicenter Study; Professional Training</t>
  </si>
  <si>
    <t>Almeida Filho, N, Silva Paim, J., La crisis de la salud pública y el movimiento de la salud colectiva en La-tinoamérica (1999) Cuad médico Soc, 75, pp. 5-30; Sachs, JD., Macroeconomics and health: investing in health for economic development (2002) Rev Panam Sa-lud Publica, 12 (2), pp. 143-144; Soto, A., Recursos humanos en salud (2011) Rev Peru Med Exp Salud Publica, 28 (2), pp. 173-174; Goodman, DC., Expanding the medical workfor-ce (2007) BMJ, 335 (7613), pp. 218-219; Goodman, DC, Robertson, RG., Accelerating physician workforce transformation through competitive graduate medical education funding (2013) Heal Aff, 32 (11), pp. 1887-1892; Cooper, RA., States with more physicians have better-quality health care (2009) Heal Aff, 28 (1), pp. w91-w102; Krishnaswami, S, Nwomeh, BC, Ameh, EA., The pe-diatric surgery workforce in low-and middle-in-come countries: problems and priorities (2016) Semin Pediatr Surg, 25 (1), pp. 32-42; Jiménez, MM, Mantilla, E, Huayanay-Espinoza, CA, Gil, K, García, H, Miranda, JJ., Mercado de formación y dispo-nibilidad de profesionales de ciencias de la salud en el Perú (2015) Rev Peru Med Exp Salud Publica, 32 (1), pp. 41-50; Zevallos, L, Pastor, R, Moscoso, B., Oferta y demanda de médicos especialistas en los establecimientos de sa-lud del ministerio de salud: brechas a nivel nacional, por regiones y tipo de especialidad (2011) Rev Peru Med Exp Salud Publica, 28 (2), pp. 177-185; Villarroel González, SR., Planificación de recursos hu-manos de la salud en Chile: breve tránsito histórico de sus políticas públicas (2016) Medwave, 16 (10), p. e6611; Yánez, ÁC, Toffoletto, MC., Reflexiones sobre los re-cursos humanos en enfermería y salud en América Latina: una revisión integradora (2016) Rev Iberoam Educ Investi Enferm, 6 (1), pp. 78-87; Buchan, J, Couper, ID, Tangcharoensathien, V, Thepan-nya, K, Jaskiewicz, W, Perfilieva, G, Early implementation of WHO recommendations for the reten-tion of health workers in remote and rural areas (2013) Bull World Heal Organ, 91 (11), pp. 834-840; Elorza, ME, Moscoso, NS, Lago, FP., Acceso potencial a los recursos humanos del primer nivel de atención en la Provincia de Buenos Aires (Argentina) (2016) Horiz Santiario, 15 (3), pp. 123-133; Ballesteros, MS., Profesionales de la salud en el primer nivel de atención de la Argentina: Un análisis sobre las desigualdades jurisdiccionales (2016) Geograficando, 12 (2), p. e015; Makwero, MT., Delivery of primary health care in Malawi (2018) Af J Prim Heal Care Fam Med, 10 (1), pp. e1-e3; Chuenkongkaew, WL, Negandhi, H, Lumbiganon, P, Wang, W, Mahmud, K, Cuong, PV., Attitude towards working in rural area and self-assessment of compe-tencies in last year medical students: A survey of five countries in Asia (2016) BMC Med Educ, 16 (1), p. 238; Kuhlmann, E, Groenewegen, PP, Bond, C, Burau, V, Hunter, DJ., Primary care workforce development in Europe: An overview of health system responses and stakeholder views (2018) Health Policy (New York), 122 (10), pp. 1055-1062; Zhu, B, Hsieh, C-W, Zhang, Y., Incorporating spatial sta-tistics into examining equity in health workforce dis-tribution: an empirical analysis in the chinese con-text (2018) Int J Env Res Public Heal, 15 (7), p. e1309; Zhu, B, Fu, Y, Liu, J, Mao, Y., Modeling the Dynamics and Spillovers of the Health Labor Market: Evidence from China’s Provincial Panel Data (2018) Sustainability, 10 (2), p. 333; Pinilla, AE., Educación en ciencias de la salud y en educación médica (2018) Acta Med Colomb, 43 (2), pp. 61-65; Albert, C, Jara, M., Crisis de médicos especialistas en la salud pública: las causas de un tumor de larga data (2015) CIPER; Urcullo, G, Vacano, J, Ricse, C, Cid, C., Health Worker Salaries and Benefits: Lessons from Bolivia, Peru and Chile https://cutt.ly/Mkk7RL2, Final Report [internet]. [Consultado el 27 de ju-nio de 2020]. Disponible en; Espinosa, V, de la Torre, D, Acuña, C, Cadena, C., Los recursos humanos en salud según el nuevo modelo de atención en Ecuador (2017) Rev Panam Salud Publica, 41, p. e52; Méndez, CA, Torres, A MC., Autonomía en la gestión hospitalaria en Chile: los desafíos para el recurso hu-mano en salud (2010) Rev Saúde Pública, 44 (2), pp. 366-371; Zhang, C, Liu, Y., The salary of physicians in Chinese public tertiary hospitals: a national cross-sectional and follow-up study (2018) BMC Heal Serv Res, 18 (1), p. 661; Miao, Y, Li, L, Bian, Y., Gender differences in job quali-ty and job satisfaction among doctors in rural wes-tern China (2017) BMC Heal Serv Res, 17 (1), p. 848; Hannawi, S, Al Salmi, I., Time to address gender in-equalities against female physicians (2018) Int J Heal Plann Manag, 33 (2), pp. 532-541; Bernalte Martí, V., Minoría de hombres en la profesión de enfermería. Reflexiones sobre su historia, imagen y evolución en España (2015) Enferm Glob, 14 (37), pp. 328-334; Mejia, CR, Chacón, JI, Garay Jaramillo, E, Jorge Torreal-ba, M, Delgado-García, S, Aveiro Róbalo, R, Capa-citaciones e investigación realizados por los recursos humanos en salud, Latinoamérica (2018) Educ Med, , En prensa; Mejia, CR, Valladares-Garrido, MJ, Valladares-Garrido, D., Baja publicación en revistas científicas de médi-cos peruanos con doctorado o maestría: frecuencia y características asociadas (2018) Educ Med, 19, pp. 135-141. , (Suppl 2); Galindo-Cárdenas, LA, López-Núñez, JA, Arango-Rave, ME, Vallejo-Merino, I., Tendencias de la investiga-ción sobre educación en los posgrados médicos (2015) Ia-treia, 28 (4), pp. 434-442. , v28n4a08</t>
  </si>
  <si>
    <t>Serrano, F.T.; Asociación Científica de Estudiantes de Medicina de la Universidad Pedagógica y Tecnológica de Colombia (ACEMED-UPTC)Colombia; email: orconie1@hotmail.com</t>
  </si>
  <si>
    <t>IATRE</t>
  </si>
  <si>
    <t>2-s2.0-85127689398</t>
  </si>
  <si>
    <t>González J.E., Mora J.U., Sierra L.P.</t>
  </si>
  <si>
    <t>57561541500;57207033364;56268805800;</t>
  </si>
  <si>
    <t>Forms of violence and its relation to departmental manufacturing investment in Colombia: 2000-2013 [Formas de violência e a sua relação com o investimento em produção departamental na Colômbia: 2000-2013] [Formas de violencia y su relación con la inversión manufacturera departamental en Colombia: 2000-2013]</t>
  </si>
  <si>
    <t>Revista Criminalidad</t>
  </si>
  <si>
    <t>10.47741/17943108.335</t>
  </si>
  <si>
    <t>https://www.scopus.com/inward/record.uri?eid=2-s2.0-85127561798&amp;doi=10.47741%2f17943108.335&amp;partnerID=40&amp;md5=341b3705ef9c99a21c761621c6d295ea</t>
  </si>
  <si>
    <t>Sistemas de Información Empresarial SIESA-Cali, Santiago de Cali, Colombia; Departamento de Economía, Pontificia Universidad Javeriana-Cali, Santiago de Cali, Colombia</t>
  </si>
  <si>
    <t>González, J.E., Sistemas de Información Empresarial SIESA-Cali, Santiago de Cali, Colombia; Mora, J.U., Departamento de Economía, Pontificia Universidad Javeriana-Cali, Santiago de Cali, Colombia; Sierra, L.P., Departamento de Economía, Pontificia Universidad Javeriana-Cali, Santiago de Cali, Colombia</t>
  </si>
  <si>
    <t>For decades, violence has affected the economic, political, and social development of Colombia. The objective of this paper is to evaluate the effects of violent crimes against people and private property on the behaviour of the manufacturing sector's net investment in the departments of Colombia during the period 2000 - 2013. This work is based on the models proposed by Acevedo and Mora (2009) and Acevedo and García (2015) and uses statistical information from the Annual Manufacturing Survey and various forms of violence (kidnappings, robberies, and homicides) obtained from the database of the Journal Criminalidad for the 32 departments and Bogota, D. C. We use a panel data model and the goodness of fit to select the models that best fit the data. The empirical evidence shows that violence measured by the number of kidnappings, rather than homicides and robberies, is the phenomenon that has affected investment the most. Specifically, a 1% increase in the number of kidnappings reduces net investment by 0.04%. These results showed that Bolívar, Caquetá, Cesar, Meta, and Tolima were the departments most affected by violence in Colombia during the period. © 2022 Policia Nacional de Colombia. All rights reserved.</t>
  </si>
  <si>
    <t>Armed conflict; Colombia; kidnappings; Private investment; violence</t>
  </si>
  <si>
    <t>Acevedo, R., Garcia, M., The price of crime: How crime affects private investment in South America (2015) Economia y Región, 9 (2), pp. 47-74. , https://revistas.utb.edu.co/index.php/economiayregion/article/view/105/85; Acevedo, R., Mora, J., Consideraciones sobre la relacion entre la inversion privada y los factores socio-politicos y judiciales en Venezuela y America Latina (2009) Compendium, 12 (22), pp. 5-23; Alvis Zakzuk, N. J., Diaz Jimenez, D., Castillo Rodriguez, L., Varela Valero, J., Alvis Guzman, N., Castaneda Orjuela, C., Costos del conflicto armado en Colombia: una revision sistematica (2018) Panorama Económico, 26 (3), pp. 299-316. , https://doi.org/10.32997/2463-0470-vol.26-num.3-2018-2240; Ayala, J., Aspiraciones economicas, conflicto y trampas de pobreza en Colombia (2014), (212). , http://repositorio.banrep.gov.co/handle/20.500.12134/3209, Documentos de Trabajo Sobre Economía Regional y Urbana; Baltagi, B. H., (2005) Econometric Analysis of Panel Data, , Third edition. John Wiley &amp; Sons; Camacho, A., Rodriguez, C., Firm exit and armed conflict in Colombia (2012) Journal of Conflict Resolution, 57 (1), pp. 89-116. , https://doi.org/10.1177/0022002712464848; Cotte, A., Crecimiento, desigualdad y pobreza: un analisis de la violencia en Colombia (2006) Revista de Investigacion, 6 (2), pp. 209-222. , https://www.redalyc.org/pdf/952/95260208.pdf; Deaton, A., Data and econometric tools for development analysis (1985) Handbook of Development Economics, pp. 1785-1882. , J. Behrman &amp; T. N. Srinivasan (Eds), North-Holland; Dinar, A., Keck, A., Private irrigation investment in Colombia: effects of violence, macroeconomic policy, and environmental conditions (1997) Agricultural Economics, 16 (1), pp. 1-15. , https://doi.org/10.1016/S0169-5150(96)01215-7; Dube, O., Vargas, J. F., Commodity price shocks and civil conflict: evidence from Colombia (2013) The Review of Economic Studies, 80 (4), pp. 1384-1421. , http://www.jstor.org/stable/43551562, ([285]); Feng, Y., Political freedom, political instability, and policy uncertainty: a study of political institutions and private investment in developing countries (2001) International Studies Quarterly, 45 (2), pp. 271-294. , http://www.jstor.org/stable/3096111; Fergusson, L., Ibanez, A. M., Riano, J. F., Conflict, educational attainment, and structural transformation: la Violencia in Colombia (2019) Economic Development and Cultural Change, 69 (1), pp. 335-371. , https://doi.org/10.1086/702995; Gil, J., Uribe, W., Violencia y crecimiento economico: un analisis empirico para Colombia (2017) Económicas CUC, 38 (1), pp. 55-78. , https://doi.org/10.17981/econcuc.38.1.03; Hausman, J. A., Specification tests in econometrics (1978) Econometrica, 46 (6), pp. 1251-1271. , https://doi.org/10.2307/1913827; Li, Q., Political violence and foreign direct investment (2006) Regional Economic Integration, Research in Global Strategic Management, 12, pp. 231-255; Mancera, A., Factores socioeconomicos y demograficos de distintas categorias de delitos en Colombia. Prueba desde un panel de datos de las regiones de Colombia (2008) Revista de Economía Del Caribe, 2, pp. 202-231. , https://doi.org/10.14482/rec.v0i2.556; Martinez, A., Analisis economico de la violencia en Colombia. Una nota sobre la literatura (2001) Cuadernos de Economía, 20 (34), pp. 157-187. , https://revistas.unal.edu.co/index.php/ceconomia/article/view/24436, (SE-); Medina, J. P., Pinzon, A. J., Zuleta, H., (2017) Violencia, procesos de paz e inversión industrial en Colombia, , https://repositorio.uniandes.edu.co/bitstream/handle/1992/8720/dcede2017-33.pdf?sequence=1&amp;isAllowed=y, Documentos de Trabajo CEDE 33, abril. Edicion Especial CESED; Medina, C., Posso, C., Tamayo, J., Costos de la violencia urbana y politicas publicas: algunas lecciones de Medellin (2011) Borradores de Economía, 674. , https://www.banrep.gov.co/sites/default/files/publicaciones/archivos/be_674.pdf, Banco de la Republica; Moyano, M. L., Gil, J. M., Efectos de la inversion extranjera directa sobre el crecimiento economico en Colombia: evidencia empirica 2000-2010 (2015) Apuntes Del Cenes, 34 (59), p. 63. , https://doi.org/10.19053/22565779.3536; Onaran, O., Yenturk, N., Do low wages stimulate investment? An analysis of the relationship between distribution and investment in Turkish private manufacturing industry (2001) International Review of Applied Economics, 15 (4), pp. 359-374. , https://doi.org/10.1080/02692170110081912; Ospina, N., Gimenez, G., La violencia en Latinoamerica y sus efectos sobre la inversion y la educacion (2009) Estudios de Economía Aplicada, 27 (3), pp. 1-22; Querubin, P., (2003) Crecimiento departamental y violencia criminal en Colombia, , https://repositorio.uniandes.edu.co/bitstream/handle/1992/8358/dcede2003-12pdf?sequence=1&amp;isAllowed=y, (Documento de Trabajo CEDE 12; Restrepo, W., Colombia: Estado, crisis politica y democracia (1999) Estudios Internacionales, 32 (127-128), pp. 169-189. , https://doi.org/10.5354/0719-3769.2011.14983; Reina, M., Ospina, D., Macias, S., Cortes, C., Impacto Económico de la Inversión Extranjera Directa en Colombia 2007-2015 (2016), https://www.repository.fedesarrollo.org.co/bitstream/handle/11445/3336/Repor_Septiembre_2016_Reina_et_al.pdf?sequence=2&amp;isAllowed=y, Fundacion para la Educacion y el Desarrollo (Fedesarrollo); Rodriguez, N. D., Country risk in foreign direct investment: similarities and differences with country risk in exports (2016) Nómadas. Critical Journal of Social and Juridical Sciences, 49, pp. 1-16. , https://doi.org/10.5209/NOMA.53538; Rojas, R. N., Huellas del conflicto armado en Casanare por causa de la explotacion petrolera en los anos 90 (2016) Derecho y Realidad, 14 (28), pp. 97-108. , https://revistas.uptc.edu.co/index.php/derecho_realidad/article/view/7814/6181; Romo, B., (2016) Modelo de datos de panel para el análisis del efecto de variables macroeconómicas en los procedimientos concursales de empresas españolas, , https://repositorio.comillas.edu/xmlui/bitstream/handle/11531/15406/TFM000448.pdf?sequence=1&amp;isAllowed=y, [Universidad Pontificia Comillas]; Rubio, M., La economia en una sociedad violenta (1998) Revista de Estudios Sociales, 1, pp. 22-32. , http://journals.openedition.org/revestudsoc/31291; Santa Maria, M., Rojas, N., Hernandez, G., Crecimiento económico y conflicto armado en Colombia (2013) Archivos de Economia, p. 400. , https://colaboracion.dnp.gov.co/CDT/EstudiosEconmicos/400.pdf; Trujillo, E., Badel, M., Los costos economicos de la criminalidad y la violencia en Colombia: 1991-1996 (1997) Planeacion y Desarrollo, XXVIII (4), pp. 265-326. , https://colaboracion.dnp.gov.co/CDT/RevistaPD/1997/pd_vXXVIII_n4-1997_art.10.pdf; Vargas, J. F., (2003) Conflicto interno y crecimiento económico en Colombia, , http://hdl.handle.net/1992/9510, Tesis de Maestria. Universidad de los Andes; Vargas, G., (2006) Introducción a la teoría económica. Un enfoque latinoamericano, , (segunda ed) Pearson, Prentice Hall</t>
  </si>
  <si>
    <t>Policia Nacional de Colombia</t>
  </si>
  <si>
    <t>Rev. Crim.</t>
  </si>
  <si>
    <t>2-s2.0-85127561798</t>
  </si>
  <si>
    <t>Solano S.P.D., Beltrán M.V., Güiza J.T.</t>
  </si>
  <si>
    <t>35280732300;57219531417;57561074800;</t>
  </si>
  <si>
    <t>Tobacco and female work. The Royal Cigar Factory of Cartagena of Indias, 1778-1805 [Tabaco e trabalho feminino. La Fábrica Real de Charutos de Cartagena de Índias, 1778-1805] [Tabaco y trabajo femenino. La Real Fábrica de Cigarros de Cartagena de Indias, 1778-1805]</t>
  </si>
  <si>
    <t>10.14482/memor.46.331.4</t>
  </si>
  <si>
    <t>https://www.scopus.com/inward/record.uri?eid=2-s2.0-85127498569&amp;doi=10.14482%2fmemor.46.331.4&amp;partnerID=40&amp;md5=e131d927ad1fffa47dd83427642f0582</t>
  </si>
  <si>
    <t>Universidad de Cartagena, Colombia; Instituto Internacional de Estudios del Caribe y Programa de Historia de la Universidad de Cartagena, Colombia; Maestrante en historia moderna y contemporánea, Instituto Mora, Mexico</t>
  </si>
  <si>
    <t>Solano, S.P.D., Universidad de Cartagena, Colombia; Beltrán, M.V., Instituto Internacional de Estudios del Caribe y Programa de Historia de la Universidad de Cartagena, Colombia; Güiza, J.T., Maestrante en historia moderna y contemporánea, Instituto Mora, Mexico</t>
  </si>
  <si>
    <t>This article studies the Royal Cigar Factory of Cartagena de Indias (1778-1805), result of the application of Bourbon’ reform policies that were interested in controlling some areas of agricultural production and the elaboration of derived products with the purpose of increasing the crown’s tax income. The factory strengthened a commercial circuit with Cuba, Panamá and the population of the interior of the province of Cartagena, and managed to maintain itself satisfactorily until 1805 when the empire’s fiscal crisis forced it to close its doors. It had a significant importance for the fiscal collections, and in the offer of work for women, turning them into providers of resources for their families. Based on the administration’s books related to tobacco and factory income, as well as other information from the General of the Nation of Colombia, we analyze its creation, the supply and costs of raw materials, production and expenses in labor, the numbers of women workers and their wages. His study adds new perspectives to the analysis of Bourbon’s policies in that city, to its social impact on the creation of fronts of wage labor, and opens a path for the study of the relations between gender and work in that city, a topic that so far it has not been studied. © 2022 Universidad del Norte. All rights reserved.</t>
  </si>
  <si>
    <t>Cartagena of Indias; Factory; Rents; Tobacco; Wage; Women; Workers</t>
  </si>
  <si>
    <t>Archivo General de Indias (AGI): fondos: Lima, , Mapas y Planos; Santa Fe; Archivo General de la Nación (AGN) – Colombia, Sección Archivo Anexos grupo II (SAA-II), fondo 7 Administración de Tabacos (AT), serie 2 Informes; serie 9 Nóminas; Sección Archivo Anexos grupo I (SAA-I), fondo 17 Historia; grupo III (SAA-III), fondos: 16 Guerra y Marina (GM), , 27 Tabacos; Sección Colonia, fondos: Abastos; Aduanas; Alcabalas; Caciques e Indios; Censos Varios Departamentos; Lazaretos; Mejoras Materiales; Milicias y Marina (MM); Miscelánea; Policía; Real Audiencia, Bolívar-Venezuela; Archivo Histórico Nacional de Madrid, Códices; Fonseca, F., Urrutia, C., (1849) Historia fiscal Nueva España, II. , de y, de México: Imprenta de Vicente García Torres; Gálvez, J., (1867) InformegeneralinstruyóyentregóelMarquésdeSonorasiendovisitadordeestereino deNuevaEspañaalVirreyFreydonAntonioBucareliyUrsúaconfecha31dediciembrede1771, , https://dgb.cultura.gob.mx/libros/dgb/90502_1.pdf, de México: Ministerio de Gobernación. Recuperado de; http://bdh-rd.bne.es/viewer.vm?id=0000042372&amp;page=1, El Pardo, 23 de febrero de 1761. Biblioteca Nacional de España-Biblioteca Digital Hispánica, Colección de Manuscritos, MSS/8663; (1793) Ordenanzas generales de la armada naval, , Tomo II. Madrid: Imp. de la viuda de don Joachin Ibarra; (1790), Lima: Imprenta Real de los Niños Expósitos. Biblioteca Nacional de Colombia, fondo Quijano 371, pieza 1; Ulloa, A., Juan, J., (1748) Relación histórica de un viaje a la América Meridional, I. , de y, Madrid: Imprenta de Antonio Marín; Urueta, J. P., (1891) Documentos para la historia de Cartagena, , (comp) tomo Cartagena: Imprenta de Antonio Araujo; Santa Gertrudis, F. J., (1956) Maravillas de la naturaleza, 1. , de tomo Bogotá: Presidencia de la República; Acevedo, Á., Torres Güiza, J. S., La renta de tabaco en la Nueva Granada, 1744-1850. Administración, comercio y monopolio (2016) Sociedad y Economía, 30, pp. 281-303. , https://doi.org/10.25100/sye.v0i30.3909; Amores Carredano, J., Tabaco y economía en el siglo XVIII (1999) La Renta delTabaco en Cuba a finales del siglo XVIII, pp. 123-137. , En A. González y R. Torres (coords), Pamplona: Universidad de Navarra; Arrelucea, M., (2009) Replanteando la esclavitud. Estudios de etnicidad y género en Lima borbónica, , Lima: Centro de Desarrollo Étnico/Centro Cultural España; Bejarano, J. A., Pulido, O., (1986) Eltabacoenunaeconomíaregional:AmbalemasiglosXVIIIyXIX, , Bogotá: Centro de Investigaciones para el Desarrollo; Bermúdez, I, (1997) Imágenes, representaciones y roles de la mujer en la sociedad colonial payanesa, , Quito: UASB; Brun, G., La organización del trabajo y la estructura de la unidad doméstica de los zapateros y cigarreros de Ciudad de México en 1811 (1979) Anuario, 2, pp. 9-29; Castro Gutiérrez, F., (1996) Nueva ley y nuevo rey: reformas borbónicas y rebelión popular en Nueva España, , México: Colmich; Céspedes, G., (1992) Tabaco en Nueva España, , Madrid: Real Academia de la Historia; Deans-Smith, S., (2014) Burócratas, cosecheros y trabajadores. La formación del monopolio del tabaco en la Nueva España borbónica, , México: Universidad Veracruzana/Instituto Mora/Colmich/Gobierno del Estado de Veracruz; Escobedo, R., La expansión geográfica de la renta del tabaco (2007) Estudis, 33, pp. 193-224; Gárate Ojanguren, M. M., Los efectos de las guerras en la financiación y comercio del tabaco cubano, 1779-1814 (2013) Boletín de la Real Sociedad Bascongada de Amigos del País, 69 (1-2), pp. 487-521; Gárate Ojanguren, M. M., La red de estancos de tabaco en América y la Real Hacienda durante la segunda mitad del siglo XVIII (2018) El tabaco y la esclavitud en la rearticulación imperial ibérica (s. XV-XX), , http://books.openedition.org/cidehus/6203, En S. Luxán y J. Figueirôa-Rêgo (coords), Évora: Publicações do Cidehus; García Corzo, R., Industria de la seda y labor femenina a fines del siglo XVIII en la Nueva España: María Gertrudis Gutiérrez Estrada (2018) Historia y Sociedad, 35, pp. 199-220. , http://dx.doi.org/10.15446/hys.n35.70752; Gonzalbo, P., Las mujeres novohispanas y las contradicciones de una sociedad patriarcal (2004) Las mujeres en la construcción de las sociedades iberoamericanas, pp. 121-140. , En P. Gonzalbo y B. Ares Queija (coords), México: Colmex/CSIC/EEHA; Gonzalbo, P., Espacio laboral y vida en familia. Las mujeres en la Real Fábrica de Tabacos de la Ciudad de México (2014) Espacios en la historia. Invención y transformación de los espacios sociales, pp. 237-258. , En P. Gonzalbo (Ed), México: Colmex; González, M., El estanco colonial del tabaco (1975) Cuadernos Colombianos, 8, pp. 637-708; Greenow, L., (1977) Family, household and home: a micro-geographic Analysis of Cartagena (New Granada) in 1777, , Syracuse, NY: Department of Geography; Harrison, J. P., (1951) The ColombianTobacco Industry from Government Monopoly to FreeTrade, 1778-1876, , (Tesis doctoral). University of California, Berkeley; Helg, A., (2011) LibertadeigualdadenelCaribecolombiano1770-1835, , Medellín, Colombia: EAFIT Banco de la República; Laviana Cuetos, M. L., El estanco del tabaco en Guayaquil (1985) TemasAmericanistas, 5, pp. 68-105; Lévano, D., Artesanos del humo. El gremio de cigarreros y limpioneros de Lima en el siglo XVIII (2015) Revista del Archivo General de la Nación, 29, pp. 103-140. , https://doi.org/10.37840/ragn.v29i1.59; López-Bejarano, P., (2019) Gente ociosa y mal entretenida. Trabajo y pereza en Santafé de Bogotá, , Siglo XVIII. Bogotá: Universidad de los Andes; Lux, M., (2006) LasmujeresdeCartagenadeIndiasenelsigloXVII, , Bogotá: Universidad de los Andes; Luxán Meléndez, S., El proceso de construcción del estanco imperial hispánico 1620-1786. Las reformas borbónicas del siglo XVIII (2019) Anuario de Estudios Atlánticos, 65, pp. 1-26; Marichal, C., Una empresa transatlántica del siglo XVIII: el monopolio del tabaco en Nueva España, Cuba y España (2006) Tabaco e historia económica. Estudios sobre fiscalidad, consumo y empresas (siglos XVII-XX), pp. 413-432. , En L. Álvarez, L. Gálvez y S. Luxán (coords), Madrid: Fundación Altadis; Martínez, L., (2019) Destierro, presidio y trabajo forzado en Nueva España y Nueva Granada en la segunda mitad del siglo XVIII, , (Tesis de maestría). UNAM, México; Martínez, L., De la pena de galeras a la fortificación. Uso de reos en los escenarios bélicos en el imperio español (2020) ElTallerdelaHistoria, 12 (2), pp. 1-22; Mcwatters, D., (1979) The royal tobacco monopoly in Bourbon Mexico, 1764-1810, , https://ufdc.ufl.edu/AA00026469/00001/pdf, Thesis PhD Florida University; Morales, C., (2015) Mercantilismo y crecimiento económico en el virreinato del Perú. La organización del estanco del tabaco. Lima 1750-1800, , (Tesis de maestría). Universidad Nacional Mayor de San Marcos, Lima; Múñoz, C., (2020) De notorios ladrones a benéficos artesanos: delitos contra la propiedad y trabajo penado. Ciudad de México (1800-1835), , A. (Tesis doctoral). México; Náter, L., Engranajes del imperio: el caso de los monopolios de tabaco en el siglo XVIII (2006) Tabaco e historia económica. Estudios sobre fiscalidad, consumo y empresa (siglos XVII-XIX), pp. 205-229. , En L. A. Álvarez, L. Gálvez y S. Luxán (coords), Madrid: Fundación Altadis; Náter, L., (2017) Redes del imperio. Análisis de gobernabilidad a partir del sistema de monopolios de tabaco en la monarquía española (siglos XVII y XVIII), , Santo Domingo: Archivo General de la Nación; Phelan, J. L., (2009) El pueblo y el rey, , Bogotá: Universidad del Rosario; Pérez Toledo, S., (2005) Los hijos del trabajo. Los artesanos de la Ciudad de México. 1780-1853, , México: UAM/Colmex; Pérez Toledo, S., (2011) Trabajadores, espacio urbano y sociabilidad en la Ciudad de México, 1790-1867, , México: UAM/Miguel Ángel Porrúa; Quiroz, E., (2016) Economía, obras públicas y trabajadores urbanos de Ciudad de México: 1687-1907, , México: Instituto Mora; Ramírez, M. H., (2000) Las mujeres y la sociedad Colonial de Santafé de Bogotá, 1750-1810, , Bogotá: ICANH; Ripoll, M. T., La elite en Cartagena y su tránsito a la república (2006) Renovación política sin renovación social, , Bogotá: Universidad de los Andes; Rodríguez, P., (1997) Sentimientos y vida familiar en el Nuevo Reino de Granada, , Bogotá: Ariel; Rodríguez, P., (2002) En busca de lo cotidiano. Honor, sexo, fiesta y sociedad. siglos XVII-XIX, , Bogotá: Universidad Nacional; Ros, M., La Real Fábrica de puros y cigarros. Organización del trabajo y estructura urbana (1978) Ciudad de México. Ensayos de construcción de una historia, pp. 47-55. , En A. Moreno y C. Aguirre (coords), México: SEP/INAH; Ros, M., La fábrica de puros y cigarros de México (1770-1800) (1979) Organización de la producción y relaciones de trabajo en el siglo XIX en México, pp. 52-67. , En S. Lombardo de Ruíz, México: INAH; Ros, M., La producción cigarrera a finales de la colonia. La fábrica en México (1984) CuadernodeTrabajo, 44, pp. 38-48; Ros, M., Descorporativización y recomposición de los agentes del tabaco en la Nueva España a finales del siglo XVIII (2000) ContinuidadesyrupturasurbanasenlossiglosXVIIIyXIX, pp. 339-362. , En M. Morales y R. Mas (coords), México: Consejo del Centro Histórico de la Ciudad de México; Ros, M., Siete mil trabajadores: orden policial y vigilancia en la Fábrica de puros y cigarros de México (siglo XVIII) (2012) Antropología, 94, pp. 41-48; Ros, M., ¡Alerta en la ciudad por el temido alboroto de los cigarreros! Orden y control en la Fábrica de Tabacos (1797) (2017) Orden, policía y seguridad: historia de las ciudades, pp. 67-92. , En M. Dávalos, R. Hernández, y D. Pulido (coords), México: Secretaría de Cultura/INAH; Solano, S. P., Artesanos, jornaleros y formas concentradas de trabajo: el Apostadero de la Marina de Cartagena de Indias (Nuevo Reino de Granada) en el tránsito entre los siglos XVIII y XIX (2015) Theomai, 31, pp. 79-105; Solano, S. P., Trabajadores, jornales, carestía y crisis política en Cartagena de Indias, 1750-1810 (2018) Historia, 51 (2), pp. 549-588. , https://doi.org/10.4067/S0717-71942018000200549; Solano, S. P., El precio de la república: los trabajadores de Cartagena de Indias, 1750-1850 (2019) Historia y Memoria, 18, pp. 243-287. , https:/doi.org/10.19053/20275137.n18.2019.8209; Solano, S. P., Gasto fiscal e inversiones en mano de obra libre en Hispanoamérica. El caso de Cartagena de Indias (1750-1810) (2019) Anuario de Historia Regional y de las Fronteras, 24 (2), pp. 195-232. , http://dx.doi.org/10.18273/revanu.v24n2-2019008; Suárez, C., De mercado libre a monopolio estatal: la producción tabacalera en Nueva España, 1760-1800 (2010) Caminos y mercados de México, pp. 411-432. , En J. Long y A. Attolini (coords), México: UNAM/INAH; Torres, R., (2013) El precio de la guerra. El Estado fiscal militar de Carlos iii (1779-1783), , Madrid: Marcial Pons; Torres Güiza, J. S., La Real Fábrica de Tabacos en polvo de Santafé y los proyectos de fabricar rapé en el Virreinato de Nueva Granada (1778-1808) (2018) Fronteras de la Historia, 23 (2), pp. 44-80. , https://doi.org/10.22380/20274688.447; Torres Güiza, J. S., (2019) La renta de tabaco en el Virreinato de la Nueva Granada, segunda mitad del siglo XVIII, , (Trabajo de grado) Universidad Industrial de Santander, Bucaramanga; Torres Güiza, J. S., (2019) Abastecimiento, distribución y venta de tabaco en rama en la Costa Atlántica neogranadina: las administraciones principales y las reales fábricas de cigarros de Cartagena y de Panamá (1778-1810), , Bogotá: Informe de investigación beca ICANH; Torres Güiza, J. S., Viva el tabaco a cuartillo”: Consecuencias económicas de los Comuneros del Socorro en la renta de tabaco (1778-1789) (2019) Quirón, 5 (11), pp. 52-73; Tovar, H., La historiografía sobre Cartagena de Indias en el siglo XVIII (1998) Cartagena de Indias y su historia, pp. 21-85. , En H. Calvo y A. Meisel (Eds), Cartagena: Banco de la República; Trujillo, M., La manufactura de hilados y tejidos en la historiografía mexicana, siglos XVIII y XIX. Obrajes, protoindustrias, empresariado y fábricas textiles (2017) Secuencia, 97, pp. 30-60. , http://dx.doi.org/10.18234/secuencia.v0i97.1447; Vanegas Beltrán, M., Solano, S. P., Cruz, M., El pequeño comercio en Cartagena de Indias: las tiendas de pulperías, 1770-1810 (2021) Amauta, 19 (3), pp. 1-23. , https://doi.org/10.15648/am.37.2021.2883, de la; Vizcarra, C., Bourbon intervention in the peruvian tobacco industry, 1752-1813 (2007) Journal of Latin American Studies, 39 (3), pp. 567-593. , https://doi.org/10.1017/S0022216X07002842</t>
  </si>
  <si>
    <t>2-s2.0-85127498569</t>
  </si>
  <si>
    <t>Hernández L.F.M., Cáceres E.X.U., Medellín M.O.P., López L.X.R.</t>
  </si>
  <si>
    <t>57552085500;57552321500;57194225808;57202593489;</t>
  </si>
  <si>
    <t>Serum glucose and fructosamine levels as possible indicators of diabetes mellitus in dogs [Niveles de glucosa y fructosamina sérica como posibles indicadores de diabetes mellitus en caninos]</t>
  </si>
  <si>
    <t>https://www.scopus.com/inward/record.uri?eid=2-s2.0-85127164764&amp;doi=10.15381%2frivep.v33i1.20539&amp;partnerID=40&amp;md5=a3c6b0bf51035ed455da2fcd8260fd49</t>
  </si>
  <si>
    <t>Universidad de Boyacá, Tunja, Colombia; Grupo de Investigación en Medicina Veterinaria y Zootecnia - GIDIMEVETZ, Universidad Pedagógica y Tecnológica de Colombia, Tunja, Colombia</t>
  </si>
  <si>
    <t>Hernández, L.F.M., Universidad de Boyacá, Tunja, Colombia; Cáceres, E.X.U., Universidad de Boyacá, Tunja, Colombia; Medellín, M.O.P., Grupo de Investigación en Medicina Veterinaria y Zootecnia - GIDIMEVETZ, Universidad Pedagógica y Tecnológica de Colombia, Tunja, Colombia; López, L.X.R., Universidad de Boyacá, Tunja, Colombia</t>
  </si>
  <si>
    <t>The aim of this study was to evaluate the usefulness of the measurement of glucose and serum fructosamine as possible indicative biomarkers for the diagnosis of canine diabetes mellitus (CDM). An analytical, descriptive, cross-sectional study was developed with a sample of 30 canines from a shelter in Cundinamarca, Colombia. The animals were without clinical signs of CDM. Data on sex, breed, age, diet, reproductive history, symptoms related to CDM and vaccination status of each animal were taken. A sample was collected from the cephalic vein while fasting for 8-12 hours and were immediately centrifuged to determine the concentration of glucose and serum fructosamine in an automated chemistry equipment. The results showed that 60% of the sampled population was male, 46.7% was 5 years old, 33.3% between 6 and 10 years old, and 20% more than 10 years old. All were consuming an exclusive diet of concentrate and all were sterilized. The results showed that 30% of canines without clinical signs of CMD presented higher glucose concentrations and fructosamine concentrations below the established biological reference interval. © Los autores</t>
  </si>
  <si>
    <t>carbohydrates; diabetes; hyperglycemia; metabolism</t>
  </si>
  <si>
    <t>fructosamine; glucose; animal experiment; animal tissue; Article; cephalic vein; Colombia; controlled study; cross-sectional study; experimental diabetes mellitus; fructosamine blood level; glucose blood level; male; nonhuman; reproductive history; sex difference; vaccination</t>
  </si>
  <si>
    <t>fructosamine, 4429-04-3; glucose, 50-99-7, 84778-64-3</t>
  </si>
  <si>
    <t>Álvarez, B, Ávila, F, López, S., Diagnóstico y tratamiento de la diabetes mellitus en perros (2017) Abanico Veterinario, 7, pp. 2448-6132; Catchpole, B, Ristic, JM, Fleeman, LM, Davison, LJ., Canine diabetes mellitus: can old dogs teach us new tricks? (2005) Diabetologia, 48, pp. 1948-1956; Guptill, L, Glickman, L, Glickman, N., Time trends and risk factors for diabetes mellitus in dogs: analysis of veterinary medical data base records (1970-1999) (2003) Vet J, 165, pp. 240-247; Catchpole, B, Adams, JP, Holder, AL, Short, AD, Ollier, WE, Kennedy, LJ., Genetics of canine diabetes mellitus: are the diabetes susceptibility genes identified in humans involved in breed susceptibility to diabetes mellitus in dogs? (2013) Vet J, 195, pp. 139-147; Cervantes, D, Presno, J., Fisiopatología de la diabetes y los mecanismos de muerte de las células β-pancreáticas (2013) Rev Endocrinol Nutr, 21, pp. 98-106; Cook, AK., Monitoring methods for dogs and cats with diabetes mellitus (2012) J Diabetes Sci Technol, 6, pp. 491-495; Davidson, LJ, Herrtage, ME, Catchpole, B., Study of 253 dogs in the United Kingdom with diabetes mellitus (2005) Vet Rec, 156, pp. 467-471; Fall, T, Hamlin, HH, Hedhammar, A, Kämpe, O, Egenvall, A., Diabetes mellitus in a population of 180,000 insured dogs: incidence, survival, and breed distribution (2007) J Vet Intern Med, 21, pp. 1209-1216; Florez, AA, Solano, JA., Estudio demográfico de la población de perros y gatos domicilia- dos en el sector suroriental de Bucaramanga, Colombia (2019) Rev Inv Vet Perú, 30, pp. 828-835; Goemans, AF, Spence, SJ, Ramsey, IK., Validation and determination of a reference interval for canine HbA1c using an immunoturbidimetric assay (2017) Vet Clin Path, 46, pp. 227-237; Heeley, AM, O'Neill, DG, Davison, LJ, Church, DB, Corless, EK, Brodbelt, DC., Diabetes mellitus in dogs attending UK primary-care practices: frequency, risk factors and survival (2020) Canine Med Genet, 7, p. 3778; Hoenig, M., Comparative aspects of diabetes mellitus in dogs and cats (2002) Mol Cell Endocrinol, 197, pp. 221-229; Idowu, O, Heading, K., Hypoglycemia in dogs: causes, management, and diagnosis (2018) Can Vet J, 59, pp. 642-649; Kumar, P, Kumari, RR, Kumar, M, Kumar, S, Chakrabarti, A., Current practices and research updates on diabetes mellitus in canine (2014) Vet World, 7, pp. 952-959; Landry, MP, Herring, IP, Panciera, DL., Funduscopic findings following cataract extraction by means of phacoemulsification in diabetic dogs: 52 cases (1993-2003) (2004) J Am Vet Med Assoc, 225, pp. 709-716; Loste, A, Marca, MC, Pérez, M, Unzueta, A., Clinical value of fructosamine measurements in non-healthy dogs (2001) Vet Res Commun, 25, pp. 109-115; Mattin, M, O'Neill, D, Church, D, McGreevy, PD, Thomson, PC, Brodbelt, D., An epidemiological study of diabetes mellitus in dogs attending first opinion practice in the UK (2014) Vet Rec174, p. 349; (2017) Censo y reporte de vacunación antirrábica de perros y gatos, , https://www.minsalud.gov.co/sites/rid/Lists/BibliotecaDigital/RIDE/VS/PP/SA/nacional-municipio-2017.pdf, Colombia año 2017. 24. [Internet]. Disponible en; Moshref, M, Tangey, B, Gilor, C, Papas, KK, Williamson, P, Loomba-Albrecht, L, Sheehy, P, Concise review: canine diabetes mellitus as a translational model for innovative regenerative medicine approaches (2019) Stem Cell Transl Med, 8, pp. 450-455; Nelson, RW., Canine diabetes mellitus (2015) Canine and feline endocrinology, pp. 213-257. , 4th ed. Elsevier; Pöppl, AG, de Carvalho, GLC, Vivian, IF, Corbellini, LG, González, FHD., Canine diabetes mellitus risk factors: A matched case-control study (2017) Res Vet Sci, 114, pp. 469-473; Rand, JS, Fleeman, LM, Farrow, HA, Appleton, DJ, Lederer, R., Canine and feline diabetes mellitus: nature or nurture? (2004) J Nutr, 134, pp. 2072S-2080S. , (Suppl 8); Sako, T, Mori, A, Lee, P, Takahashi, T, Izawa, T, Karasawa, S, Furuuchi, M, Diagnostic significance of serum glycated albumin in diabetic dogs (2008) J Vet Diagn Invest, 20, pp. 634-638; Soriano, JF, Núñez, J, León, D, Falcón, N., Estimación de la población de canes con dueño en el distrito de Comas, Lima-Perú (2017) Rev Cien Vet, 33 (2), pp. 1-10; Strage, EM, Lewitt, MS, Hanson, JM, Olsson, U, Norrvik, F, Lilliehöök, I, Holst, BS, Relationship among insulin resistance, growth hormone, and insulin-like growth factor I concentrations in diestrous Swedish Elkhounds (2014) J Vet Intern Med, 28, pp. 419-428; Tauk, BS, Drobatz, KJ, Wallace, KA, Hess, RS., Correlation between glucose concentrations in serum, plasma, and whole blood measured by a point-of-care glucometer and serum glucose concentration measured by an automated biochemical analyzer for canine and feline blood samples (2015) J Am Vet Med Assoc, 246, pp. 1327-1333; Verkest, KR, Fleeman, LM, Rand, JS, Morton, JM., Evaluation of beta-cell sensitivity to glucose and first-phase insulin secretion in obese dogs (2011) Am J Vet Res, 72, pp. 357-366; Reusch, CE, Haberer, B., Evaluation of fructosamine in dogs and cats with hypo- or hyperproteinaemia, azotaemia, hyperlipidaemia and hyperbilirubinaemia (2001) Vet Rec, 148, pp. 370-376</t>
  </si>
  <si>
    <t>López, L.X.R.; Universidad de BoyacáColombia; email: lauramirez@uniboyaca.edu.co</t>
  </si>
  <si>
    <t>2-s2.0-85127164764</t>
  </si>
  <si>
    <t>Borja L.M., Casquino Y.S.</t>
  </si>
  <si>
    <t>57550774300;57219655256;</t>
  </si>
  <si>
    <t>The Narrative Within the Interactive Documentary for the Reconstruction of Memory: Enforced Disappearances in Latin America</t>
  </si>
  <si>
    <t>Smart Innovation, Systems and Technologies</t>
  </si>
  <si>
    <t>10.1007/978-981-16-9272-7_24</t>
  </si>
  <si>
    <t>https://www.scopus.com/inward/record.uri?eid=2-s2.0-85127041930&amp;doi=10.1007%2f978-981-16-9272-7_24&amp;partnerID=40&amp;md5=5cc8dbd5c31dfd6dadf9e1e4913d860f</t>
  </si>
  <si>
    <t>Universidad Peruana de Ciencias Aplicadas, Prolongación Primavera 2390, Lima, Peru</t>
  </si>
  <si>
    <t>Borja, L.M., Universidad Peruana de Ciencias Aplicadas, Prolongación Primavera 2390, Lima, Peru; Casquino, Y.S., Universidad Peruana de Ciencias Aplicadas, Prolongación Primavera 2390, Lima, Peru</t>
  </si>
  <si>
    <t>The exposure of social problems such as forced disappearances is necessary for the history of society. The interactive documentary is a new digital proposal for the creation of spaces for the reconstruction of a social memory. In this paper, a content analysis is used to analyze the construction of the interactive narrative for the reconstruction of memory in the webdoc Forensic Landscapes and, with this, to identify its narrative composition in the construction of new spaces for the user’s experience. The interactive documentary generates a shared feeling between the user and the interface due to resources such as hypertextuality, database, narrative elements, representation modalities and interactivity. Thus, immersion is adhered, a new way of exposing a social theme in 360 degrees which recreates a sensory experience within an imaginary universe. Through the story, the memory of the agents involved in forced disappearances in Latin America is reconstructed. © 2022, The Author(s), under exclusive license to Springer Nature Singapore Pte Ltd.</t>
  </si>
  <si>
    <t>Interactive documentary; Interactive narratives; Memory reconstruction</t>
  </si>
  <si>
    <t>Content analysis; Hypertextuality; Interactive documentary; Interactive narrative; Interactivity; Latin America; Memory reconstruction; Sensory experiences; Social memory; Social problems</t>
  </si>
  <si>
    <t>Vázquez-Herrero, J., Negreira-Rey, M.C., Pereira-Fariña, X., Contribuciones del documental interactivo a la renovación de las narrativas periodísticas: Realidades y desafíos (2017) Rev. Lat. Comun. Soc., 72, pp. 397-414; Robledo, K., Atarama, T., Palomino, H., De la comunicación multimedia a la comunicación transmedia: Una revisión teórica sobre las actuales narrativas periodísticas (2017) Estudios Sobre El Mensaje Periodístico, 23 (1), pp. 223-240; Brown, M., Tucker, K., Unconsented sterilisation, participatory story-telling, and digital counter-memory in Peru (2017) Rev. Antipode, 49 (5), pp. 1186-1203; Zapata, I., La interactividad como arte (2015) Rev. ICONO, 1413 (1), pp. 270-293; Subires, M., El webdoc como herramienta en la lucha por la igualdad: En la brecha (2018) del Lab RTVE (2019) Fonseca J. Commun., 18, pp. 87-101; Arnau, R., Estrategias Transmedia y enunciación desde los márgenes: El universo narrativo de The Undocumented, Marco Williams, 2013 (2016) Rev. ICONO14, 14 (1), pp. 233-257; Ortuño, P., Villaplana, V., Activismo Transmedia. Narrativas de participación para el cambio social (2017) Rev. Obra Digit., (12), pp. 123-144; Gifreu, A., Vázquez-Herrero, J., López, X., Evolución del documental interactivo: Perspectivas y retos para su consolidación (2019) Estudos Em Comunicação, 29, pp. 127-145; Chanchí, G., Gómez, M., Campo, W., Criterios de usabilidad para el diseño y construcción de videojuegos (2019) Rev. RISTI., pp. 490-499; Gifreu, A., Evolución del concepto de no ficción. Aproximación a tres modelos narrativos (2015) Rev. Obra Digit., (8), pp. 14-39; Parra, D., Martínez, S., Creación de docuwebs: Gestión de nuevos géneros periodísticos online (2019) Revista El Profesional De La Información, 28 (4), pp. 1-12; Baptista, S., Azevedo, J., Analysing interactive documentaries and narrative: A proposal for categorization (2019) 9Th International Conference on Digital and Interactive Arts, pp. 1-9. , pp., Association for Computing Machinery, United States; Nallar, D., Alamo, S., Drelichman, V., Colantonio, F., (2020) Nuevos Puzzles Narrativos: Relaciones Entre Transmedia Y Game Design, 110, pp. 17-34; Molinares, V., Orozco, C., Memoria colectiva, derecho al olvido y comisiones: Análisis de experiencias comparadas (2020) Revista Jurídicas, 17 (2), pp. 72-89; Arboleda-Ariza, J., Bavosi, S., Prosser, G., El pasado en disputa: Apuntes para la articulación de la memoria social y los imaginarios sociales. Athenea Digital (2020) Revista De Pensamiento E Investigación Social, 20 (3); Guixé, C.J., Places of resistance and memory: Reside and resist (2020) Historia Y Memoria, 22, pp. 199-244; Mora, G., Industria de la memoria colectiva. Apuntes para la sistematización de un concepto desde el estudio de caso documental chileno (2018) Memoria Y Sociedad, 22 (44); Robledo, S.C., Genealogía e historia no resuelta de la desaparición forzada en México (2016) Íconos Revista De Ciencias Sociales, (55), p. 93; Gravante, T., Enforced disappearance and cultural trauma in Mexico: The Ayotzinapa movement (2018) Convergencia, 25 (77), pp. 13-28; Cepeda, A., Leetoy, S., De víctimas a expertas: Estrategias de agencia cívica para la identi-ficación de desaparecidos en México (2020) Íconos Revista De Ciencias Sociales, 25 (69), pp. 181-200; Janssens, J., “It’s not gossip, it’s true”: Denunciation and social control during the Guatemalan Armed Conflict (1970–85) (2020) J. Lat. Am. Stud., 3, pp. 107-132; Basaure, I., El delito de desaparición forzada de personas en América Latina (2018) Ius Humani. Law J., 7, pp. 9-36; Nichols, B.: La representación de la realidad: Cuestiones y conceptos sobre el documental, 1st edn. Paidós Ibérica, Barcelona (1997); Liu, Y., Liu, J., Argyriou, A., Ma, S., Wang, L., Xu, Z., 360-Degree VR video watermarking based on spherical wavelet transform (2021) ACM Trans. Multimedia Comput. Commun. Appl., 17 (1), pp. 1-24</t>
  </si>
  <si>
    <t>Casquino, Y.S.; Universidad Peruana de Ciencias Aplicadas, Prolongación Primavera 2390, Peru; email: pcavysay@upc.edu.pe</t>
  </si>
  <si>
    <t>Reis J.L.Peter M.K.Cayolla R.Bogdanovic Z.</t>
  </si>
  <si>
    <t>International Conference on Marketing and Technologies, ICMarkTech 2021</t>
  </si>
  <si>
    <t>2 December 2021 through 4 December 2021</t>
  </si>
  <si>
    <t>Smart Innov. Syst. Technol.</t>
  </si>
  <si>
    <t>2-s2.0-85127041930</t>
  </si>
  <si>
    <t>Gutiérrez-Sanín F., Gutiérrez J.A.</t>
  </si>
  <si>
    <t>57222706740;57218249371;</t>
  </si>
  <si>
    <t>State, Political Power and Criminality in Civil War: An Editorial Revisiting Old debates From Different angles</t>
  </si>
  <si>
    <t>Journal of Political Power</t>
  </si>
  <si>
    <t>10.1080/2158379X.2022.2036050</t>
  </si>
  <si>
    <t>https://www.scopus.com/inward/record.uri?eid=2-s2.0-85127018781&amp;doi=10.1080%2f2158379X.2022.2036050&amp;partnerID=40&amp;md5=d09460012e96975bd057fd11949039d7</t>
  </si>
  <si>
    <t>Institute of Politics and International Relations (Iepri), Universidad Nacional de Colombia, Bogotá, Colombia; School of Law, Universidad Santo Tomás Medellín, Colombia and Institute for International Conflict Resolution and Reconstruction (Iicrr), Dublin City University, Dublin, Ireland</t>
  </si>
  <si>
    <t>Gutiérrez-Sanín, F., Institute of Politics and International Relations (Iepri), Universidad Nacional de Colombia, Bogotá, Colombia; Gutiérrez, J.A., School of Law, Universidad Santo Tomás Medellín, Colombia and Institute for International Conflict Resolution and Reconstruction (Iicrr), Dublin City University, Dublin, Ireland</t>
  </si>
  <si>
    <t>This special issue revisits and reframes the old, but active, debate on the relationship between criminality and civil war. It argues that the terms in which the debate is generally posed are still inadequate to address the complexities of this relationship, showing how criminalisation and de-criminalisation are deeply political and hotly contested processes.  The shifting movements towards the separation -or convergence- between criminality and politics are part of the processes of constitution of both political power and state. The articles in the issue flesh out the mechanisms and social dynamics through which this takes place. © 2022 Informa UK Limited, trading as Taylor &amp; Francis Group.</t>
  </si>
  <si>
    <t>conflict; criminalisation; criminality; Political power; state</t>
  </si>
  <si>
    <t>Alexander, M., (2019) The new Jim Crow. Mass incarceration in the age of colorblindness, , New York: New Press; Althusser, L., (1992) Montesquieu, la politique et l’histoire, , Paris: Quadrige PUF; Andreas, P., The clandestine political economy of war and peace in Bosnia (2004) International Studies Quarterly, 48 (1), pp. 29-51; Arditto, A., (2015) Machiavelli and the modern state the prince, the discourses on livy, and the extended territorial republic, , Cambridge: Cambridge University Press; Augustine, S., (2017) The city of god, , Kindle, Digireads, ed; Blok, A., (1974) The mafia of a sicilian village, 1860-1960 A study of violent peasant entrepreneurs, , Long Grove: Waveland Press; Burckhardt, J., (2010) The state as a work of art, , London: Penguin; Ciro, E., (2020) Levantados de la selva. Vida y legitimidades en los territorios cocaleros de Caquetá, , Bogotá: Uniandes; Collier, P., Rebellion as a quasi-criminal activity (2000) The Journal of Conflict Resolution, 44 (6), pp. 839-853; Collier, P., Hoeffler, A., Greed and grievance in civil war (2004) Oxford Economic Papers, 56 (4), pp. 563-595; Collier, P., Hoeffler, A., Rohne, D., Beyond greed and grievance: feasibility and civil war (2009) Oxford Economic Papers, 61 (1), pp. 1-27; Cramer, C., Homo economicus goes to war: methodological individualism, rational choice and the political economy of war (2002) World Development, 30 (11), pp. 1845-1864; Cramer, C., Richards, P., Violence and war in agrarian perspective (2011) Journal of Agrarian Change, 11 (3), pp. 277-297; Cristopher, E., Pybus, C., Rediker, M., (2007) Many middle passages. Forced migration and the making of the modern world, , Berkely: University of California Press; Dukes, P., (1990) The making of Russian absolutism, 1613-1801, , New York: Routledge; Duyvesteyn, I., (2005) Clausewitz and African war. Politics and strategy in Liberia and Somalia, , London: Frank Cass; Duyvesteyn, I., (2019) Rebels and legitimacy. Processes and practices, , London: Routledge; Elster, J., (1998) Deliberative democracy, , Cambridge: Cambridge University Press; Foner, E., (1981) Politics and ideology in the age of the civil war, , Oxford: Oxford University Press; Franklin, J., (1992) Bodin: on sovereignty, , New York: Cambridge University Press; Gambetta, D., (1996) The sicilian mafia: the business of private protection, , Cambridge: Harvard University Press; Gootenberg, P., (2016) Cocaína andina. El proceso de una droga global, , Lima: Universidad Nacional de Juliaca; Guarienti, C., (2014) Il bandito e il governatore. Domenico d’amorotto e francesco gucciardini nell’eté delle guerre in Italia, , Roma: Viella; Gutiérrez-Sanín, F., Criminal rebels? A discussion of war and criminality from the Colombian experience (2004) Politics and Society, 32 (2), pp. 257-285; Gutiérrez-Sanín, F., Clausewitz vindicated? Economics and politics in the Colombian war (2008) Order, conflict and violence, pp. 219-241. , Kalyvas S., Shapiro I., Masoud T., (eds), New York: Cambridge University Press, eds; Gutiérrez-Sanín, F., Telling the difference: guerrillas and paramilitaries in the Colombian war (2008) Politics and Society, 36 (1), pp. 3-34; Gutiérrez-Sanín, F., Tough tradeoffs: coca crops and agrarian alternatives in Colombia (2021) The International Journal on Drug Policy, 89 (2), pp. 103-156; Gutiérrez-Sanín, F., Wood, E., What should we mean by “pattern of political violence”? Repertoire, targeting, frequency, and technique (2017) Perspectives on Politics, 15 (1), pp. 20-41; Gutiérrez, J., Thomson, F., Rebels-turned-narcos? The FARC-EP’s political involvement in Colombia’s cocaine economy (2021) Studies in Conflict and Terrorism, 44 (1), pp. 26-51; Ha, J., (2010) Bad Samaritans. The myth of free trade and the secret history of capitalism, , New York: Bloomsbury Publishing; Hanes, W., Sanello, F., (2002) The opium wars: the addiction of one empire and the corruption of another, , Naperville: Sourcebooks; Heyman, J., (1999) States and illegal practices, , Oxford: Berg; Hobsbawm, E., (2000) Bandits, , London: Weidenfeld &amp; Nicolson; Kaldor, M., (1999) New and old wars: organized violence in a global Era, , Stanford: Stanford University Press; Kalyvas, S., New and old civil wars: a valid distinction? (2001) World Politics, 54 (1), pp. 99-118; Kelsey, H., (2000) Sir Francis Drake: the Queen’s Pirate, , New Haven: Yale University Press; Lasswell, H., (2018) Politics: who gets what, when, how, , Kindle, Papamoa Press, ed; Lessing, B., Willis, G., Legitimacy in criminal governance: managing a drug empire from behind bars (2019) American Political Science Review, 113 (2), pp. 584-606; Lund, C., Eilenberg, M., Rule and rupture: state formation through the production of property and citizenship (2017) Development and Change, 47 (6), pp. 1199-1228; Macchiavelli, N., (2017) Il principe, , Kindle, Amazon Classics, ed; Mandic, D., (2021) Gangsters and other statesmen. Mafias, separatists, and torn states in a globalized world, , Princeton: Princeton University Press; Mann, M., (2013) The sources of social power. A history of power from the beginning to AD 1760, 4. , Cambridge: Cambridge University Press; Mann, M., El poder autónomo del estado: sus orígenes, mecanismos y resultados (2020) La teoría del estado después de Poulantzas, , Samartino J., (ed), Bue Aires: Prometeo Libros, ed; Marks, T., FARC, 1982–2002: criminal foundation for insurgent defeat (2017) Small Wars &amp; Insurgencies, 28 (3), pp. 488-523; McKeown, L., (2001) Out of time: Irish republican prisoners, Long Kesh 1972-2000, , Belfast: Beyond the Pale; Mercille, J., Violent Narco-Cartels or US hegemony? The political economy of the “war on drugs” in Mexico (2011) Third World Quarterly, 32 (9), pp. 1637-1653; Ostrom, E., (2005) Understanding institutional diversity, , Princeton: Princeton University Press; Pinedo, M., La memoria carcelaria en Sendero Luminoso y en el Movimiento de Liberación Nacional-Tupamaro (1982-2017) (2020) Historia Y Memoria, 21, pp. 235-268; Poggi, G., (2014) Stato, Alfabeto Treccani, , Kindle, ed; Richards, P., (2005) No peace no war. An anthropology of contemporary armed conflict, , Athens: Ohio University Press; Ron, J., Paradigm in distress? Primary commodities and civil war (2005) Journal of Conflict Resolution, 49 (4), pp. 443-450; Ross, M., How do natural resources influence civil wars? Evidence from 13 cases (2004) International Organization, 58 (1), pp. 35-67; Sánchez, G., Meertens, D., (1983) Bandoleros, gamonales y campesinos, , Bogotá: El Áncora; Sartori, G., (1994) Democrazia, Alfabeto Treccani, , Kindle, ed; Soifer, H., State infrastructural power: conceptualization and Measurement in Empirical Analysis’ Studies (2008) Comparative International Development, 43 (3), pp. 231-251; Spruyt, H., War and state formation. Amending the bellicist theory of state-making (2017) Does war make states? Investigations of Charles Tilly’s historical sociology, pp. 73-97. , Kaspersen L., Strandsbjerg J., (eds), Cambridge: Cambridge University Press, eds; Tate, W., (2015) Drugs, thugs and diplomats. US policy making in Colombia, , Stanford: Stanford University Press; Tilly, C., War making and state making as organized crime (1985) Bringing the state back in, pp. 169-191. , Evans P., Rueschemeyer D., Skocpol T., (eds), Cambridge: Cambridge University Press, eds; Trujillo, C., (2015) Ciro: páginas de su vida, , Bogotá: Izquierda Viva; Van der Wilt, H., Joint criminal enterprise: possibilities and limitations (2007) Journal of International Criminal Justice, 5 (1), pp. 91-108; Winter, Y., (2018) Machiavelli and the orders of violence, , Cambridge: Cambridge University Press; Wolf, E., (1973) Peasant wars of the twentieth century, , London: Faber and Faber; Wolff, M., Building criminal authority: a comparative analysis of drug gangs in Rio de Janeiro and Recife (2015) Latin American Politics and Society, 57 (2), pp. 21-40; Womack, J., (1968) Zapata and the Mexican revolution, , New York: Random House</t>
  </si>
  <si>
    <t>Gutiérrez-Sanín, F.; Institute of Politics and International Relations, Carrera 7 No 83-36, Apartamento 202, Colombia; email: fgutiers2002@yahoo.com</t>
  </si>
  <si>
    <t>2158379X</t>
  </si>
  <si>
    <t>J. Polit. Power</t>
  </si>
  <si>
    <t>2-s2.0-85127018781</t>
  </si>
  <si>
    <t>García-Valadez J.C., Carmona-Hernández O., Bulbarela-Sampieri C., López-Del-Castillo-Lozano M., Aguirre Martínez A.M., Lozada-García J.A.</t>
  </si>
  <si>
    <t>57543030600;56516962700;17343196100;16047584400;57544452800;55943892500;</t>
  </si>
  <si>
    <t>Effect of Morus alba on the flavonoids content and bromatological profile of goat milk [Efecto de Morus alba en el contenido de flavonoides y perfil bromatológico de leche caprina]</t>
  </si>
  <si>
    <t>10.15517/am.v33i1.46905</t>
  </si>
  <si>
    <t>https://www.scopus.com/inward/record.uri?eid=2-s2.0-85126859870&amp;doi=10.15517%2fam.v33i1.46905&amp;partnerID=40&amp;md5=2b6b16bc2b32be0b45428cb2e942be12</t>
  </si>
  <si>
    <t>Universidad Veracruzana, Facultad de Biología, Circuito Gonzalo Aguirre Beltrán s/n, Xalapa, Zona Universitaria, Veracruz, 91097, Mexico; Universidad Veracruzana, Facultad de Ciencias Agrícolas, Circuito Gonzalo Aguirre Beltrán s/n, Xalapa, Zona Universitaria, Veracruz, 91097, Mexico; Universidad Veracruzana, Facultad de Ciencias Químicas, Lomas del Estadio S/N, Xalapa, Veracruz, 91000, Mexico; Universidad Veracruzana, Instituto de Ciencias Básicas, Av. Doctor Luis Castelazo, Xalapa, Industrial Las Animas, Veracruz, 91190, Mexico</t>
  </si>
  <si>
    <t>García-Valadez, J.C., Universidad Veracruzana, Facultad de Biología, Circuito Gonzalo Aguirre Beltrán s/n, Xalapa, Zona Universitaria, Veracruz, 91097, Mexico; Carmona-Hernández, O., Universidad Veracruzana, Facultad de Ciencias Agrícolas, Circuito Gonzalo Aguirre Beltrán s/n, Xalapa, Zona Universitaria, Veracruz, 91097, Mexico; Bulbarela-Sampieri, C., Universidad Veracruzana, Facultad de Ciencias Químicas, Lomas del Estadio S/N, Xalapa, Veracruz, 91000, Mexico; López-Del-Castillo-Lozano, M., Universidad Veracruzana, Instituto de Ciencias Básicas, Av. Doctor Luis Castelazo, Xalapa, Industrial Las Animas, Veracruz, 91190, Mexico; Aguirre Martínez, A.M., Universidad Veracruzana, Facultad de Biología, Circuito Gonzalo Aguirre Beltrán s/n, Xalapa, Zona Universitaria, Veracruz, 91097, Mexico; Lozada-García, J.A., Universidad Veracruzana, Facultad de Biología, Circuito Gonzalo Aguirre Beltrán s/n, Xalapa, Zona Universitaria, Veracruz, 91097, Mexico</t>
  </si>
  <si>
    <t>Introduction. Mulberry (Morus alba), a plant native to China, is used as a fodder on some farms. Its high protein content stimulates milk production in cattle; however, it is not known whether its flavonoids can be incorporated into goat milk. Objective. To evaluate the effect of a diet enriched with mulberry-enriched, on flavonoids concentration and bromatological parameters of milk from stabled alpine goats. Materials and methods. The experiment was carried out in 2019, with goats from a particular farm located in Veracruz, Mexico. Two groups were formed (A with the treatment and B control) with five Alpine breed goats each, with similar characteristics (stall feeding, three calving, without mastitis, morning and evening hand milking). Group A received forage without mulberry before and after treatment (days 1-10 and 21-31, respectively), and a modified forage diet with mulberry (days 11-20; group B was fed forage without mulberry on all 31 days of experimentation. Additionally, the flavonoid content in mulberry and every three days in milk samples were analyzed, in addition to the bromatological content of protein, fat, lactose, nonfat solids, and density. Results. During the mulberry-modified diet, the flavonoid concentration reached a maximum of 53.45 mg mL-1 EQ in group A at day 20, it decreased gradually during the post-treatment period; however, it maintained 20 % more flavonoids than the control group. A significant increase in protein content was also observed in group A, with no significant difference in the other bromatological parameters of the milk between the two groups. Conclusions. The diets modified with mulberry favored the incorporation of flavonoids and the increase of protein in goat milk, without modifying the other bromatological parameters. © 2022 Agronomía Mesoamericana</t>
  </si>
  <si>
    <t>alpine goats; forage diet; Mexico; mulberry</t>
  </si>
  <si>
    <t>Alyaqoubi, S., Abdullah, A., Addai, Z. R., Antioxidant activity of goat’s milk from three different locations in Malaysia (2014) AIP Conference Proceedings, 1614 (1), pp. 198-201. , https://doi.org/10.1063/1.4895195; Aoi, W., Iwasa, M., Marunaka, Y., Metabolic functions of flavonoids: from human epidemiology to molecular mechanism (2021) Neuropeptides, 88 (1), p. 102163. , https://doi.org/10.1016/j.npep.2021.102163, Article; Batty, D., Meunier-Goddik, L., Waite-Cusic, J. G., Camembert-type cheese quality and safety implications in relation to the timing of high-pressure processing during aging (2019) Journal of Dairy Science, 102 (10), pp. 8721-8733. , https://doi.org/10.3168/jds.2018-16236; Benavides, J. E., Manejo y utilización de la morera (Morus alba) como forraje (1995) Agroforestería en las Américas, 2 (7), pp. 27-30; Benavides, E. J., Utilización de la Morera en sistemas de Producción Animal (1999) Agroforestería para la producción animal en América Latina, pp. 195-200. , En M. D. Sánchez &amp; M. M. Rosales (Eds), Organización de Naciones Unidas para la Agricultura y Alimentación; Bidot Fernández, F. A., Composición, cualidades y beneficios de la leche de cabra: revisión bibliográfica (2017) Revista de Producción Animal, 29 (2), pp. 32-41. , https://revistas.reduc.edu.cu/index.php/rpa/article/view/1686; Boschini, F. C., Producción y calidad de la morera (Morus alba) cosechada en diferentes modalidades de poda (2001) Agronomía Mesoamericana, 12 (2), pp. 175-180. , https://doi.org/10.15517/AM.V12I2.17230; Boschini, C., Dormond, H., Castro, A., Composición química de la morera (Morus alba), para uso en la alimentación animal: Densidades y frecuencias de poda (2000) Agronomía Mesoamericana, 11 (1), pp. 41-49. , https://doi.org/10.15517/am.v11i1.17340; Cabiddu, A., Delgadillo-Puga, C., Decandia, M., Molle, G., Extensive ruminant production systems and milk quality with emphasis on unsaturated fatty acids, volatile compounds, antioxidant protection degree and phenol content (2019) Animals, 9 (10), pp. 1-17. , https://doi.org/10.3390/ani9100771; Chávez-Servín, J. L., Andrade-Montemayor, H. M., Velázquez Vázquez, C., Aguilera Barreyro, A., García-Gasca, T., Ferríz Martínez, R. A., Olvera Ramírez, A. M., de-la-Torre-Carbot, K., Effects of feeding system, heat treatment and season on phenolic compounds and antioxidant capacity in goat milk, whey and cheese (2018) Small Ruminant Research, 160 (1), pp. 54-58. , https://doi.org/10.1016/j.smallrumres.2018.01.011; Correddu, F., Lunesu, M. F., Buffa, G., Atzori, A. S., Nudda, A., Battacone, G., Pulina, G., Can agro-industrial byproducts rich in polyphenols be advantageously used in the feeding and nutrition of dairy small ruminants (2020) Animals, 10 (1), p. 131. , https://doi.org/10.3390/ani10010131, Article; Cuchillo, H. M., Puga, D., Galina, M. A., Pérez-Gil, R. F., Influence of semiarid summer browsing on chemical (2009) Tropical and Subtropical Agroecosystems, 11 (1), pp. 25-28. , https://www.revista.ccba.uady.mx/ojs/index.php/TSA/article/view/88; Cuchillo, H. M., Puga, C. D., Ocana, A. N., Romo, F. P. G., Antioxidant activity, bioactive polyphenols in Mexican goats’ milk cheeses on summer grazing (2010) Journal of Dairy Research, 77 (1), pp. 20-26. , https://doi.org/10.1017/S0022029909990161; De-Feo, V., Quaranta, E., Fedele, V., Salvatore, C., Rubino, R., Pizza, C., Flavonoids and terpenoids in goat milk in relation to forage intake (2006) Italian Journal of Food Science, 18 (1), pp. 85-92; Delgadillo-Puga, C., Cuchillo-Hilario, M., León-Ortiz, L., Ramírez-Rodríguez, A., Cabiddu, A., Navarro-Ocaña, A., Morales-Romero, A. M., Pedraza-Chaverri, J., Goats’ feeding supplementation with Acacia farnesiana pods and their relationship with milk composition: Fatty acids, polyphenols, and antioxidant activity (2019) Animals, 9, p. 515. , https://doi.org/10.3390/ani9080515, Article; Delgado, M. J., Rodríguez Molano, C. E., Producción y valor nutricional del cultivo de morera (Morus alba L.) con intercalamiento de leguminosas (2012) Revista Ciencia y Agricultura, 9 (2), pp. 7-14. , https://revistas.uptc.edu.co/index.php/ciencia_agricultura/article/view/2811; (1978) NMX-F-066-S-1978. Determinación de cenizas en alimentos, , https://xdoc.mx/documents/nmx-f-066-s-1978-determinacion-de-cenizas-en-alimentos-5f9b9221d6381; (1978), http://dof.gob.mx/nota_detalle.php?codigo=4704689&amp;fecha=23/05/1978, NMX-F-317-S-1978. Determinación de pH en alimentos; (1980) NMX-F-068-S-1890, , http://www.dof.gob.mx/nota_detalle_popup.php?codigo=734069, Alimentos: Determinación de proteínas; (1986) NMX-F-083-S-1986. Alimentos. Determinación de humedad en productos Alimenticios, , https://caisatech.net/uploads/XXI_2_MXD_C10_NMX-F-083-1986_R0_14JUL1986.pdf; Ercisli, S., Orhan, E., Chemical composition of white (Morus alba), red (Morus rubra) and black (Morus nigra) mulberry fruits (2007) Food Chemistry, 103 (4), pp. 1380-1384. , https://doi.org/10.1016/j.foodchem.2006.10.054; Ercisli, S., Orhan, E., Some physico-chemical characteristics of black mulberry (Morus nigra L.) genotypes from Northeast Anatolia region of Turkey (2007) Scientia Horticulturae, 116 (1), pp. 41-46. , https://doi.org/10.1016/j.scienta.2007.10.021; Farahani, M., Salehi-Arjmand, H., Khadivi, A., Akramian, M., Chemical characterization and antioxidant activities of Morus alba var. nigra fruits (2019) Scientia Horticulturae, 253 (1), pp. 120-127. , https://doi.org/10.1016/j.scienta.2019.04.040; García, D. E., Ojeda, F., Evaluación de los principales factores que influyen en la composición fotoquímica de Morus alba (Linn.). III. Flavonoides totales (2004) Pastos y Forrajes, 27 (3), pp. 267-272. , https://payfo.ihatuey.cu/index.php?journal=pasto&amp;page=article&amp;op=view&amp;path%5B%5D=780; García, D., Noda, Y., Medina, M., Martín, G., Soca, M., La morera: una alternativa viable para los sistemas de alimentación animal en el trópico (2006) Avances en Investigación Agropecuaria, 10 (1), pp. 55-72; Granja-Salcedo, Y. T., Ribeiro-Junior, C. S., Toro-Gómez, D. J., Rivera-Calderón, L. G., Machado, M., Manrique-Ardila, A., Acidosis ruminal en bovinos lecheros: implicaciones sobre la producción y la salud animal - Ruminal (2012) REDVET, 13 (4), pp. 1-11. , https://repositorio.unesp.br/bitstream/handle/11449/73277/2-s2.0-84862106189.pdf?sequence=1&amp;isAllowed=y; Guo, C., Zhang, H., Guan, X., Zhou, Z., The anti-aging potential of Neohesperidine and tis synergistic effects with other citrus flavonoids in extending chronological lifespan of Saccharomyces cerevisiae BY4742 (2019) Molecules, 24, p. 4093. , https://doi.org/10.3390/molecules24224093, Article; Gutiérrez Gaitén, Y. I., Miranda Martínez, M., Varona Torres, N., Rodríguez, A. T., Validación de 2 métodos espectrofotométricos para la cuantificación de taninos y flavonoides (quercetina) en Psidium guajaba, L (2000) Revista Cubana de Farmacia, 34 (1), pp. 50-55; Hassan, F.-u., Arshad, M. A., Li, M., Rehman, M. S., Loor, J. J., Huang, J., Potential of Mulberry leaf biomass and its flavonoids to improve production and health in ruminants: mechanistic insights and prospects (2020) Animals, 10 (1), p. 2076. , https://doi.org/10.3390/ani10112076, u Article; Herce, P., (1954) Análisis agrícola fundamentos y técnicos operatorios, , Editorial Dossat; Herrera-Campos, L. R., Vargas-Rodríguez, C. F., Boschini-Figueroa, C., Chacón-Villalobos, A., Variación bromatológica de la leche de cabras Lamancha alimentadas con diferentes forrajes (2009) Agronomía mesoamericana, 20 (2), pp. 381-390. , http://doi.org/10.15517/am.v20i2.4954; Hewedi, M. M., Mulvihill, D. M., Fox, P. F., Recovery of milk protein by ethanol precipitation (1985) Irish Journal of Food Science and Technology, 9 (1), pp. 11-23. , https://www.jstor.org/stable/25558097; Hurtado, D. I., Nocua, S., Narváez-Solarte, W., Valor nutricional de la morera (Morus sp.), matarratón (Gliricidia sepium), pasto india (Panicum maximum) y arboloco (Montanoa quadrangularis) en la alimentación de cuyes (Cavia porcellus) (2012) Revista de Veterinária e Zootecnia, 6 (1), pp. 56-65. , http://vip.ucaldas.edu.co/vetzootec/downloads/v6n1a06.pdf; Inglingstad, R. A., Steinshamn, H., Dagnachew, B. S., Valenti, B., Criscione, A., Rukke, E. O., Devold, T.G., Vegarud, G. E., Grazing season and forage type influence goat milk composition and rennet coagulation properties (2014) Journal of Dairy Science, 97 (6), pp. 3800-3814. , https://doi.org/10.3168/jds.2013-7542; Lee, Y., Hwang, K. T., Changes in physicochemical properties of mulberry fruits (Morus alba L.) during ripening (2017) Scientia Horticulturae, 217 (1), pp. 189-196. , https://doi.org/10.1016/j.scienta.2017.01.042; Leparmarai, P. T., Sinz, S., Kunz, C., Liesegang, A., Ortmann, S., Kreuzer, M., Marquardt, S., Transfer of total phenols from a grapeseed-supplemented diet to dairy sheep and goat milk, and effects on performance and milk quality (2019) Journal of Animal Science, 97 (4), pp. 1840-1851. , https://doi.org/10.1093/jas/skz046; Li, H. X., Jo, E., Myung, C. S., Kim, Y. H., Yang, S. Y., Lipolytic effect of compounds isolated from leaves of mulberry (Morus alba L.) in 3T3-L1 adipocytes (2018) Natural Product Research, 32 (16), pp. 1963-1966. , https://doi.org/10.1080/14786419.2017.1354190; Mahmoud, A. M., Hernández-Batista, R. J., Sandhu, M. A., Hussein, C. A., Beneficial effects of citrus flavonoids on cardiovascular and metabolic health (2019) Oxidative Medicine and Cellular Longevity, 2019, p. 5484138. , https://doi.org/10.1155/2019/5484138, Article; Manzur, C. A., Ruíz, R. J. L., Sánchez, M. B., Cruz, L. J. L., Orántes, Z. M. A., Lau, S. A., Castellanos, C. A., Análisis de la composición química de leche en explotaciones lecheras en las regiones 01 Centro y 04 Frailesca de Chiapas (2012) Quehacer Científico en Chiapas, 1 (14), pp. 14-20; Martín, G. J., Noda, Y., Pentón, G., García, D. E., García, F., González, E., Ojeda, F., Arece, J., La morera (Morus alba, Linn.): una especie de interés para la alimentación animal (2007) Pastos y Forrajes, 30. , (supl. 20075), Artículo 1; Palomino, L. R., García, C. M., Gil, J. H., Rojano, B. A., Durangor, D. L., Determinación del contenido de fenoles y evaluación de la actividad antioxidante de propóleos recolectados en el departamento de Antioquia (Colombia) (2009) Vitae, 16 (3), pp. 388-395; Paraskevakis, N., Effects of dietary dried Greek Oregano (Origanum vulgare ssp. hirtum) supplementation on blood and milk enzymatic antioxidant indices, on milk total antioxidant capacity and on productivity in goats (2015) Animal Feed Science and Technology, 209, pp. 90-97. , https://doi.org/10.1016/j.anifeedsci.2015.09.001; Reyes-Becerril, M., Gijón, D., Angulo, M., Vázquez-Martínez, J., López, M. G., Junco, E., Armenta, J., Angulo, C., Composition, antioxidant capacity, intestinal, and immunobiological effects of oregano (Lippia palmeri Watts) in goats: preliminary in vitro and in vivo studies (2021) Tropical Animal Health and Production, 53 (1), pp. 1-12. , https://doi.org/10.1007/s11250-020-02450-z; Salamanca Grosso, G., Correa Carvajal, I. L., Principal, J., Perfil de flavonoides e índices de oxidación de algunos propóleos colombianos (2007) Zootecnia Tropical, 25 (2), pp. 95-102; Soria, S., Salice, G., Avendaño, F., (2001) Guía práctica de sericultura, , https://agris.fao.org/agris-search/search.do?recordID=AR2007000176, Instituto Italo-Latinoamericano; Tsiplakou, E., Abdullah, M. A., Alexandros, M., Chatzikonstantinou, M., Skliros, D., Sotirakoglou, K., Flematakis, E., Zervas, G., The effect of dietary Chlorella pyrenoidosa inclusion on goats’ milk chemical composition, fatty acids profile and enzymes activities related to oxidation (2017) Livestock Science, 197, pp. 106-111. , https://doi.org/10.1016/j.livsci.2017.01.014; Wandurraga-Bernal, F. M., (2019) Diseño y adecuación de un sistema de ordeño mecánico móvil y manual de manejo basado en buenas prácticas de ordeño en ganaderías caprina, , http://hdl.handle.net/20.500.12494/14684, [Tesis de pregrado, Universidad Cooperativa de Colombia] Repositorio de la Universidad Cooperativa de Colombia; Yangilar, F., As a potentially functional food: Goats’ milk and products (2013) Journal of Food and Nutrition Research, 1 (4), pp. 68-81. , https//doi.org/10.12691/jfnr-1-4-6</t>
  </si>
  <si>
    <t>Lozada-García, J.A.; Universidad Veracruzana, Circuito Gonzalo Aguirre Beltrán s/n, Xalapa, Zona Universitaria, Mexico; email: alozada@uv.mx</t>
  </si>
  <si>
    <t>2-s2.0-85126859870</t>
  </si>
  <si>
    <t>Velandia-Sua E.A., Vargas-Rodríguez L.J., Vargas-Gil Ó.A., Benavidez-Jiménez H.A.</t>
  </si>
  <si>
    <t>57540747300;57197830878;57541080900;57539155300;</t>
  </si>
  <si>
    <t>Prevalence of obesity and cardiovascular risk in workers in the hydrocarbon area [Prevalencia de obesidad y riesgo cardiovascular en trabajadores del área de hidrocarburos]</t>
  </si>
  <si>
    <t>Revista Colombiana de Cardiologia</t>
  </si>
  <si>
    <t>10.24875/RCCAR.M22000118</t>
  </si>
  <si>
    <t>https://www.scopus.com/inward/record.uri?eid=2-s2.0-85126800120&amp;doi=10.24875%2fRCCAR.M22000118&amp;partnerID=40&amp;md5=1ba9d4958d03b4d76187b10d51560164</t>
  </si>
  <si>
    <t>Programa de Medicina, Universidad Pedagógica y Tecnológica de Colombia, Tunja, Colombia; Especialización en Seguridad y Salud en el Trabajo, Universidad de Boyacá, Tunja, Colombia; Programa de Medicina, Universidad de Boyacá, Tunja, Colombia; Programa de Medicina, Universidad Nacional de Colombia, Bogotá, Colombia; Programa de Medicina, Universidad de Ciencias Aplicadas y Ambientales, Bogotá, Colombia</t>
  </si>
  <si>
    <t>Velandia-Sua, E.A., Programa de Medicina, Universidad Pedagógica y Tecnológica de Colombia, Tunja, Colombia, Especialización en Seguridad y Salud en el Trabajo, Universidad de Boyacá, Tunja, Colombia; Vargas-Rodríguez, L.J., Programa de Medicina, Universidad de Boyacá, Tunja, Colombia; Vargas-Gil, Ó.A., Programa de Medicina, Universidad Nacional de Colombia, Bogotá, Colombia; Benavidez-Jiménez, H.A., Programa de Medicina, Universidad de Ciencias Aplicadas y Ambientales, Bogotá, Colombia</t>
  </si>
  <si>
    <t>Introduction: Cardiovascular disease is one of the main causes of premature death and disability worldwide (myocardial infarction, cardiac death and fatal or non-fatal stroke) is responsible for more than 17 million annual deaths, in patients of low-and middle-income countries, it is estimated that 80% of the global burden occurs in these countries. Objective: To establish the prevalence of obesity and cardiovascular risk, evaluated using the Framingham criteria in a population of workers in the hydrocarbon production industry. Method: An observational, descriptive, epidemiological study was carried out of a population of workers of the company Montajes JM, Cerritos CPE6 Project 176, in Puerto Gaitan in the department of Meta, Colombia. The variables in average, standard deviation and confidence intervals were described, with a comparative analysis of risk factors by sex. Results: In the population of the cardiovascular risk program, an average age of 38.11 years old and a body mass index of 26.00 m2 /kg were found. 7.58% presented high blood pressure, 1.08% diabetes mellitus and 24.91% were found to smoke. The cardiovascular risk calculated with the Framingham scale was found to be 4.48%. Body mass index, age and systolic blood pressure were not statistically significant for the risk assessment using the Framingham scales. Conclusions: The prevalence of obesity in the group of workers in the hydrocarbon drilling industry was 64.9% and 75% had a slight risk of cardiovascular disease. © 2020 Sociedad Colombiana de Cardiología y Cirugía Cardiovascular.</t>
  </si>
  <si>
    <t>Arterial hypertension; Cardiovascular risk; Framingham scale; Prevalence; Public health</t>
  </si>
  <si>
    <t>hydrocarbon; adult; age; Article; body mass; cardiovascular disease; cardiovascular risk; cardiovascular risk factor; Colombia; controlled study; descriptive research; diabetes mellitus; female; Framingham risk score; human; hypertension; industry; major clinical study; male; obesity; observational study; prevalence; risk assessment; sex difference; smoking; systolic blood pressure</t>
  </si>
  <si>
    <t>Roth, GA, Forouzanfar, MH, Moran, AE, Barber, R, Nguyen, G, Feigin, VL, Demographic and epidemiologic drivers of global cardiovascular mortality (2015) N Engl J Med, 372, pp. 1333-1341; Du, H, Li, L, Bennett, D, Guo, Y, Key, YJ, Phil, D, Fresh fruit consump-tion and major cardiovascular disease in China (2016) N Engl J Med, 374, pp. 1332-1343; Mahmood, SS, Levy, D, Vasan, RS, Wang, TJ., The Framingham Heart Study and the epidemiology of cardiovascular disease: a historical pers-pective (2014) Lancet, 383, pp. 999-1008; Goodarz, D, Yuan, L, Gitanjali, MS, Emily, C, Gretchen, A., Cowan, ME, Cardiovascular disease, chronic kidney disease, and diabetes mortality burden of cardiometabolic risk factors from 1980 to 2010: a comparative risk assessment (2014) Lancet Diabetes Endocrinol, 2, pp. 634-647; (2016) La seguridad y salud en el tra-bajo y las necesidades en materia de competencias profesionales en la industria del petróleo y el gas que opera en zonas climáticas polares y subárticas del Hemisferio Norte. Informe para la discusión en la reunión sectorial tripartita sobre la seguridad y salud en el trabajo y las necesi-dades en materia de competencias profesionales en la industria del petróleo y el gas que opera en zonas climáticas polares y subárticas del Hemisferio Norte, , https://www.ilo.org/wcmsp5/groups/public/---ed_dialogue/---sector/docu-ments/publication/wcms_438076.pdf, (Ginebra, 26-29 de enero de). Disponible en; Costa, G., Shift work and health: current problems and preventive actions (2010) Obra sanitaria saf, 1 (2), pp. 113-123. , diciembre; Harrington, JM., Health effect of shift work and extended hours of work (2001) Occup Environ Med, 58, pp. 68-72; van Amelsvoort, LG, Schouten, EG, Kok, FJ., Impact of one year of shift work on cardiovascular disease risk factors (2004) J Occup Environ Med, 46, pp. 699-706; Spurgeon, A, Harrington, JM, Cooper, CL., Health and safety problems associated with long working hours (1997) Occup Environ Med, 54, pp. 367-375; Álvarez, J, Álvarez, A, Carvajal, W, González, M, Duque, J, Nieto, O., Deter-minación del riesgo cardiovascular en una población (2017) Rev Colomb Car-diol, 24, pp. 334-341; Navarro, E, Rusvelt, F., Riesgo coronario según ecuación de Framingham en adultos con síndrome metabólico de la ciudad de Soledad, Atlántico. 2010 (2012) Rev Colomb Cardiol, 19, pp. 109-118; Kane, AE, Howlett, SE., Differences in cardiovascular aging in men and women (2018) Adv Exp Med Biol, 1065, pp. 389-411; Zurique, M, Zurique, C, Camacho, P, Sánchez, M, Hernández, S., Prevalen-cia de hipertensión arterial en Colombia. Revisión sistemática y me-ta-análisis (2019) Acta Med Colomb, 44, pp. 1-15; Gaviria, A, Muñoz, N, Ruiz, F, Ospina, M, Urquijo, L, Arias, J, (2013) Plan Dece-nal de Salud Pública Min-Salud, pp. 13-237. , https://www.minsalud.gov.co/Documentos%20y%20Publicaciones/Plan%20Decenal%20-%20Documento%20en%20consulta%20para%20aprobaci%C3%B3n.pdf, Disponible en; Vargas, H, Casas, L., Epidemiología de la diabetes mellitus en Sudaméri-ca: la experiencia de Colombia (2016) Clin Investig Arterioscler, 28, pp. 245-256; Giovino, A, Mirza, A, Samet, J, Gupta, P, Jarvis, M, Bhala, N, Tobacco use in 3 billion individuals from 16 countries: an analysis of nationally re-presentative cross-sectional household surveys (2012) Lancet, 380, pp. 668-679; Encuesta nacional de la situación nutricional en Colombia 2010, , https://www.minsalud.gov.co/sites/rid/Lists/BibliotecaDigital/RIDE/VS/ED/GCFI/Base%20de%20datos%20ENSIN%20-%20Protoco-lo%20Ensin%202010.pdf, Revisado el 13 de mayo de 2020. Dispo-nible en; Lombo, B, Villalobos, C, Tique, C, Satizábal, C, Franco, AC., Metabolic syndrome prevalence in patients attending the hypertension clinic at the Fundación Santa Fe de Bogotá (2006) Rev Colomb Cardiol, 12, pp. 472-478; Executive Summary of the Third Report of the National Cholesterol Education Program (NCEP) Expert Panel on Detec-tion, Evaluation and Treatment of High Blood Cholesterol in Adults (Adult Treatment Panel III) (2001) JAMA, 285, pp. 2486-2497; Guías ALAD 2000 para el diagnóstico y manejo de la diabetes mellitus tipo 2 con medicina basada en evidencia (2000) Revista de la Asociación La-tinoamericana de Diabetes, , Supl 1, Ed. Extraordinaria; Aristizabal, D., La hipertensión en el Siglo XXI: los grandes cambios que nos esperan (2007) Rev. Col. Cardiol, 14 (4), pp. 181-184; Tenkanen, L, Sjöblom, T, Kalimo, R, Alikoski, T., Shift work occupation and coronary heart disease over 6 years of follow-up in the Helsinki Heart Study (1997) Scand J Work Environ Health, 23, pp. 257-265; Virkkunen, H, Harma, M, Kauppinen, T, Tenkanen, L., The triad of shift work, occupational noise, and physical workload and risk of coronary heart disease (2006) Occup Environ Med, 63, pp. 378-386; Tuchson, F, Hannerz, H, Burr, H., A 12 year prospective Study of Circula-tory Disease Among Danish Shift Worker (2006) Occup Envi-ron Med, 63, pp. 451-455; Palacios Ruesta, RC., Determinación de los factores de riesgo cardiovascular en trabajadores a turnos en plataformas marítimas de una petrole-ra del Norte del Perú (2011) Acta Med Per, 28, pp. 67-72; López Puerto, IA., Efecto del programa de medicina preventiva bajo el sistema OHSAS 18001, sobre el riesgo cardiovascular en la Empresa Colombiana de Operaciones Petroleras (2014) IGNOS. 2145-1389, 6, pp. 59-72</t>
  </si>
  <si>
    <t>Velandia-Sua, E.A.; Programa de Medicina, Colombia; email: edanvesu2009@hotmail.com</t>
  </si>
  <si>
    <t>Permanyer Publications</t>
  </si>
  <si>
    <t>Rev. Colomb. Cardiol.</t>
  </si>
  <si>
    <t>2-s2.0-85126800120</t>
  </si>
  <si>
    <t>Agüero Corzo E.D.C., Dávila Morán R.C., Guanilo Paredes C.E., Ruiz Nizama J.L., Dávila L.V., Diaz D.Z., Palomino Quispe J.F.</t>
  </si>
  <si>
    <t>57224901540;57224890890;57224105563;57218366239;57298116200;57539139600;57487501800;</t>
  </si>
  <si>
    <t>Prevalence of sick building syndrome in manufacturing industry workers [Prevalencia del síndrome del edificio enfermo en trabajadores de la industria manufacturera]</t>
  </si>
  <si>
    <t>Boletin de Malariologia y Salud Ambiental</t>
  </si>
  <si>
    <t>10.52808/bmsa.7e5.621.007</t>
  </si>
  <si>
    <t>https://www.scopus.com/inward/record.uri?eid=2-s2.0-85126768935&amp;doi=10.52808%2fbmsa.7e5.621.007&amp;partnerID=40&amp;md5=3cad768fceda2d92fd021c1770de66c2</t>
  </si>
  <si>
    <t>Universidad Pedagógica Experimental Libertador (UPEL), Maturín, Venezuela; Universidad Privada del Norte (UPN), Lima, Peru; Universidad Nacional del Callao (UNAC), Callao, Peru; Universidad de San Martín de Porres (USMP), Lima, Peru</t>
  </si>
  <si>
    <t>Agüero Corzo, E.D.C., Universidad Pedagógica Experimental Libertador (UPEL), Maturín, Venezuela; Dávila Morán, R.C., Universidad Privada del Norte (UPN), Lima, Peru; Guanilo Paredes, C.E., Universidad Privada del Norte (UPN), Lima, Peru; Ruiz Nizama, J.L., Universidad Nacional del Callao (UNAC), Callao, Peru; Dávila, L.V., Universidad de San Martín de Porres (USMP), Lima, Peru; Diaz, D.Z., Universidad de San Martín de Porres (USMP), Lima, Peru; Palomino Quispe, J.F., Universidad de San Martín de Porres (USMP), Lima, Peru</t>
  </si>
  <si>
    <t>Sick building syndrome refers to a set of general mucosal (ocular and/or respiratory) and skin symptoms presented by occupants of buildings with poor environmental quality, exposing their occupants to physical, mechanical, chemical, biological and psychosocial, which can negatively affect the health and productivity of people. In order to determine the frequency of the symptoms of the occupants of a manufacturing industry in Peru, a cross-sectional study was carried out, applying to 237 workers, stratified by work areas, the questionnaire suggested by the National Institute of Hygiene and Safety at Work, in addition to to evaluate the environmental condition by determining cultivable and countable bioaerosols. The results showed a prevalence greater than 20% in symptoms such as: dry eyes and throat, itchy throat, nasal congestion, headache and general weakness. 164 samples of bioaerosols were taken, quantified and characterized, the microorganisms found with the highest percentage were Aspergillus sp. 54.68% (68) in the administrative area, while in the production and storage areas, Penicillium sp. with 87.10% (108) and 62.21% (77) respectively. Other genera found in higher percentages in the three areas were: Trichoderma, Acremonium, Monilia, Cladosporium, among others. The findings correlate with what has been reported in various investigations, the presence of these fungi suggests that there is an inadequate environmental quality and, together with the prevalence obtained in terms of symptoms, the building under study can be classified with the Sick Building Syndrome. © 2022 Instituto de Altos Estudios de Salud Publica. All rights reserved.</t>
  </si>
  <si>
    <t>Bioaerosols; Environmental quality; Fungi; Sick building syndrome</t>
  </si>
  <si>
    <t>(2017) Indoor air quality, , https://www.epa.gov/indoor-airquality-iaq, Disponible en (acceso octubre 2021); (2005) Field guide for determination of biological contaminants in environmental samples, , https://www.aiha.org/about-ih/Pages/FactsAbout-Mold.aspx, Disponible en acceso octubre 2021 (acceso octubre 2021); Arenas, R., (2011) Micología médica ilustrada, , https://scholar.google.es/scholar?hl=es&amp;as_sdt=0%2C5&amp;q=Arenas%2C+R.+%282011%29.+Micolog%C3%ADa+m%C3%A9dica+ilustrada.+4ta+edici%C3%B3n.+M%C3%A9xico%2C+D.F.%3A+Mc+Graw+Hill&amp;btnG=, 616.96901 616.96901 A7M5 2011 ARE 2011); Bonifaz, J., (2010) Micología médica básica, , https://pdfcoffee.com/micologiamedicabasicaalexandrobonifazpdf-3-pdf-free.html, 3ª edición. México D.F. Disponible en (acceso septiembre 2021); Borrego, A., Perdomo, A., Caracterización de la micobiota aérea en dos depósitos del Archivo Nacional de la República de Cuba (2014) Revista Iberoamericana de Micología, pp. 182-187. , https://www.elsevier.es/esrevista-revista-iberoamericana-micologia-290-articulo-caracterizacionmicobiota-aerea-dos-depositosS1130140613000831, Disponible en: (acceso octubre 2021); Botella-Cereda, E., (2020) Síndrome del edificio enfermo, , http://dspace.umh.es/handle/11000/7123, Disponible en (acceso octubre 2021); Brasche, S., Bullinger, M., Schwab, R., Gebhardt, H., Herzog, V., Bischof, W., Comparison of risk factor profiles concerning self-reported skin complaints and objectively determined skin symptoms in German office workers (2004) Indoor air, 14 (2), pp. 137-143. , https://doi.org/10.1046/j.1600-0668.2003.00222.x; Bueno, D., Silva, J., Oliver, G., Hongos ambientales en una biblioteca: Un año de estudio (2003) Anales de documentación, pp. 27-34. , https://revistas.um.es/analesdoc/article/view/2061, Disponible en (acceso septiembre 2021); Burge, PS, El síndrome del edificio enfermo (2004) Medicina ocupacional y ambiental, 61 (2), pp. 185-190; Cabral, J. P., Can we use indoor fungi as bioindicators of indoor air quality? Historical perspectives and open questions (2010) The Science of the total environment, 408 (20), pp. 4285-4295. , https://doi.org/10.1016/j.scitotenv.2010.07.005; (2004) Indoor Air Quality. Health and Safety Guide 2ª, , http://www.ccohs.ca, Canadian Centre For Occupational Health and Safety (CCOH) Disponible en: (acceso septiembre 2021); Cardozo Becerra, R. Y, Araque Muñoz, L. G., Caracterización de bioaerosoles en tres edificaciones administrativas de Bogotá, 2012-2013 (2015) Ciencia en Desarrollo, 6 (1), pp. 41-54. , http://www.scielo.org.co/scielo.php?script=sci_arttext&amp;pid=S0121-74882015000100006&amp;lng=en&amp;tlng=es, Retrieved February 20, 2022, from (acceso septiembre 2021); Carrillo, L., (2011) Los hongos de los alimentos y forrajes, , http://www.unsa.edu.ar/matbib/hongos/05htextopenicilios.pdf, Bogotá, 2001. Disponible en (acceso octubre 2021); De la Rosa, M., Mosso, M., Ullán, C., El aire: hábitat y medio de transmisión (2002) Observatorio Medio Ambiental Universidad Complutense, 5, pp. 375-402. , https://revistas.ucm.es/index.php/OBMD/article/view/OBMD0202110375A, Disponible (acceso septiembre 2021). en; Demaría, M.J, Farías, María Alejandra, Acevedo, Gabriel E., Factores de riesgos psicosociales presentes en el ambiente de trabajo de enfermería en hospitales públicos de Córdoba, Jujuy, La Pampa y Santiago del Estero, Argentina (2017) Revista de Salud Pública, pp. 60-72. , http://dx.doi.org/10.31052/1853.1180.v0.n0.16790; Gómez, A., Zarante, I., Martínez, J., Valdivieso, M., Rubio, L., Tarazona, G., Evaluación de alérgenos presentes en polvo y ambiente de algunas bibliotecas de Bogotá D.C (2005) Universitas Médica, pp. 13-20. , https://www.redalyc.org/pdf/2310/231018652003.pdf, Disponible en (acceso octubre 2021); Granda, E., (2012) Evaluación microbiológica de la presencia de hongos en ambientes de la Escuela de Bioanálisis de la Pontificia Universidad Católica del Ecuador mediante la aspiración de volumen de aire en tiempo definido como una de las causas del Síndrome del Edificio Enfermo durante el 2011, , http://repositorio.puce.edu.ec/handle/22000/12005, Disponible en (acceso octubre 2021); Guardino, X., Calidad del Aire Interior (2003) Enciclopedia de Salud y Seguridad en el Trabajo, , http://www.oit.or.cr/mdtsanjo/sst/enciclopedia/tomo2/44, Disponible en: (Acceso en octubre 2021); Herrera, K., (2011) Estudio micológico del aire en áreas ocupacionales y exteriores de la facultad de ciencias químicas, farmacia y otras áreas de la U. de San Carlos de Guatemala Proyecto FODECYT 040.07, , http://biblioteca.usac.edu.gt/tesis/06/06_3102.pdf, [online] Tesis grado de la Universidad San Carlos de Guatemala, Facultad de Ciencias Químicas y Farmacia. Disponible en (acceso octubre 2021); (2019) NTP 290: El síndrome del edificio enfermo: cuestionario para su detección, , https://www.insst.es/documents/94886/327401/802+web.pdf/bea1477c-16b6-4ff6-9ac3-5b47c7e4abb, Instituto Nacional de Higiene y Seguridad en el Trabajo (INSST). España. Disponible https://www.insst.es/documents/94886/327166/2_ntp_290.pdf/30db9f6f-d401-4f69-929d-e735cfaf5855 en: Instituto Nacional de Seguridad e Higiene en el Trabajo (INSHT) (2008). NTP 802: Agentes biológico infecciosos: enfermedades respiratorias, España. Disponible (acceso en: octubre 2021); (1998) NTP 299: Método para el recuento de bacterias y hongos en aire, , http://www.insht.es/InshtWeb/Contenidos/Documentacion/FichasTecnicas/NTP/Ficheros/201a300/ntp_299.pdf, Instituto Nacional de Seguridad e Higiene en el Trabajo (INSHT) España. Disponible en: (acceso octubre 2021); (1994) NTP 431: Caracterización de la calidad del aire en ambientes interiores, , https://www.insst.es/documents/94886/326962/ntp_431.pdf/e82a58de-737c-4da8-bac4-3edefa3abfed, Instituto Nacional de Seguridad e Higiene en el Trabajo (INSHT) España. Disponible (acceso en: octubre 2021); (1990) NTP 289: Síndrome del Edificio Enfermo: factores de riesgo, , http://www.insht.es/InshtWeb/Contenidos/Documentacion/FichasTecnicas/NTP/Ficheros/201a300/ntp_289.pdf, Instituto Nacional de Seguridad e Higiene en el Trabajo (INSHT) España. Disponible en: (Acceso octubre 2021); Murray, P., Rosenthal, K., Pfaller, M., (2009) Microbiología médica, , https://scholar.google.es/scholar?hl=es&amp;as_sdt=0%2C5&amp;q=Murray%2C+P.%2C+Rosenthal%2C+K.+%26+Pfaller%2C+M.+%282009%29+Microbiolog%C3%ADa+m%C3%A9dica.+6a+edici%C3%B3n.+Barcelona&amp;btnG=, 6a edición. Barcelona; Nader, Martín, Peña, Sandra, Santa-Bárbara, Emilio, Predicción de la satisfacción y el bienestar en el trabajo: hacia un modelo de organización saludable en Colombia (2014) Estudios gerenciales, 30 (130), pp. 31-39. , https://doi.org/10.1016/j.estger.2014.02.006; (2008) Calidad ambiental en interiores: Parte 1 diagnóstico de la CAI, , https://www.une.org/encuentra-tu-norma/busca-tu-norma/norma?c=N0041499, Norma Española (UNE) UNE: 171330-1. Disponible en. (acceso septiembre 2021); Ríos, Y., La Aeromicología y su importancia para la medicina (2011) Rev Méd Cient, 24 (2), pp. 28-42. , https://www.imbiomed.com.mx/articulo.php?id=89936, 9. Disponible en (acceso septiembre 2021); Salanova, Marisa, Martínez, Isabel, Llorens, Susana, Una mirada más ‘positiva’ a la salud ocupacional desde la psicología organizacional positiva en tiempos de crisis: aportaciones desde el equipo de investigación de WoNT (2014) Papeles del Psicólogo, 35, pp. 22-30. , http://www.papelesdelpsicologo.es/pdf/2318.pdf; Segredo, Alina, Clima organizacional en la gestión del cambio para el desarrollo de la organización (2013) Revista cubana de salud pública, 39 (2), pp. 385-393. , http://scielo.sld.cu/scielo.php?script=sci_arttext&amp;pid=S086434662013000200017&amp;lng=es&amp;tlng=es; Tolosa, D., (2006) Aeromicrobiología del archivo central de la Universidad Pedagógica y Tecnológica de Colombia, , www.revista.unal.edu.co/index.php/actabiol/article/.../12385/1146, Disponible en (acceso septiembre 2021); (2017) Guidelines for indoor air quality: Dampness and mould, , http://www.euro.who.int/data/assets/pdf_file/0017/43325/E92645.pdf, Regional office for Europe, Copenhagen 2009. Disponible en: (acceso octubre, 2021)</t>
  </si>
  <si>
    <t>Dávila Morán, R.C.; Universidad Privada del Norte (UPN)Peru; email: rdavila430@gmail.com</t>
  </si>
  <si>
    <t>Instituto de Altos Estudios de Salud Publica</t>
  </si>
  <si>
    <t>Bol. Malariol. Salud Ambient.</t>
  </si>
  <si>
    <t>2-s2.0-85126768935</t>
  </si>
  <si>
    <t>Jane T.T., Yarintza H.C., Riber D.N., Adisnay R.P.</t>
  </si>
  <si>
    <t>57539779400;57540422600;57539779500;57540103800;</t>
  </si>
  <si>
    <t>Culture and management of research/innovation in tropical infectology at the Universidad Regional Autónoma de los Andes [Cultura y gestión de investigación/innovación en infectología tropical en la Universidad Regional Autónoma de los Andes]</t>
  </si>
  <si>
    <t>10.52808/bmsa.7e5.621.011</t>
  </si>
  <si>
    <t>https://www.scopus.com/inward/record.uri?eid=2-s2.0-85126728970&amp;doi=10.52808%2fbmsa.7e5.621.011&amp;partnerID=40&amp;md5=7b33352563835a06c8232cb22b1cb061</t>
  </si>
  <si>
    <t>Universidad Regional Autónoma de los Andes (UNIANDES), Ecuador</t>
  </si>
  <si>
    <t>Jane, T.T., Universidad Regional Autónoma de los Andes (UNIANDES), Ecuador; Yarintza, H.C., Universidad Regional Autónoma de los Andes (UNIANDES), Ecuador; Riber, D.N., Universidad Regional Autónoma de los Andes (UNIANDES), Ecuador; Adisnay, R.P., Universidad Regional Autónoma de los Andes (UNIANDES), Ecuador</t>
  </si>
  <si>
    <t>The incidence of infectious, tropical, endemic and emerging pathologies requires the permanent creation of knowledge. Infectology as a medical specialty integrates the study of various areas: bacteriology, virology, mycology, parasitology and immunology, among others; combining research and teaching that constitute aspects related to university work. A descriptive cross-sectional study was carried out to learn about the culture and management of research/innovation in tropical infectology, developed by research professors of the Universidad Regional Autónoma de los Andes (UNIANDES). The agent-research area relationship was evaluated by means of a semi-structured survey with a Likert scale; results-research area, through the number of scientific publications on tropical diseases and, organization-research area, through the identification of stimuli for research professors by the University. An advanced level of scientific competence of teachers in the area of infectology was found, showing commitment, comfort and disposition for investigative practice, as well as skills for writing and disseminating research; which translates into the publication of 2457 products in various scientific journals in the last 5 years. It was evidenced that the three components: agent, organization and results participate synergistically in the development of the culture and management of research/innovation in tropical infectology in the institution, guaranteeing the production of knowledge and its sustainability over time. © 2022 Instituto de Altos Estudios de Salud Publica. All rights reserved.</t>
  </si>
  <si>
    <t>Infectology; Innovation; Management; Research</t>
  </si>
  <si>
    <t>Acevedo-Duque, Á., Argüello, A. J., Pineda, B. G., Competencias del docente en educación online en tiempo de COVID-19: Universidades Públicas de Honduras (2020) Revista de Ciencias Sociales (Ve), 26. , https://www.redalyc.org/journal/280/28064146014/28064146014.pdf, Disponible en: (Acceso junio 2021); Alarcón Torres, N. F., Criado Dávila, Y. V., (2014) Análisis comparativo de los criterios de evaluación del factor investigación docente, con fines de acreditación, en la carrera profesional de educación en Perú y Colombia, , https://doi:10.13140/RG.2.2.35059.55842, Tesis Pontificia Universidad Católica de Perú; Bohuid, G., Labarta, A., Forte, F., Arias, D., Alcoba, A., Fernández, B., Aragonés, M., Bejarano, F., (2021) Programa de residencia Especialidad infectología y medicina tropical, , http://salud.jujuy.gob.ar/wpcontent/uploads/sites/14/2021/07/Programa-INFECTOLOGIA-2021-Hosp-San-Roque.pdf, Disponible en: (Acceso marzo 2021); Cejas, M. F., Rueda, M. J., Cayo, L. E., Villa, L. C., Formación por competencias: Reto de la educación superior (2019) Revista de Ciencias Sociales (Ve), 25 (1), pp. 94-101. , https://dialnet.unirioja.es/descarga/articulo/7025815.pdf, Disponible en: (Acceso mayo 2021); Criado, Y., Factores que favorecen el desarrollo de la cultura investigativa del docente universitario (2020) Educación, 26 (1), pp. 37-43. , https://doi.org/10.33539/educacion.2020.v26n1.2182; Criado, Y., García, T. C. S., Arias, M. A. I., Los semilleros de investigación como elemento de desarrollo de la cultura investigativa universitaria (2020) Revista Conrado, 16, pp. 67-73. , https://conrado.ucf.edu.cu/index.php/conrado/article/download/1523/1507, (S1), Disponible en: (Acceso febrero 2021); Ferrer, J., Clemenza, C., Gestión de la investigación universitaria: Un paradigma no concluido (2006) Multiciencias, 6 (2), pp. 188-193. , https://www.redalyc.org/pdf/904/90460213.pdf, Disponible en: (Acceso mayo 2021); Frenay, M., Saroyan, A., Taylor, L., Bedard, D., Clement, M., Rege, N., Paul, J., Kolmos, A., Acompañar el desarrollo pedagógico de los catedráticos gracias a un marco conceptual original (2010) Revista francesa de pedagogía, 172, pp. 63-76. , https://doi.org/10.4000/rfp.2253; Fuenmayor, B., Perozo, S., Narvaéz, J., Investigación y gestión del conocimiento. Caso: Instituto Universitario de Tecnología de Cabimas (2007) Laurus, 13 (24), pp. 355-376. , https://www.redalyc.org/pdf/761/76111485018.pdf, Disponible en: (Acceso mayo 2021); Gil, J., Domínguez, R., Garcia, L., Mathison, L., Gandara, J., La investigación universitaria como eje de la transferencia social del conocimiento (2012) Ciencias y Tecnología, 6 (1), pp. 41-51. , https://revistas.uclave.org/index.php/pcyt/article/download/1037/425, Disponible en: (Acceso mayo 2021); Gonzáles-Saldaña, J., Chavez-Uceda, T., Lemus-Arteaga, K., Silva-Ocas, I., Galvez-Olortegui, T., Galvez-Olortegui, J., Producción científica de la facultad de medicina de una universidad peruana en SCOPUS y Pubmed (2018) Educación Médica, 19, pp. 128-134. , https://doi.org/10.1016/j.edumed.2017.01.010; González, A. G., Cultura investigativa como elemento relevante en la transformación educativa (2018) Revista Unimar, 36 (2), pp. 77-78. , https://doi.org/10.31948/unimar36-2.art5; González, J., Castillo, B., La gestión investigativa universitaria: un problema de vieja data sin pronta solución (Caso analítico uptC) (2011) Económicas CUC, 32 (1), pp. 9-34. , https://dialnet.unirioja.es/descarga/articulo/5786199.pdf, Disponible en: (Acceso mayo 2021); Guerrero-Sosa, J.D.T., Menéndez-Domínguez, V.H., Castellanos-Bolaños, M.E., An indexing system for the relevance of academic production and research from digital repositories and metadata (2021) Electronic Library, 39, pp. 33-58. , https://doi.org/10.1108/EL-06-2020-0160; López, M. P., Contreras, N. M., Las competencias docentes en la formación de posgrado del profesorado de ELE: Análisis del trabajo fin de máster (2020) Marco ELE. Revista de Didáctica Español Lengua Extranjera, (30), pp. 1-21. , https://www.redalyc.org/journal/921/92161847001/92161847001.pdf, Disponible en: (Acceso junio 2021); Reyes, A., Ortiz, A., Lazo, E., (2017) Research culture and organizational climate of the pup main campus as perceived by the regular faculty members, 2 (3). , http://irhsr.org/papers/Sept2017-5.pdf, Disponible en: (Acceso marzo 2021); Rodríguez, H., Importancia de la formación de los docentes en las instituciones educativas (2017) Ciencia Huasteca Boletín científico de la Escuela Superior de Huejutla, 5 (9). , https://repository.uaeh.edu.mx/revistas/index.php/huejutla/article/download/2219/4683, Disponible en: (Acceso febrero 2021); Romero, A., Gestión investigativa en la era del conocimiento (2019) Cienciamatria, 5 (5). , https://www.cienciamatriarevista.org.ve/index.php/cm/article/view/98/80, 9 Marzo–Diciembre. Disponible en: (Acceso marzo 2021); (2021) Programa de Postgrado en Especialidades Médicas Especialidad en Infectologia, , https://www.sep.ucr.ac.cr/ppem-especialidad-en-infectologia.html, UCR. Universidad de Costa Rica Disponible en: (Acceso marzo 2021); (2021) Objetivos y proyectos estratégicos Dirección de Investigación, , https://uniandes.edu.ec/direccion-investigacion/, Disponible en: (Acceso marzo 2021); (2021) Escuela de Estudios de Postgrado Facultad de Ciencias Médicas, , https://postgrado.medicina.usac.edu.gt/content/infectolog%C3%ADapedi%C3%A1trica, USAC. Universidad de San Carlos de Guatemala (2021). Disponible en: (Acceso marzo 2021); (2021) Programa de Especialidad Médica en Infectología Adultos, , https://postgrados.uv.cl/index.php/especialidades/especialidades-medicas/infectologia-adultos, UV. Universidad de Valparaiso Chile Disponible en: (Acceso marzo 2021); Valdés-Pérez, M.G., Visibilidad de la producción de conocimiento (2020) Controversias y Concurrencias Latinoamericanas, 11, pp. 353-363. , https://bit.ly/3yc6vEH, Disponible en: (Acceso marzo 2021); Velásquez, L., Las redes de investigación virtuales: propuesta de fomento y desarrollo de la cultura investigativa en las instituciones de educación superior (2007) RUSC, Universities and Knowledge Society Journal, 4 (2), pp. 1-11. , https://www.redalyc.org/articulo.oa?id=78011231007, Disponible en: (Acceso febrero 2021); Vitón-Castillo, A., Casabella-Martínez, S., Germán-Flores, L., García-Villacampa, G., Bravo-Malagón, Y., Análisis bibliométrico de la producción científica de la Revista Universidad Médica Pinareña, 2014-2017 (2018) Universidad Médica Pinareña, 14 (3), pp. 238-247. , https://www.medigraphic.com/pdfs/revunimedpin/ump-2018/ump183g.pdf, Disponible (Acceso febrero 2021). en</t>
  </si>
  <si>
    <t>Jane, T.T.; Universidad Regional Autónoma de los Andes (UNIANDES)Ecuador; email: ua.janetoro@uniandes.edu.ec</t>
  </si>
  <si>
    <t>2-s2.0-85126728970</t>
  </si>
  <si>
    <t>Mora-Ocación M.S., Morillo-Coronado A.C., Manjarres-Hernández E.H.</t>
  </si>
  <si>
    <t>57497447900;57209509524;57217164726;</t>
  </si>
  <si>
    <t>International Journal of Food Science</t>
  </si>
  <si>
    <t>https://www.scopus.com/inward/record.uri?eid=2-s2.0-85126616056&amp;doi=10.1155%2f2022%2f7287487&amp;partnerID=40&amp;md5=beaddc3b5aa51dbaa0f11b94f6e2a9cf</t>
  </si>
  <si>
    <t>Escuela de Ingeniería Agronómica, Universidad Pedagógica y Tecnológica de Colombia, Tunja, 150003, Colombia; Escuela de Ciencias Biológicas, Universidad Pedagógica y Tecnológica de Colombia, Tunja, 150003, Colombia</t>
  </si>
  <si>
    <t>Mora-Ocación, M.S., Escuela de Ingeniería Agronómica, Universidad Pedagógica y Tecnológica de Colombia, Tunja, 150003, Colombia; Morillo-Coronado, A.C., Escuela de Ingeniería Agronómica, Universidad Pedagógica y Tecnológica de Colombia, Tunja, 150003, Colombia; Manjarres-Hernández, E.H., Escuela de Ciencias Biológicas, Universidad Pedagógica y Tecnológica de Colombia, Tunja, 150003, Colombia</t>
  </si>
  <si>
    <t>Quinoa has a high nutraceutical potential because of the presence of secondary metabolites called saponins, which have industrial and medicinal uses and protect against attacks by pathogens. These compounds are found especially in the seed coat and give the grain a bitter taste; therefore, they must be eliminated before consumption. Despite the potential use in Colombia, there are few studies aimed at quantifying this metabolite. Therefore, the objective of this research was to evaluate two extraction methodologies (physical and chemical) and two methods for quantifying saponins in five quinoa genotypes grown in Colombia. The most efficient extraction method was the physical method. The saponin contents of the five genotypes were variable. The cluster analysis differentiated the genotypes into two groups: low saponin content (&lt;4.49 mg/g seed) and high saponin content (&gt;14.76 mg/g seeds). Blanca de Jericó had the lowest saponin content (&lt;0.40%), and Amarilla de Maranganí had the highest content (&gt;0.18%). Identifying more efficient methodologies for extracting and quantifying saponins will allow a better characterization of the germplasm and selection of genotypes with desirable characteristics for both consumption and industrial use. © 2022 Mary S. Mora-Ocación et al.</t>
  </si>
  <si>
    <t>García, M.A., Plazas, N., Carvajal, D., Ferreira, S., Parra, J., Description of saponins in quinua (Chenopodium quinoa Willd) with relation to the soil and the climate: A review (2018) Informador Técnico, 82, pp. 241-249; (2018) In the Last 4 Years, Quinoa Has Had A Growth of More Than 150% in Production Areas. Mining Agriculture, , https://www.minagricultura.gov.co/noticias/Paginas/En-los-últimos-4-años,-la-quinua-ha-tenido-un-crecimiento-de-más-del-150-en-áreas-de-producción-.aspx, Ministry Of Agriculture And Rural Development Madr, July 2021; Ancient crop to contribute to global food security (2011) Regional Office for Latin America and the Caribbean, , FAO, Quinoa, Proinpa; Rafik, S., Rahmani, M., Rodriguez, J., Andam, S., Ezzariai, A., El Gharous, M., Karboune, S., Hirich, A., How does mechanical pearling affect quinoa nutrients and saponin contents? (2021) Plants, 10 (6), pp. 1-22. , 34204858; Ahumada, A., Ortega, A., Chito, D., Benítez, R., Saponins of quinoa (Chenopodium quinoa Willd.): A by-product with high biological potential (2016) Revista Colombiana de Ciencias Químico Farmacéuticas, 45, pp. 438-469; Ruiz, K., Khakimov, B., Engelsen, S., Bak, S., Biondi, S., Jacobsen, S., Quinoa seed coats as an expanding and sustainable source of bioactive compounds: An investigation of genotypic diversity in saponin profiles (2017) Industrial Crops and Products, 104, pp. 156-163. , 2-s2.0-85018442306; Kilinc, O., Ozgen, S., Selamoglu, Z., Bioactivity of triterpene saponins from quinoa (Chenopodium quinoa Willd.) (2016) Research &amp; Reviews: Research Journal of Biology, 4 (4), pp. 25-28; Lin, M., Han, P., Li, Y., Wang, W., Lai, D., Zhou, L., Quinoa secondary metabolites and their biological activities or functions (2019) Molecules, 24 (13), pp. 1-47. , 2-s2.0-85068604874 31324047; Han, Y., Chi, J., Zhang, M., Zhang, R., Fan, S., Dong, L., Huang, F., Liu, L., Changes in saponins, phenolics and antioxidant activity of quinoa (Chenopodium quinoa Willd) during milling process (2019) LWT - Food Science and Technology, 114, pp. 108381-108387. , 2-s2.0-85068908951; Velásquez, M., Vélez, Y., Conceptual design or a plant of extraction of saponins presents in the fique's juice (2020) Ingeniería, 25, pp. 50-67; Cheok, C., Abdel, H., Salman, K., Sulaiman, R., Extraction and quantification of saponins: A review (2014) Food Research International, 59, pp. 16-40. , 2-s2.0-84894081124; Gómez, A., Iafelice, G., Verardo, V., Marconi, E., Caboni, M., Influence of pearling process on phenolic and saponin content in quinoa (Chenopodium quinoa Willd) (2014) Food Chemistry, 157, pp. 174-178. , 2-s2.0-84903363390 24679767; Amankeldi, F., Ospanova, Z., Musabekov, K., Composite foaming agents on the basis of high-molecular natural surfactants (2018) Colloids and Interfaces, 2 (1), pp. 2-8; Flores, T., Huamán, J., Tomás, G., Comparative study of three quantitative methodologies for the extraction of saponins from Melisa officinalis "toronjil. (2013) Revista Peruana de Química e Ingeniería Química, 16, pp. 47-51; Mhada, M., Metougui, M., El Hazzam, K., El Kacimi, K., Yasri, A., Variations of saponins, minerals and total phenolic compounds due to processing and cooking of quinoa (&lt;i&gt;Chenopodium quinoa&lt;/i&gt; Willd.) Seeds (2020) Food, 9 (5), pp. 1-16. , 32443894; Gianna, V., (2013) Extraction, Quantification and Purification of Saponins from Chenopodium Quinoa Willd Seed from Northwestern Argentina, , https://rdu.unc.edu.ar/handle/11086/1413, July 2021; Lozano, M., Ticona, E., Carrasco, C., Flores, Y., Almanza, G., Quantification of saponins in real quinoa residues Chenopodium quinoa Willd (2012) Revista Boliviana de Química, 29, pp. 128-135; Koziol, M., Afrosimetric estimation of threshold saponin concentration for bitterness in quinoa (Chenopodium quinoa Willd) (1991) Journal of the Science of Food and Agriculture, 54 (2), pp. 211-219. , 2-s2.0-84986808977; Usiña, K., (2017) Analysis of the Surfactant Properties of Saponins Obtained from the Fruits of Sapindus Saponaria L, , http://www.dspace.uce.edu.ec/bitstream/25000/8941/1/T-UCE-0013-Ab-23.pdf, July 2021; Quiroga, C., Escalera, R., Evaluation of the nutritional quality and morphology of the grain of dry-processed bitter quinoa varieties, through the novel use of a spout-type fluidized-bed reactor (2010) Revista Investigacion &amp; Desarrollo, 10, pp. 49-62; Francis, G., Kerem, Z., Makkar, H., Becker, K., The biological action of saponins in animal systems: A review (2002) British Journal of Nutrition, 88 (6), pp. 587-605. , 2-s2.0-0036956250 12493081; Ramos, S., (2017) Determination of Spray-Drying Parameters of Aqueous Extract of Saponins and Adaptation of A Quantification Method in Quinoa by Uv-Visible Spectrophotometry, , https://repositorio.umsa.bo/handle/123456789/19036?show=full, July 2021; Montes, C., Burbano, G., Muñoz, E., Calderón, Y., Description of phenological cycle of four ecotypes of (Chenopodium quinoa Willd.) at Purace - Cauca, Colombia (2018) Biotecnología en El Sector Agropecuario y Agroindustrial, 16, pp. 26-37; Subieta, C., Quiroga, C., Escalera, R., Arteaga, L., Recovery of solid waste with a high content of saponins from the dry desaponification process of bitter quinoa seeds, via a spouted bed (Lfts) (2011) Investigacion &amp; Desarrollo, 11, pp. 96-112; Fiallos, J., Pollier, J., Moses, T., Arend, P., Barriga, N., Morillo, E., Arahana, V., Leon, A., Saponin determination, expression analysis and functional characterization of saponin biosynthetic genes in Chenopodium quinoa leaves (2016) Plant Science, 250, pp. 188-197. , 2-s2.0-84976565990 27457995; Jarvis, D., Ho, Y., Lightfoot, D., Schmöckel, S., Li, B., Borm, T., Ohyanagi, H., Tester, M., The genome of _Chenopodium quinoa_ (2017) Nature, 542 (7641), pp. 307-312. , 2-s2.0-85014835664; Bergesse, A., Miranda, P., Mufari, J., Albrecht, C., Cervilla, N., Evaluation of wet de-bittering conditions of quinoa (Chenopodium quinoa Willd.) (2019) Nutrición Clínica y Dietética Hospitalaria, 39 (1), pp. 107-114; Cerron, F.G., (2013) Effects of Temperature and Time in the Debittering and Drying of Quinoa (Chenopodium Quinoa Willd), , http://repositorio.uncp.edu.pe/handle/20.500.12894/2672, July 2021</t>
  </si>
  <si>
    <t>Manjarres-Hernández, E.H.; Escuela de Ciencias Biológicas, Colombia; email: elsa.manjarres@uptc.edu.co</t>
  </si>
  <si>
    <t>2-s2.0-85126616056</t>
  </si>
  <si>
    <t>Muñoz C., Uribe B.E.P., Gómez M.R.</t>
  </si>
  <si>
    <t>57218159059;57501103300;57493581900;</t>
  </si>
  <si>
    <t>Econometric model for the analysis of the transportation mode choice in domestic trips: The role of latent variables [Modelo econométrico para el análisis de la elección de modo de transporte en viajes domésticos: El rol de las variables latentes]</t>
  </si>
  <si>
    <t>10.17533/udea.le.n96a345079</t>
  </si>
  <si>
    <t>https://www.scopus.com/inward/record.uri?eid=2-s2.0-85126567274&amp;doi=10.17533%2fudea.le.n96a345079&amp;partnerID=40&amp;md5=a3cd2a11e12a3b045dcedef2c6bb5777</t>
  </si>
  <si>
    <t>Facultad de Ingeniería, Universidad de Antioquia, Medellín, Colombia; Facultad de Minas, Universidad Nacional de Colombia, Medellín, Colombia; Facultad de Ingeniería, Medellín, Colombia; Facultad de Minas, Universidad Nacional de Colombia, Medellín, Colombia</t>
  </si>
  <si>
    <t>Muñoz, C., Facultad de Ingeniería, Universidad de Antioquia, Medellín, Colombia, Facultad de Minas, Universidad Nacional de Colombia, Medellín, Colombia; Uribe, B.E.P., Facultad de Ingeniería, Medellín, Colombia; Gómez, M.R., Facultad de Minas, Universidad Nacional de Colombia, Medellín, Colombia</t>
  </si>
  <si>
    <t>Safety and comfort perceptions related to travel by bus or plane could affect passenger choice behavior in domestic trips. In this research, the safety and comfort latent variables were incorporated into the econometric models to study the choice of transportation mode for passengers who travel along the Medellin - Barranquilla route. Variables associated with the transportation mode such as cost, travel time, and frequency were included in the calibrated model and perceptional variables. The discrete choice model with latent variables (LVs) found in this research was sequentially estimated. Firstly, the parameters of Multiple Indicators Multiple Causes Model (MIMIC) were found, and then the hybrid choice model was calibrated. The calibrated model allowed us to identify the variables that affect the decision-making process for air and land transportation mode choice. The results are an effective decision-making tool for companies that operate in each of the transportation modes. © 2022 Universidad de Antioquia. All rights reserved.</t>
  </si>
  <si>
    <t>air transportation; econometric models; transportation demand</t>
  </si>
  <si>
    <t>(2017) La Aviación en cifras, , Aeronáutica Civil de Colombia; Ben-Akiva, M., Walker, J., Bernardino, A., Gopinath, D., Polydoropoulou, A., (2002) Integration of Choice and Latent Variable Models, , Massachusetts Institute of Technology; Ben-Akiva, M., Walker, J., Bernardino, A., Gopinath, D., Morikawa, A., Polydoropoulou, A., Hybrid Choice Models: Progress and challenges (2002) Marketing Letters, 13, pp. 163-175. , https://doi.org/10.1023/A:1020254301302; Bolduc, D., Boucher, N., Alvarez-Daziano, R., Hybrid Choice Modeling of New Technologies for Car Use in Canada (2008) Transportation Research Record: Journal of the Transportation Research Board, 2082 (1), pp. 63-71. , https://doi.org/10.3141/2082-08; Bollen, K. A., (1989) Structural Equations with Latent Variables, , John Wiley and Sons; Cantillo, V., Ortúzar, J. d., Williams, H., Modeling Discrete Choices in the Presence of Inertia and Serial Correlation (2007) Transportation Science, 41 (2), pp. 195-205. , https://doi.org/10.1287/trsc.1060.0178; Cochran, W. G., (1977) Sampling techniques, , Third edition. John Wiley &amp; Sons; Córdoba, J. E., (2010) Modelo de elección discreta integrando variables latentes y racionalidad limitada, , https://repositorio.unal.edu.co/handle/unal/7636, [tesis de doctorado, Universidad Nacional de Colombia]; Drabas, T., Wu, C. L., Modelling Air Carrier Choices with a Segment Specific Cross Nested Logit model (2013) Journal of Air Transport Management, 32, pp. 8-16. , https://doi.org/10.1016/j.jairtraman.2013.04.004; Espino, R., Ortúzar, J. d., Román García, C., Diseño de preferencias declaradas para analizar la demanda de viajes (2004) Estudios de Economía Aplicada, 22 (3), pp. 759-793. , https://www.redalyc.org/pdf/301/30122316.pdf; Fleischer, A., Tchetchik, A., Toledo, T., The Impact of Fear of Flying on Travelers' Flight Choice: Choice Model with Latent Variables (2012) Journal of Travel Research, 51 (5), pp. 653-663. , https://doi.org/10.1177/0047287512437856; Hensher, D. A., Rose, J. M., Greene, W. H., (2005) Applied Choice Analysis. A Primer, , Cambridge University Press; Hyun, D. J., Ji, H. S., Doo, R. P., Hong, J. H., Inactivation of Glycogen Synthase Kinase-3B Is Required for Asteoclast Differentiation (2011) Journal of Biological Chemistry, 286 (45), pp. 39043-39050. , https://doi.org/10.1074/jbc.M111.256768; Johansson, M., Heldt, T., Johansson, P., (2005) Latent Variables in a Travel Mode Choice Model: Attitudinal and Behavioral Indicator Variables, , https://uu.diva-portal.org/smash/get/diva2:665210/FULLTEXT01.pdf, [working paper No. 2005:5]. Department of Economics, Uppsala University; Kim, J., Rasouli, S., Timmermans, H., Satisfaction and Uncertainty in Car-Sharing Decisions: An Integration of Hybrid Choice and Random Regret-Based Models (2017) Transportation Research Part A: Policy and Practice, 95, pp. 13-33. , https://doi.org/10.1016/j.tra.2016.11.005; Kitrinou, E., Polydoropoulou, A., Bolduc, D., Development of Integrated Choice and Latent Variable (ICLV) Models for the Residential Relocation Decision in Island Areas (2010) Choice Modelling: The State-of-the-art and The State-of-practice, pp. 593-618. , En S. Hess &amp; A. Daly (eds), (p.p). Emerald; Lee, T. T.-H., Yip, T. L., Impact of Flight Departure Delay on Airline Choice Behavior (2017) Asian Journal of Shipping and Logistics, 33 (4), pp. 273-278. , https://doi.org/10.1016/j.ajsl.2017.12.011; Márquez, L., La percepción de seguridad en la demanda de transporte de la integración bicicleta-metro en Bogotá, Colombia (2016) Lecturas de Economía, 84, pp. 143-177. , https://doi.org/10.17533/udea.le.n84a05; Márquez, L., Macea, L. F., Soto, J. J., Willingness to Change Car Use to Commute to the UPTC Main Campus, Colombia: A Hybrid Discrete Choice Modeling Approach (2019) The Journal of Transport and Land Use, 12 (1), pp. 335-353. , https://hdl.handle.net/20.500.12585/9238; McFadden, T. A., Domencich, D., (1975) Urban Travel Demand. A Behavioral Analysis, , North-Holland Publishing Co; Morikawa, T., Ben-Akiva, M., McFadden, D., Discrete Choice Models Incorporating Revealed Preferences and Psychometric Data (2002) Advances in Econometrics, 16, pp. 29-55. , https://doi.org/10.1016/S0731-9053(02)16003-8; Ortúzar, J. d., Willumsen, L., (2011) Modelling Transport, , John Wiley &amp; Sons; Szolnoki, G., Hoffmann, D., Online, Face-to-Face and Telephone Surveys-Comparing Different Sampling Methods in Wine Consumer Research (2013) Wine Economics and Policy, 2 (2), pp. 57-66. , https://doi.org/10.1016/j.wep.2013.10.001; Tam, M., Lam, W., Lo, H., The Impact of Travel Time Reliability and Perceived Service Quality on Airport Ground Access Mode Choice (2011) Journal of Choice Modelling, 4 (2), pp. 49-69. , https://doi.org/10.1016/S1755-5345(13)70057-5; Terminales de Transporte Medellín, S. A, (2018) Movimientos de pasajeros 2017, , Sociedad Terminales de Transporte Medellín; Tsai, T., Chen, C., Mixed Logit Analysis of Trade-Off Effects between International Airline Fares and Fences: A Revenue Management Perspective (2019) Current Issues in Tourism, 22 (3), pp. 265-275. , https://doi.org/10.1080/13683500.2017.1402869; Wen, C.-H., Wu, W.-N., Fu, C., Preferences for Alternative Travel Arrangements in Case of Major Flight Delays: Evidence from Choice Experiments with Prospect Theory (2019) Transport Policy, 83, pp. 111-119. , https://doi.org/10.1016/j.tranpol.2017.02.005; Yang, C.-W., Lu, J.-L., Hsu, C.-Y., Modeling Joint Airport and Route Choice Behavior for International and Metropolitan Airports (2014) Journal of Air Transport Management, 39, pp. 89-95. , https://doi.org/10.1016/j.jairtraman.2014.05.001; Yazdanpanah, M., Hosseinlou, M., The Influence of Personality Traits on Airport Public Transport Access Mode Choice: A Hybrid Latent Class Choice Modeling Approach (2016) Journal of Air Transport Management, 55, pp. 147-163. , https://doi.org/10.1016/j.jairtraman.2016.04.010; Zochowska, R., Karon, G., Sobota, A., Janecki, R., Selected Aspects of the Methodology of a Household Interview Survey on an Urban Agglomeration Scale with Regard to its Services (2017) Scientific Journal of Silesian University of Technology. Series Transport, 95, pp. 239-249. , https://doi.org/10.20858/sjsutst.2017.95.22</t>
  </si>
  <si>
    <t>2-s2.0-85126567274</t>
  </si>
  <si>
    <t>Martín L.M., Castro G.A.</t>
  </si>
  <si>
    <t>57490963900;57210717295;</t>
  </si>
  <si>
    <t>Letters for History in a world 2.0: The construction and study of a Spanish-Portuguese digital epistolary corpus from the Modern Age [Cartas para a história no mundo 2.0: A construção e o estudo de um corpus epistolar digital luso-hispânico da Idade Moderna] [Cartas para la Historia en el mundo 2.0: La construcción y estudio de un corpus epistolar digital hispano-luso de la Edad Moderna]</t>
  </si>
  <si>
    <t>Historia Critica</t>
  </si>
  <si>
    <t>10.7440/histcrit83.2022.05</t>
  </si>
  <si>
    <t>https://www.scopus.com/inward/record.uri?eid=2-s2.0-85126553228&amp;doi=10.7440%2fhistcrit83.2022.05&amp;partnerID=40&amp;md5=7c0d6bd2cce24b4df0cf8724134a798a</t>
  </si>
  <si>
    <t>Universidad de Alcalá, Spain</t>
  </si>
  <si>
    <t>Martín, L.M., Universidad de Alcalá, Spain; Castro, G.A., Universidad de Alcalá, Spain</t>
  </si>
  <si>
    <t>Objective/Context: The text proposes a journey through the methodology and work process followed in the Post Scriptum. A Digital Archive of Ordinary Writings (Early Modern in Spain and Portugal) project, which led to the formation of a digital epistolary corpus—now available online—from funds preserved in judicial archives during the Modern Age in the Iberian Peninsula. Based on a practical case, the paper reflects on the reality of the fieldwork carried out in order to build a digital corpus, as well as on its strengths and weaknesses, which allows a first-hand insight of some changes and challenges of the digital revolution we are immersed in. Methodology: Advances in the field of Digital Humanities are taken as a starting point to examine the multidisciplinarity that characterizes both the corpus formation process and the possibilities for its analysis and study. Originality: The paper describes the complete work process involved in the transformation of primary sources into digital sources in an innovative project in the field of Digital Humanities; it also reflects on problems faced by historians in working with private letters produced by common people (sixteenth-nineteenth centuries), which range from the location of these sources to their selection, digitization, editing, treatment, and subsequent study. Conclusions: In addition to describing the process of transforming sources into a digital corpus and the possibilities of its analysis, the article evidences different analytical ways. Likewise, it addresses the wealth of archives as essential repositories for recovering private and ordinary epistolary sources while also reflecting on the future of their conservation in the digital environment. © 2022, Universidad de los Andes, Bogota Colombia. All rights reserved.</t>
  </si>
  <si>
    <t>Digital Humanities; Historical corpus; Historiography; Iberian Peninsula; Ordinary writing; Private correspondence</t>
  </si>
  <si>
    <t>Scriptum, Post, A Digital Archive of Ordinary Writings (Early Modern in Spain and Portugal), , http://ps.clul.ul.pt/es; Adámez Castro, Guadalupe, Las cartas al poder. Definición y evolución de una práctica epistolar (siglos xvi al xx) (2020) Historia y Sociedad, 38, pp. 46-70. , Https://doi.org; Amelang, James S., De la autobiografía a los ego-documentos: Un fórum abierto (2005) Dossier monográfico de Cultura Escrita &amp; Sociedad, (1), pp. 15-122. , coordinador. n.º; Arriaga Flórez, Mercedes, Epistolarios en Italia: Un punto de vista teórico sobre un género femenino (2005) En Epístola i literatura: Epistolaris: La carta, estratègies literàries, coordinado por Carlos Cortés, pp. 69-77. , Alicante: Denes; Baraibar Echeverría, Álvaro, Las Humanidades Digitales desde sus centros y periferias (2014) Janus. Estudios sobre el Siglo de Oro, anexo 2, Humanidades Digitales: Una aproximación transdisciplinar, coordinado por Álvaro Baraibar Echeverría, pp. 7-15. , https://www.janusdigital.es/anexos/contribucion.htm?id=42; Moreno, Carlota de, Los corpus del español desde la perspectiva del usuario lingüista (2019) Scriptum digital, 8, pp. 1-21. , https://ddd.uab.cat/pub/scriptumdigital/scriptumdigital_a2019n8/scriptumdigital_a2019n8p1.pdf, Benito n.º; Bermejo Cabrero, José Luis, (2005) Poder político y administración de justicia en la España de los Austrias, , Madrid: Ministerio de Justicia, Secretaría General Técnica; Calderón Campos, Miguel, Los corpus del español clásico y moderno: Entre la Filología y la Lingüística Computacional (2019) rla. Revista de lingüística teórica y aplicada, (57-2), pp. 41-64. , https://scielo.conicyt.cl/pdf/rla/v57n2/0718-4883-rla-57-02-41.pdf; Calderón Campos, Miguel, La edición de corpus lingüísticos en la plataforma teitok. El caso de Oralia diacrónica del español (ode) (2019) chimera. Romance Corpora and Linguistic Studies, 6, pp. 21-36. , https://revistas.uam.es/chimera/article/view/10999; Carvalheiro, Catarina, Costa, Ana Luísa, Marquilhas, Rita, Pinto, Clara, Pratas, Fernanda, Vaamonde, Gael, A Idade dos ‘desvios’: Diacronia, variação social e linguística de corpus (2016) En Lingüística de corpus y lingüística histórica iberorrománica, pp. 175-198. , Https://doi.org/10.1515/9783110462357-009, editado por Johannes Kabatek. Berlín/Boston: Walter De Gruyter; Castillo Gómez, Antonio, (2001) coodinador. Cultura escrita y clases subalternas. Una mirada española, , Guipúzcoa: Oyarzun; Castillo Gómez, Antonio, (2003) coordinador. La conquista del alfabeto. Escritura y clases populares, , Gijón: Trea; Antonio, Castillo Gómez, Blas, Verónica Sierra, (2007) coordinadores. El legado de Mnemosyne. Las escrituras del yo a través del tiempo, , Gijón: Trea; Castillo Gómez, Antonio, Me alegraré que al recibo de ésta…’. Cuatrocientos años de prácticas epistolares (siglos xvi a xix) (2011) Manuscrits, (29), pp. 19-50; Castillo Gómez, Antonio, Blas, Verónica Sierra, (2014) Cinco siglos de cartas. Historia y prácticas epistolares en las épocas moderna y contemporánea, , directores. Huelva: Universidad de Huelva; Castillo Gómez, Antonio, Blas, Verónica Sierra, (2014) Cartas – Lettres – Lettere. Discursos, prácticas y representaciones epistolares (siglos xiv-xx), , directores. Alcalá de Henares: Universidad de Alcalá; Costa, Ana Luísa, Estas duas regras. Construção da referencia em cartas (2015) Estudos Linguísticos/ Lingustic Studies, (10), pp. 49-64; Mundet, José Ramón, Carrera, Carmen Díez, (2015) Los costes de la preservación digital permanente, , Gijón: Trea; Cruz Mundet, José Ramón, El historiador y la historia en la edad oscura digital (2018) Ayer n.º, 109, pp. 369-384. , https://revistaayer.com/articulo/146; Eiroa, Matilde, El pasado en el presente: El conocimiento historiográfico en las fuentes digitales (2018) Ayer n.º, 110, pp. 83-109; Farge, Arlette, (1991) La atracción del archivo, , Valencia: Institució Alfons el Magnànim; Foucault, Michel, (1996) La vida de los hombres infames, , Buenos Aires: Altamira; García Prieto, Elisa, La gestión femenina del patrimonio nobiliar. Doña Teresa de Saavedra y Zúñiga, condesa de Villalonso: Una aristócrata en los reinados de Felipe II y Felipe III (2016) Cuadernos de Historia Moderna, 41 (1), pp. 109-128. , Https://doi.org; García Prieto, Elisa, Cartas que encausan, cartas que narran. Biografía epistolar y judicial de Pedro de Escobedo (2017) cem. Cultura, Espaço e Memória, 8, pp. 219-234. , http://ojs.letras.up.pt/index.php/CITCEM/article/view/4672; Generelo, Juan José, Moreno, Ángeles, (1998) Historia de los archivos y de la archivística en España, , editores. Valladolid: Universidad de Valladolid; Ginzburg, Carlo, Conversar con Orión (2004) En Tentativas, pp. 229-239. , Rosario: Prohistoria; Henny-Krahmer, Ulrike, Bridging Edition and Corpus: A Review of P. S. Post Scriptum: A Digital Archive of Ordinary Writing (Early Modern Portugal and Spain) (2019) ride: A Review Journal for Digital Editions and Resources, 10. , Https://doi.org; Hunt, Lynn, (2019) Historia ¿Por qué importa?, , Madrid: Alianza Editorial; Kagan, Richard, (1991) Los sueños de Lucrecia. Política y profecía en la España del siglo xvi, , San Sebastián: Nerea; Le Goff, Jacques, Memoria (1979) En Enciclopedia, 8, Labirinto-Memoria, , Turín: Einaudi; Leitão, Ana, Palavras à solta: Produção, circulação e receção de correspondência nas prisões públicas portuguesas (1810-1834) (2019) Vegueta. Anuario de la Facultad de Geografía e Historia, 19, pp. 231-253. , http://revistavegueta.ulpgc.es/ojs/index.php/revistavegueta/article/view/455/693; López Gómez, Pedro, Archivos y archivística en España. De práctica tradicional a teoría científica (2015) Repositorio de la Universidade da Coruña, , http://hdl.handle.net/2183/15635; Lyons, Martyn, (2016) La cultura escrita de la gente común en Europa, c. 1860-1920, , Buenos Aires: Ampersand; Marquilhas, Rita, (2000) A faculdade das letras. Leitura e escrita em Portugal no século xvii, , Lisboa: Imprensa Nacional-Casa da Moeda; Marquilhas, Rita, Non-anachronism in the Historical Sociolinguistic Study of Portuguese (2015) Journal of Historical Sociolinguistics, (1-2), pp. 213-242. , Https://doi.org/10.1515/jhsl-2015-0013; Marquilhas, Rita, Magro, Catarina, Pratas, Fernanda, (2018) Moléstias, embustes e pontinhos amantes: Escrita quotidiana em Portugal entre os séculos xvi e xix, , editoras. Lisboa: Arranha-céus; Marquilhas, Rita, O sabre e a montada. Observações sobre a prática de uma edição académica digital (2020) En Calen barbas, falen cartas. A escrita en galego na Idade Moderna, pp. 253-269. , editado por Rosario Álvarez y Ernesto González Seoane. Santiago de Compostela: Consello da Cultura Galega; Martínez Martínez, María del Carmen, (2007) Desde la otra orilla. Cartas de Indias en el Archivo de la Real Chancillería de Valladolid (siglos xvi-xvii), , León: Universidad de León; Martínez Martín, Laura, Castro, Guadalupe Adámez, Prieto, Elisa García, (2018) Huellas de tinta y papel. Cartas corrientes para una historia diferente, , editoras. Lisboa: Arranha-céus; Martínez Ruiz, (1996) Enrique y Magdalena de Pazzis Pi Corrales, coordinadores. Las jurisdicciones, , Madrid: Editorial Actas; Mendo Carmona, Concepción, Los archivos y la archivística: Evolución histórica y actualidad (1995) Manual de Archivística, pp. 19-38. , En editado por Antonio Ángel Ruiz Rodríguez. Madrid: Síntesis; Milligan, Ian, La historia en la era de la abundancia: Archivos web e investigación histórica (2020) Historia y Memoria n.º especial, pp. 235-269. , https:/doi.org/10.19053/20275137.nespecial.2020.11587; Navarro Bonilla, Diego, (2004) Del corazón a la pluma. Archivos y papeles privados femeninos en la Edad Moderna, , Salamanca, Ediciones Universidad de Salamanca; Navarro Bonilla, Diego, Sentir por escrito hacia 1650: Cartas, billetes y lugares de memorias (2009) Accidentes del alma. Las emociones en la Edad Moderna, pp. 229-254. , En coordinado por María Tausiet Carlés y James S. Amelang. Madrid: Abada; Olza, Inés, Nuevas tecnologías y procesos de lectura/escritura: Panorama y aplicaciones (2014) Janus. Estudios sobre el Siglo de Oro, anexo 2, Humanidades Digitales: Una aproximación transdisciplinar, coordinado por Álvaro Baraibar Echeverría, pp. 85-98. , https://www.janusdigital.es/anexos/contribucion.htm?id=48; Pampliega Pedreira, Víctor, Correspondencia privada y vida cotidiana en la España Moderna (2016) En Caleidoscopio de la vida cotidiana (siglos xvi-xviii), coordinado por Gloria Ángeles Franco Rubio, pp. 333-352. , Logroño: Siníndice Editorial; Petrucci, Armando, (1999) Alfabetismo, escritura, sociedad, , Barcelona: Gedisa; Petrucci, Armando, (2008) Scrivere lettere. Una storia plurimillenaria, , Roma-Bari: Laterza; Petrucci, Armando, (2011) Libros, escrituras y bibliotecas, , Salamanca: Universidad de Salamanca; Pons, Anaclet, La historia maleable. A propósito de Internet (2006) Hispania, LXVI (222), pp. 109-130; Pons, Anaclet, (2013) El desorden digital. Guía para historiadores y humanistas, , Madrid: Siglo xxi Editores, edición de Kindle; Pons, Anaclet, ‘Guardar como’. La historia y las fuentes digitales (2011) Historia Crítica, 43, pp. 38-61. , Https://doi.org; Pons, Anaclet, Archivos y documentos en la era digital (2017) Historia y comunicación social, 22 (2), pp. 283-296. , https://revistas.ucm.es/index.php/HICS/article/view/57844/52084; Pons, Anaclet, El pasado fue analógico, el futuro es digital. Nuevas formas de escritura histórica (2018) Ayer n.º, 110, pp. 19-50. , http://revistaayer.com/articulo/1280; Rey de las Peñas, Remedios, (2003) Los desastres en archivos y bibliotecas: Urgencias de su prevención y tratamiento, , coordinadora. Huelva: Diputación Provincial de Huelva; Rosenwein, Barbara H., (2006) Emotional Communities in the Early Middle Ages, , Ithaca: Cornell University Press; Rosenwein, Barbara H., Problems and Methods in the History of Emotions (2010) Passions in Context I. International Journal for the History and Theory of Emotions, (1), pp. 1-32; Sánchez Rubio, Rocío, Núñez, Isabel Testón, (2014) Lazos de tinta, lazos de sangre: Cartas privadas entre el Nuevo y el Viejo Mundo (siglos xvi-xviii), , Cáceres: Universidad de Extremadura; Serrano Sánchez, Carmen, ‘El hombre de los tres nombres’: Cartas de un músico bígamo ante el Santo Oficio (2014) En Cartas – Lettres – Lettere. Discursos, prácticas y representaciones epistolares (siglos xiv-xx), pp. 349-364. , dirigido por Antonio Castillo Gómez y Verónica Sierra Blas. Alcalá de Henares: Universidad de Alcalá; Sierra Blas, Verónica, Cartas para todos: Discursos, prácticas y representaciones de la escritura epistolar en la Época Contemporánea (2015) En Culturas del escrito en el mundo occidental: Del Renacimiento a la contemporaneidad, coordinado por Antonio Castillo Gómez, pp. 99-120. , Madrid: Casa de Velázquez; Spence, Paul, Edición académica en la era digital: Modelos, difusión y proceso de investigación (2014) Anuario Lope de Vega. Texto, literatura, cultura, (20), pp. 47-83; Spence, Paul, La investigación humanística en la era digital: Mundo académico y nuevos públicos (2014) Janus. Estudios sobre el Siglo de Oro, anexo 2, Humanidades Digitales: Una aproximación transdisciplinar, coordinado por Álvaro Baraibar Echeverría, pp. 117-131. , https://www.janusdigital.es/anexos/contribucion.htm?id=50; Stangl, Werner, Un cuarto de siglo con Cartas privadas de emigrantes a Indias. Prácticas y perspectivas de ediciones de cartas transatlánticas en el Imperio español (2013) Anuario de Estudios Americanos, (70), pp. 703-736; Summerfield, Penny, (2019) Histories of the Self. Personal Narratives and Historical Practice, , Nueva York: Routledge; Tomás, Valiente, Francisco, (1999) Gobierno e instituciones en la España del Antiguo Régimen, , Madrid: Alianza Editorial; (2020) Text Encoding Initiative, , https://tei-c.org/, Tei, consultado el 18 de junio de; Vaamonde, Gael, Guía para la edición digital de textos en P.S. Post Scriptum (2016) Arquivo Digital de Escrita Quotidiana em Portugal e Espanha na Época Moderna, , http://ps.clul.ul.pt/es/index.php?action=home, En P.S. Post Scriptum. Lisboa: Clul; Vaamonde, Gael, P.S. Post Scriptum: Dos corpus diacrónicos de escritura cotidiana (2015) Procesamiento del Lenguaje Natural, 55, pp. 57-64. , http://journal.sepln.org/sepln/ojs/ojs/index.php/pln/article/view/5216; Vaamonde, Gael, Distribución de leísmo, laísmo y loísmo en un corpus diacrónico epistolar (2015) Res Diachorinae, 13, pp. 58-79. , https://resdiachronicae.files.wordpress.com/2015/12/9_vaamonde.pdf; Vaamonde, Gael, Escritura epistolar, edición digital y anotación de corpus (2018) Cuadernos del Instituto Historia de la Lengua, (11), pp. 139-164; Vaamonde, Gael, Magro, Catarina, Manual de edición y anotación en Teitok de los materiales de P.S. Post Scriptum (2018) Arquivo Digital de Escrita Quotidiana em Portugal e Espanha na Época Moderna, , En P.S. Post Scriptum. Lisboa: Clul; Vaamonde, Gael, Costa, Ana Luisa, Marquilhas, Rita, Pinto, Clara, Pratas, Fernanda, Post Scriptum: Archivo Digital de Escritura Cotidiana (2014) Janus. Estudios sobre el Siglo de Oro, anexo 1, Humanidades digitales: Desafíos, logros y perspectivas de futuro, pp. 473-482. , https://www.janusdigital.es/anexos/contribucion.htm?id=41, coordinado por Sagrario López Poza y Nieves Pena Sueiro; Vaamonde, Gael, Janssen, Maarten, Da edición dixital á análise lingüística. A creación de corpus históricos na plataforma teitok (2020) En Calen barbas, falen cartas. A escrita en galego na Idade Moderna, pp. 271-292. , editado por Rosario Álvarez y Ernesto González Seoane. Santiago de Compostela: Consello da Cultura Galega; Vieira, Leia, Cartas, cautivos, y Humanidades Digitales: Un análisis de la presencia del cautivo en escritos epistolares portugueses y españoles de los siglos xvi-xviii (2018) Revista de Humanidades Digitales, 2, pp. 142-158. , Https://doi.org/10.5944/rhd.vol.2.2018.22333</t>
  </si>
  <si>
    <t>Universidad de los Andes, Bogota Colombia</t>
  </si>
  <si>
    <t>Hist. Crit.</t>
  </si>
  <si>
    <t>2-s2.0-85126553228</t>
  </si>
  <si>
    <t>Ardila J.R.</t>
  </si>
  <si>
    <t>57491809600;</t>
  </si>
  <si>
    <t>From the public repository to the university classroom: Students of the National University at the National Library, United States of Colombia, 1870-1874 [Do repositório público à sala de aula universitária: Alunos da Universidad Nacional na Biblioteca Nacional, Estados Unidos da Colômbia, 1870-1874] [Del repositorio público al aula universitaria: Estudiantes de la Universidad Nacional en la Biblioteca Nacional, Estados Unidos de Colombia, 1870-1874]</t>
  </si>
  <si>
    <t>10.7440/histcrit83.2022.01</t>
  </si>
  <si>
    <t>https://www.scopus.com/inward/record.uri?eid=2-s2.0-85126541969&amp;doi=10.7440%2fhistcrit83.2022.01&amp;partnerID=40&amp;md5=3f9e29dd257dbe3bdd24ef0300e9f219</t>
  </si>
  <si>
    <t>Universidad Nacional de Colombia, Colombia</t>
  </si>
  <si>
    <t>Ardila, J.R., Universidad Nacional de Colombia, Colombia</t>
  </si>
  <si>
    <t>Objective/Context: This article examines the presence of students from the National University among the readers of the National Library during the first half of the 1870s. Although some contemporary observers considered the library to be inoperative, the institution was an active agent in the circulation of books in Bogotá: A space of student sociability and a place of university knowledge. Methodology: First, the paper examines the institutional relationship between the library and the university. Then, it characterizes the students and their readings at the library. Finally, it analyzes the recorded readings in relation to the programs of courses taught at the National University, the academic performance of students, the presentation of public speeches, and library attendance by students from regions other than Bogotá and its surroundings. Originality: In a scenario of educational reforms promoted by liberal governments during the 1870s, the National Library was described as “anachronistic” and “useless” by the agents themselves of the nineteenth century. These critical judgments have become a commonplace in historiography. The analysis of new documents, especially library reader records—an unpublished source—, enriches the field of reading appropriation and offers empirical elements that vindicate the institution’s centrality at a time of political and ideological struggles. Conclusions: The article demonstrates that young students at the National University used books from the public repository in academic spaces of professional training, which calls into question the idea of its inoperative character as well as the reasons that originated this liberal criticism. © 2022, Universidad de los Andes, Bogota Colombia. All rights reserved.</t>
  </si>
  <si>
    <t>History of education; History of libraries; History of reading; National Library of Colombia; Nineteenth century; Reader records</t>
  </si>
  <si>
    <t>Biblioteca Nacional de Colombia (bnc), Bogotá-Colombia. Archivo Histórico (ah); Archivo Central e Histórico (unal-ach), , Universidad Nacional de Colombia, Bogotá, Colombia. Fondo Universidad Nacional de los Estados Unidos de Colombia (uneuc); (1868) Anales de la Universidad Nacional de los Estados Unidos de Colombia, , Bogotá, 1875; (1855) Catálogo de las obras en francés que existen en la Biblioteca nacional, , Bogotá: Imprenta de El Neo-Granadino; Colunje, Gil, (1874) Memoria del secretario de lo Interior y Relaciones Esteriores de los Estados Unidos de Colombia para el Congreso de 1874, , Bogotá: Imprenta de Medardo Rivas; Decreto Orgánico de Instrucción Pública Primaria (1871) La Escuela Normal. Periódico Oficial de Instrucción Pública, (1-3), pp. 2-19. , enero de; Decreto Orgánico de los Colegios Nacionales del 22 de agosto de 1853 (1853) Gaceta Oficial de la Nueva Granada, p. 709. , 1592, 30 de agosto de; Ley 39 de 1903 (octubre 26). Sobre Instrucción Pública (1903) Diario Oficial de la República de Colombia, p. 1. , 11931, 30 de octubre de; Madiedo, Manuel María, Cuadro ix (1868) En Nuestro siglo xix. Cuadros nacionales, , Bogotá: Imprenta de Nicolás Pontón; Pombo, Lino de, (1845) Recopilación de leyes de la Nueva Granada, formada i publicada en cumplimiento de la Lei 4 de mayo de 1843 i por comisión del Poder Ejecutivo, , Bogotá: Imprenta de Zoilo Salazar; Urdaneta, Rafael, Otro (1830) Gaceta de Colombia, (493), p. 1. , 5 de diciembre de; Aguirre, Carlos, Salvatore, Ricardo, (2018) Introducción” a Bibliotecas y cultura letrada en América Latina. Siglos xix y xx, , Lima: Pontificia Universidad Católica del Perú; Arango, Juan Pablo, Ardila, Javier Ricardo, Monroy, Diana Carolina, González, Isabel Cristina, Zabala, Óscar Yesid, La donación patriótica de Manuel Ancízar a la Biblioteca Nacional, 1849- 1853 (2021) Anuario Colombiano de Historia Social y de la Cultura, 48 (2), pp. 81-114. , Https://doi.org; Ardila, Javier Ricardo, De París, Madrid y Londres a Bogotá: Compra de libros por la República de la Nueva Granada para la Biblioteca Pública de Bogotá, 1846-1848 (2021) Ponencia presentada en el iii Encuentro Latinoamericano del Libro, , la Lectura y la Edición, Bogotá, 22 de octubre de; Arévalo, Robinson, La colección de incunables de la Biblioteca Nacional de Colombia (2016) Historia y memoria, 13, pp. 85-120. , Https://doi.org/10.19053/20275137.5201; Barbier, Frédéric, (2015) Historia de las bibliotecas. De Alejandría a las bibliotecas virtuales, , Buenos Aires: Ampersand Colección Scripta Manent; Betancourt, Alexander, (2007) Historia y Nación. Tentativas de la escritura de la historia en Colombia, , Medellín: La Carreta Editores; Cardona Zuluaga, Patricia, Colección Pineda: Acopiar gacetas, conservar el pasado y divulgar sus glorias (2013) Historia Caribe, viii (22), pp. 105-132; Cardona Zuluaga, Patricia, (2016) Trincheras de tinta. La escritura de la Historia patria en Colombia, 1850-1908, , Medellín: Eafit; Castillo, Lina del, (2018) La invención republicana del legado colonial. Ciencia, historia y geografía de la vanguardia política colombiana en el siglo xix, , Bogotá: Ediciones Uniandes Banco de la República de Colombia; Chartier, Roger, Popular Appropriations: The Readers and Their Books (1995) En Forms and Meaning, pp. 83-98. , Filadelfia: University of Pennsylvania Press; Cortés Guerrero, José David, La batalla de los siglos. Estado, Iglesia y religión en Colombia en el siglo xix (2016), De la Independencia a la Regeneración. Bogotá: Universidad Nacional de Colombia; Darnton, Robert, Las Bibliotecas. Una mirada retrospectiva al futuro (2003) El coloquio de los lectores. Ensayos sobre autores, manuscritos, editores y lectores, pp. 155-161. , En Ciudad de México: Fce; Darnton, Robert, ¿Qué es la historia del libro? (2008) Prismas. Revista de Historia Intelectual, 12 (2), pp. 135-155; Decreto sobre bibliotecas públicas (12 de marzo de 1822) (1990) Obra educativa de Santander. 1819-1826, pp. 59-60. , En Tomo I, compilado por Luis Horacio López Domínguez. Bogotá: Fundación Francisco de Paula Santander; Freudenthal, Juan R., Public Libraries in Latin America (1978) Encyclopedia of Library and Information Science, 24, pp. 422-455. , En volumen editado por Allen Kent, Harold Lancour y Jay Daily. Nueva York: Marcel Dekker Inc; Hernández de Alba, Guillermo, Botero, Juan Carrasquilla, (1977) Historia de la Biblioteca Nacional de Colombia, , Bogotá: Instituto Caro y Cuervo; Jacob, Christian, (2007) Introduction” a Lieux de savoir. Espaces et communautés, , París: Albin Michel; Jacob, Christian, Baratin, Marc, (1996) Le pouvoir des bibliothèques. La mémoire des libres en Occident, , editores. París: Albin Michel; Jiménez Ángel, Andrés, (2018) Ciencia, lengua y cultura nacional. La transferencia de la ciencia del lenguaje en Colombia, 1867-1911, , Bogotá: Pontificia Universidad Javeriana; Kaufman, Paul, (1960) Borrowing from the Bristol Library, 1773-1784: A Unique Record of Reading Vogues, , Charlottesville, VA: Bibliographical Society of the University of Virginia; Koehnler, Rob, Challenging Institutional Ambitions: The Practice of Book Exchanges at the New York Society Library, 1789-1795 (2017) Before the Public Library. Reading, Community, and Identity in the Atlantic World, 1650-1850, pp. 201-218. , En editado por Mark Towsey y Kyle B. Roberts. Boston: Brill; Lehuu, Isabelle, Reconstructing Reading Vogues in the Old South: Borrowings from the Charleston Library Society, 1811-1817 (2011) The History of Reading. Volume 1: International Perspectives, c.1500-1990, pp. 64-83. , En editado por Shafqut Towheed y W. R. Owens. Londres: Palgrave Macmillan; Loaiza Cano, Gilberto, Educar y gobernar. Ensayo sobre el proceso de fundación de la Universidad Nacional de Colombia (2002) Anuario Colombiano de Historia Social y de la Cultura, (29), pp. 223-250; Loaiza Cano, Gilberto, La expansión del mundo del libro durante la ofensiva reformista liberal. Colombia, 1845-1886 (2009) En Independencia, independencias y espacios culturales. Diálogos de historia y literatura, pp. 25-64. , editado por Carmen Elisa Acosta Peñaloza, César Augusto Ayala Diago y Henry Alberto Cruz Villalobos. Bogotá: Universidad Nacional de Colombia Facultad de Ciencias Humanas; Cano, Loaiza, (2014) Gilberto. Poder letrado. Ensayos sobre historia intelectual de Colombia, siglos xix y xx, , Cali: Universidad del Valle; Loaiza Cano, Gilberto, Premisas para una historia del libro en Colombia (2016) En Minúscula y plural. Cultura escrita en Colombia, pp. 251-271. , editado por Alfonso Rubio. Medellín: La Carreta Editores; Loaiza Cano, Gilberto, (2011) Sociabilidad, religión y política en la definición de la nación. Colombia, 1820-1886, , Bogotá: Universidad Externado de Colombia; Lyons, Martyn, (1987) Le triomphe du libre. Une histoire sociologique de la lectura dans la France du xixe siècle, , París: Promodis; Lyons, Martyn, (2001) Readers and Society in Nineteenth-Century France. Workers, Women, Peasants, , Nueva York: Palgrave; McKenzie, Donald Francis, (2005) Bibliografía y sociología de los textos, , Madrid: Editorial Akal; Mornet, Daniel, Les enseignements des Bibliothèques privées (1750-1780) (1910) Revue d’Histoire littéraire de la France, (3), pp. 449-496; Sandoval, Murillo, David, Juan, El Estado como librero. Políticas oficiales y cultura impresa en Colombia, 1821-1886 (2016) Minúscula y plural. Cultura escrita en Colombia, pp. 271-302. , En editado por Alfonso Rubio. Medellín: La Carreta Editores; Parada, Alejandro E., Tipología de las bibliotecas argentinas desde el período hispánico hasta 1830. Una primera clasificación provisional (2003) Información, Cultura y Sociedad, (9), pp. 75-94; Parada, Alejandro E., Una Historia de las Bibliotecas con vocación latinoamericana (2019) Telar n.º, 22, pp. 23-36; Phillips, Christopher, Reading on the edge of the Atlantic: The Easton Library Company (2017) Before the Public Library. Reading, Community, and Identity in the Atlantic World, 1650-1850, pp. 286-303. , En editado por Mark Towsey y Kyle B. Roberts. Boston: Brill; Rodríguez Torres, Álvaro, Reseña histórica de la Biblioteca Nacional de Colombia (1992) Senderos, 5 (24), pp. 339-372. , nº; Saldarriaga Vélez, Oscar, La ‘Cuestión Textos’ de 1870: Una polémica colombiana sobre los Elementos de Ideología de Destutt de Tracy (2004) Pensar el siglo xix. Cultura, biopolítica y modernidad en Colombia, pp. 105-164. , En editado por Santiago Castro-Gómez. Pittsburgh: University of Pittsburgh Press; Spence Richards, Pamela, Weigand, Wayne A., Dalbello, Marija, (2015) A History of Modern Librarianship. Constructing the Heritage of Western Cultures, , editores. Santa Bárbara, CA: Libraries Unlimited; Stead, Evanghelia, (2018) Reading Books and Prints as Cultural Objects, , editora. Londres: Palgrave Macmillan; Therrien, Monika, Cohen, David, Hoyos, Mauricio, Cordero, Teresita, Patiño, Leonardo, Vargas, Daniela, Roa, Catalina, Estudio Arqueológico del Museo de Arte Colonial. Bogotá (2015) Informe final de investigación, , Fundación Erigaie; Towsey, Mark, Roberts, Kyle B., (2017) Before the Public Library. Reading, Community, and Identity in the Atlantic World, 1650-1850, , editores. Boston: Brill; Uribe de Hincapié, María Teresa, María López Lopera, Liliana, (2008) La guerra por las soberanías. Memorias y relatos en la Guerra Civil de 1859-1862 en Colombia, , Medellín: La Carreta Editores; Vargas Rubiano, Alfonso, Conferencia ‘José Ignacio Barberi’. Las etapas prenatales del Hospital de La Misericordia (1996) Revista de la Facultad de Medicina de la Universidad Nacional de Colombia, 44 (3), pp. 167-171; Vargas Tisnés, Gloria, (2016) La nación de los mosaicos. Relaciones de identidad, literatura y política en Bogotá (1856-1886), , Bogotá: Universidad Externado de Colombia; Whipple, Pablo, Carencias materiales, respetabilidad y prácticas judiciales en el Perú durante los inicios de le república (2013) Historia Crítica, 49, pp. 55-79. , Https://doi.org; Cortés, Olga Lucía, (2012) investigadora principal. Historia de la educación en Bogotá, , Zuluaga Tomo I. Bogotá: Alcaldía Mayor de Bogotá/idep</t>
  </si>
  <si>
    <t>Ardila, J.R.; Universidad Nacional de ColombiaColombia; email: jrardilag@unal.edu.co</t>
  </si>
  <si>
    <t>2-s2.0-85126541969</t>
  </si>
  <si>
    <t>Borda J., Torres R.</t>
  </si>
  <si>
    <t>57221716992;57171523200;</t>
  </si>
  <si>
    <t>Canadian Metallurgical Quarterly</t>
  </si>
  <si>
    <t>https://www.scopus.com/inward/record.uri?eid=2-s2.0-85126230507&amp;doi=10.1080%2f00084433.2022.2046902&amp;partnerID=40&amp;md5=ad3818afc53555ee96af806b74d0875c</t>
  </si>
  <si>
    <t>Facultad de Ingeniería. Escuela de Metalurgia, Universidad Pedagógica y Tecnológica de Colombia, Tunja, Colombia</t>
  </si>
  <si>
    <t>Borda, J., Facultad de Ingeniería. Escuela de Metalurgia, Universidad Pedagógica y Tecnológica de Colombia, Tunja, Colombia; Torres, R., Facultad de Ingeniería. Escuela de Metalurgia, Universidad Pedagógica y Tecnológica de Colombia, Tunja, Colombia</t>
  </si>
  <si>
    <t>Electric Arc Furnace Dust (EAFD) is a potential source of contamination, primarily by the non- ferrous metals as it may contain (Zn, Pb). It is known that steel processing companies make efforts to reuse EAFD, however, today, the implementation of the most common hydrometallurgical methods is considered to be harmful and corrosive. In that sense, a more ecological and efficient technique for the management of this industrial waste is proposed here. The technique consists in the use of an organic solution of ethylenediaminetetraacetic acid (EDTA) at moderate conditions (room temperature, 0.5 M maximum concentration and 2 h of operation) for zinc and lead extraction. To leach metals using EDTA at pH 3 and 6 is possible and favourable. The presence of ZnFe2O4 did not allow leaching of the total zinc present in EAFD, while the rapid dissolution of PbO allowed more than 95% lead extraction. © 2022 Canadian Institute of Mining, Metallurgy and Petroleum.</t>
  </si>
  <si>
    <t>EAFD; EDTA; Hydrometallurgy; lead; selective-leaching; zinc</t>
  </si>
  <si>
    <t>Dust control; Electric arcs; Electric furnace process; Ethylenediaminetetraacetic acid; Extraction; Hydrometallurgy; Iron compounds; Leaching; Lead oxide; Slags; Steel corrosion; Waste management; Zinc; Zinc compounds; Condition; Electric arc furnace dust; Hydrometallurgical methods; Maximum concentrations; Non-ferrous metals; Organic solutions; Potential sources; Reuse; Selective leaching; Steel processing; Electric furnaces</t>
  </si>
  <si>
    <t>The authors are grateful for the support received from the VIE–SGI project to carry out this research, as well as the Grupo Metalurgia No Ferrosa of the Universidad Pedagógica y Tecnológica de Colombia UPTC</t>
  </si>
  <si>
    <t>The authors are grateful for the support received from the VIE – SGI project to carry out this research, as well as the Grupo Metalurgia No Ferrosa of the Universidad Pedagógica y Tecnológica de Colombia UPTC</t>
  </si>
  <si>
    <t>Torres, R., Segura, B., Lapidus, G.T., Effect of temperature on copper, iron and lead leaching from e-waste using citrate solutions (2018) Waste Manage, 71, pp. 420-425; Silva, V.S., Silva, J.S., Costa, B.D.S., Preparation of glaze using electric-arc furnace dust as raw material (2019) J Mater Res Technol, 8 (6), pp. 5504-5514; Simonyan, L.M., Alpatovaand, A.A., Demidova, N.V., The EAF dust chemical and phase composition research techniques (2019) J Mater Res Technol, 8 (2), pp. 1601-1607; Delvasto, P., Ibañez, B., Sandoval, D., Caracterización inicial de polvos de acería y evaluación de su lixiviabilidad en ácidos orgánicos diluídos (2011) Dyna, 78 (169), pp. 221-229; Guézennec, A.G., Huber, J.C., Patisson, F., Dust formation in electric arc furnace: birth of the particles (2005) Powder Technol, 157 (1-3), pp. 2-11; Buzin, P., Heck, N.C., Vilela, A.C.F., EAF dust: an overview on the influences of physical, chemical and mineral features in its recycling and waste incorporation routes (2017) J Mater Res Technol, 6 (2), pp. 194-202; Castells, X., (2009) Reciclaje de residuos industriales: residuos sólidos urbanos y fangos de depuradora, pp. 117-118. , Madrid: Ediciones Díaz de Santos S.A.,. p; Bruckard, W., Davey, K., Rodopoulos, T., Water leaching and magnetic separation for decreasing the chloride level and upgrading the zinc content of EAF steelmaking baghouse dusts (2005) Int J Miner Process, 75 (1-2), pp. 1-20; Smaniotto, A., Antunes, A., Filho, I., Qualitative lead extraction from recycled lead-acid batteries slag (2009) J Hazard Mater, 172, pp. 1677-1680; Arellano, J., Rodríguez, R., Salud en el trabajo y seguridad industrial; Alfaomega, México D.F, 2013; Vergara, A.P., (2014) Evaluación Del Efecto genotóxico Y La Susceptibilidad Individual Por exposición a Plomo Ambiental En La Vereda La Bonga, , Atlántico, Colombia [Tesis Maestría Toxicología]. Bogotá (DC, Universidad Nacional de Colombia; Poma, P.A., Intoxicación por plomo en humanos (2013) Anales de la Facultad de Medicina, 69 (2), pp. 120-126; Zhang, Y.-C., Deng, J.-X., Chen, J., The electrowinning of zinc from sodium hydroxide solutions (2014) Hydrometallurgy, 146, pp. 59-63; Guo, X., Yi, Y., Shi, J., Leaching behavior of metals from high-arsenic dust by NaOH–Na2S alkaline leaching (2016) Trans Nonferrous Met Soc China, 26 (2), pp. 575-580; Kul, M., Oskay, K.O., Şimşir, M., Optimization of selective leaching of Zn from electric arc furnace steelmaking dust using response surface methodology (2015) Trans Nonferrous Met Soc China, 25 (8), pp. 2753-2762; De La Torre, E., Guevara, A., Espinoza, C., Valorización de polvos de acería,: mediante recuperación de zinc por lixiviación y electrólisis (2013) Revista Politécnica, 32 (1), pp. 51-56; Torres, R., Lapidus, G.T., Closed circuit recovery of copper, lead and iron from electronic waste with citrate solutions (2017) Waste Manage, 60, pp. 561-568; Brehm, F.A., Moraes, C.A.M., Modolo, R.C.E., Oxide zinc addition in cement paste aiming electric arc furnace dust (EAFD) recycling (2017) Constr Build Mater, 139 (15), pp. 172-182; Lozano, A., Raposeiro, P., Álvarez, B., Performance and durability properties of self-compacting mortars with electric arc furnace dust as filler (2019) J Cleaner Prod, 219, pp. 818-832; De Vargas, A.S., Masuero, Â.B., Vilela, A.C.F., Investigations on the use of electric-arc furnace dust (EAFD) in pozzolan-modified Portland cement I (MP) pastes (2006) Cem Concr Res, 36 (10), pp. 1833-1841; Camci, L., Aydin, S., Arslan, C., Reduction of iron oxides in solid wastes generated by steelworks (2002) Turk J Eng Environ Sci, 26, pp. 37-44; Zhang, D., Ling, H., Yang, T., Selective leaching of zinc from electric arc furnace dust by a hydrothermal reduction method in a sodium hydroxide system (2019) J Cleaner Prod, 224, pp. 536-544; Al-Makhadmeh, L.A., Batiha, M.A., Al-Harahsheh, M.S., The effectiveness of Zn leaching from EAFD using caustic soda (2018) Water Air Soil Pollut, 229 (2); Al-harahsheh, M., Kingman, S., Hamilton, I., Microwave treatment of electric arc furnace dust with tetrabromobisphenol A: dielectric characterization and pyrolysis-leaching (2017) J Anal Appl Pyrolysis, 128, pp. 168-175; Dutra, A.J.B., Paiva, P.R.P., Tavares, L.M., Alkaline leaching of zinc from electric arc furnace steel dust (2006) Miner Eng, 19 (5), pp. 478-485; Fernández, J., https://scykness.wordpress.com/2014/05/08/agentes-quelantes-y-su-funcion-terapeutica/, Agentes quelantes y su función terapéutica. Scyknes. (PDF file). 2014; Pociecha, M., Lestan, D., Recycling of EDTA solution after soil washing of Pb, Zn, Cd and as contaminated soil (2012) Chemosphere, 86, pp. 843-846; Rojas, N.R., Echeverry, L., Pérez, S., Thermo-kinetics of lead leaching from recycled batteries (2018) Ingeniería y Desarrollo, 36 (1), pp. 155-171; Lin, S.W., Vargas, Z., Navarro, F., Optimizing the conditions for leaching lead from solid waste produced by pyrometallurgical process of recycling automobile used batteries (2006) J Mex Chem Soc, 50 (2), pp. 64-70; Bassetto, M., Aparecida, C., Reneé, A., EDTA assisted phytorremediation of a pb contamined soil: metal leaching and uptake by jack beans (2009) Sci Agr, 66 (4), pp. 506-514; Eriksson, G., An algorithm for the computation of aqueous multi-component, multiphase equilibria (1979) Anal Chim Acta, 112, pp. 375-383; Puigdomenech, I., https://sites.google.com/site/chemdiagr/, Make equilibrium diagrams using sophisticated algorithms (MEDUSA). Inorganic Chemistry, Royal Institute of technology; 2004; Critically Selected Stability Constants of Metal Complexes. NIST Standard Reference Database 46, Version 8.0; 2004; Hagni, A.M., Hagni, R.D., Demars, C., Mineralogical characteristics of electric arc furnace dusts (1991) JOM, 43 (4), pp. 28-30; Elliot, H.A., Brown, G.A., Comparative evaluation of NTA and EDTA for extractive decontamination of Pb-polluted soils (1989) Water Air Soil Pollut, 45, pp. 361-369; Yu, J., Klarup, D., Extraction kinetics of copper, zinc, iron, and manganese from contaminated sediment using disodium ethylenediaminetetraacetate (1994) Water Air Soil Pollut, 75, pp. 205-225; Nagib, S., Inoue, K., Recovery of lead and zinc from fly ash generated from municipal incineration plants by means of acid and/or alkaline leaching (2000) Hydrometallurgy, 56, pp. 269-292; Noval, V.E., Ochoa, C., Carriazo, J.G., Magnetita (Fe3O4): Una estructura inorgánica con múltiples aplicaciones en catálisis heterogénea (2017) Rev Colomb Quim, 46 (1), pp. 42-59; Borda, J., Torres, R., Comparative study of selective zinc leaching from EAFD using carboxylic agents (2020) Rev Mex Ing Quím, 20 (1), pp. 389-398; Borda, J., Torres, R., Lapidus, G., Selective leaching of zinc and lead from electric arc furnace dust using citrate and H2SO4 solutions. A kinetic perspective (2022) Rev Mex Ing Quím, 21 (1), p. Cat2606; Montenegro, V., Oustadakis, P., Tsakiridis, P.E., Hydrometallurgical treatment of steelmaking electric Arc furnace dusts (EAFD) (2013) Metal Mater Trans B, 44 (5), pp. 1058-1069; Langová, Š., Matýsek, D., Zinc recovery from steel-making wastes by acid pressure leaching and hematite precipitation (2010) Hydrometallurgy, 101 (3-4), pp. 171-173; Leuchtenmueller, M., Legerer, C., Brandner, U., Carbothermic reduction of zinc containing industrial wastes: a kinetic model (2021) Metal Mater Trans B, 52 (1), pp. 548-557; Fan, Y., Liu, Y., Niu, L., Effect of mechanical activation on leaching of zinc and indium from indium-bearing zinc ferrite with sulphur dioxide as leachant and reductant (2021) Can Metall Q, 60 (3), pp. 150-159; Altarawneh, M., Ahmed, O.H., Al-Harahsheh, M., A kinetic model for halogenation of the zinc content in franklinite (2021) Appl Surf Sci, 562, p. 150105; Levenspiel, O., (1999) Chemical reaction engineering, , 3rd ed., New York: John Wiley &amp; Sons, Inc; Smith, J.M., (1970) Chemical engineering kinetics, , 2nd ed., New York: McGraw Hill, Inc; Burkin, A.R., (2001) Chemical hydrometallurgy, pp. 174-176. , London: Imperial College Press,. p; Avery, H.E., (1974) Basic reaction kinetics and mechanisms, , London: Macmillan Publishers Ltd</t>
  </si>
  <si>
    <t>Borda, J.; Facultad de Ingeniería. Escuela de Metalurgia, Avenida central del norte Km 4, Edif. de Ingeniería 201, Colombia; email: angelajohana.borda@uptc.edu.co</t>
  </si>
  <si>
    <t>CAMQA</t>
  </si>
  <si>
    <t>Can Metall Q</t>
  </si>
  <si>
    <t>2-s2.0-85126230507</t>
  </si>
  <si>
    <t>Palacino-Rodríguez F., Lozano M.A., Altamiranda-Saavedra M., Beltrán N.J., Penagos A.C., Hueso-Olaya D., Morales I.T., Ríos K.J., Camacho-Contreras P., Palacino-Penagos D.A., Penagos-Arevalo A., Arbeláez-Cortés E.</t>
  </si>
  <si>
    <t>49864184100;57479891200;55263568700;57480724400;57201396570;57480305400;57480585600;57480305500;57480029300;57220011307;57480029400;16174216300;</t>
  </si>
  <si>
    <t>Studies on Neotropical Fauna and Environment</t>
  </si>
  <si>
    <t>https://www.scopus.com/inward/record.uri?eid=2-s2.0-85125954149&amp;doi=10.1080%2f01650521.2022.2035119&amp;partnerID=40&amp;md5=fa383684c70ff9364d2cfca917f2ddd0</t>
  </si>
  <si>
    <t>Grupo de Investigación En Biología, Departamento de Biología, Universidad El Bosque, Bogotá, Colombia; Grupo de Investigación En Odonatos Y Otros Artrópodos de Colombia, Centro de Investigación En Acarología, Bogotá, Colombia; Grupo de Investigación Bioforense, Facultad de Derecho y Ciencias Forenses, Tecnológico de Antioquia, Colombia; Grupo de Investigación Biodiversidad Y Conservación, Programa de Biología, Universidad Pedagógica Y Tecnológica de Colombia. Avenida Central Del Norte, Tunja, Colombia; Grupo de Estudios En Biodiversidad, Escuela de Biología, Universidad Industrial de Santander, Bucaramanga, Colombia</t>
  </si>
  <si>
    <t>Palacino-Rodríguez, F., Grupo de Investigación En Biología, Departamento de Biología, Universidad El Bosque, Bogotá, Colombia, Grupo de Investigación En Odonatos Y Otros Artrópodos de Colombia, Centro de Investigación En Acarología, Bogotá, Colombia; Lozano, M.A., Grupo de Investigación En Odonatos Y Otros Artrópodos de Colombia, Centro de Investigación En Acarología, Bogotá, Colombia; Altamiranda-Saavedra, M., Grupo de Investigación Bioforense, Facultad de Derecho y Ciencias Forenses, Tecnológico de Antioquia, Colombia; Beltrán, N.J., Grupo de Investigación En Odonatos Y Otros Artrópodos de Colombia, Centro de Investigación En Acarología, Bogotá, Colombia; Penagos, A.C., Grupo de Investigación En Odonatos Y Otros Artrópodos de Colombia, Centro de Investigación En Acarología, Bogotá, Colombia; Hueso-Olaya, D., Grupo de Investigación En Odonatos Y Otros Artrópodos de Colombia, Centro de Investigación En Acarología, Bogotá, Colombia; Morales, I.T., Grupo de Investigación Biodiversidad Y Conservación, Programa de Biología, Universidad Pedagógica Y Tecnológica de Colombia. Avenida Central Del Norte, Tunja, Colombia; Ríos, K.J., Grupo de Investigación En Odonatos Y Otros Artrópodos de Colombia, Centro de Investigación En Acarología, Bogotá, Colombia; Camacho-Contreras, P., Grupo de Investigación En Odonatos Y Otros Artrópodos de Colombia, Centro de Investigación En Acarología, Bogotá, Colombia; Palacino-Penagos, D.A., Grupo de Investigación En Odonatos Y Otros Artrópodos de Colombia, Centro de Investigación En Acarología, Bogotá, Colombia; Penagos-Arevalo, A., Grupo de Investigación En Biología, Departamento de Biología, Universidad El Bosque, Bogotá, Colombia; Arbeláez-Cortés, E., Grupo de Estudios En Biodiversidad, Escuela de Biología, Universidad Industrial de Santander, Bucaramanga, Colombia</t>
  </si>
  <si>
    <t>Despite Arthropoda being a major animal taxon, it is underrepresented in South American scientific publications. Here, we present the results of a bibliometric analysis of published studies on insects and arachnids in Colombia to understand the general patterns of knowledge of both taxa across this megadiverse country. We compiled 3119 studies on insects and 353 on arachnids published between 1918 and 2019 in more than 600 journals. Research on both insects and arachnids reflects the effort done by researchers working in Colombian institutions, but because publications are mainly domestic, their international impact is limited. The studies included 19 taxonomic orders of insects and 72 families of arachnids with a bias toward a few well-studied taxa like Diptera, Lepidoptera, Hymenoptera, Araneidae, and Salticidae, while the majority of taxa are understudied. The geographic coverage of the studies was broad and includes Colombia’s 32 departments, but their distribution was heterogeneous being the Andean region the most studied, while the Caribbean and Orinoquia regions could be considered knowledge gaps. Considering our analysis, we give recommendations to expand and advance the knowledge of Colombian insects and arachnids, a major scientific enterprise in which collaboration among researchers from different institutions is needed. © 2022 Informa UK Limited, trading as Taylor &amp; Francis Group.</t>
  </si>
  <si>
    <t>Arachnida; Biodiversity; Insecta; Neotropics</t>
  </si>
  <si>
    <t>Aldana-Domínguez, J., Montes, C., Martínez, M., Medina, N., Hahn, J., Duque, M., Biodiversity and ecosystem services knowledge in the Colombian Caribbean: progress and challenges (2017) Trop. Conserv. Sci, 10, pp. 1-41; Amat-García, G., Andrade-CM, R.-M.J.V., (2007) Libro rojo de los invertebrados terrestres de Colombia, , Bogotá (Colombia): Conservación Internacional Colombia, and, Eds; Arbeláez-Cortés, E., Describiendo especies: un panorama de la biodiversidad colombiana en el ámbito mundial. Acta biol (2013) Colomb, 18, pp. 165-177; Arbeláez-Cortés, E., Knowledge of Colombian biodiversity: published and indexed (2013) Biodivers. Conserv, 22 (12), pp. 2875-2906; Arbeláez-Cortés, E., Acosta-Galvis, A.R., DoNascimiento, C., Espitia-Reina, D., González-Alvarado, A., Medina, C.A., Knowledge linked to museum specimen vouchers: measuring scientific production from a major biological collection in Colombia (2017) Scientometrics, 112 (3), pp. 1323-1341; Avilés, L., Purcell, J., The evolution of inbred social systems in spiders and other organisms: from short-term Gains to long-term evolutionary dead ends? (2012) Adv Study Behav, 44, pp. 99-133; Barriga, J.C., Moreno, A.G., Listado de las arañas de Colombia (Arachnida: Araneae) (2013) Biota Colomb, 14, pp. 21-33; Bebber, D.P., Wood, J.R., Barker, C., Scotland, R.W., Author inflation masks global capacity for species discovery in flowering plants (2014) New Phytol, 2 (2), pp. 700-706; Bisby, F.A., Roskov, Y.R., Orrell, T.M., Nicolson, D., Paglinawan, L.E., Bailly, N., Kirk, P.M., Ouvrard, D., (2011) Species 2000 &amp; ITIS Catalogue of Life: 2011 Annual Checklist; Bota-Sierra, C.A., Maufray, B., Palacino-Rodríguez, F., Hofmann, J., Tennessen, K., Rache, L., Tognelli, M.F., Estado de conservación de las libélulas de los Andes Tropicales (2016) Estado de Conservación y Distribución de la Biodiversidad de Agua Dulce en los Andes Tropicales, pp. 67-86. , Tognelli M.F., Lasso C.A., Bota-Sierra C.A., Jiménez-Segura L.F., Cox N.A., (eds), Gland (Suiza, Cambridge y Arlington, USA): UICN. XII,. In:, editors; Chouvenc, T., Su, N.Y., How do entomologists consume and produce their science? (2015) Am. Entomol, 64 (4), pp. 252-257; Eberhard, W., Hazzi, N., Web building and prey wrapping behavior of Aglaoctenus castaneus (Araneae: Lycosidae: Sosippinae) (2017) J. Arachnol, 45 (2), pp. 177-197; Estela, F., López-Victoria, M., Castillo, L., Naranjo, L., Estado del conocimiento sobre aves marinas en Colombia, después de 110 años de investigación (2010) Boletín SAO, 20, pp. 2-21; Gómez, I., Sancho, R., Moreno, L., Fernández, M., Influence of Latin American journals coverage by international databases (1999) Scientometrics, 46 (3), pp. 443-456; Gutiérrez-Chacón, C., Fornoff, F., Ospina-Torres, R., Klein, A.M., Pollination of granadilla (Passiflora ligularis) benefits from large wild insects (2018) J. Econ. Entomol, 4 (4), pp. 1526-1534; Hamilton, A., Basset, Y., Benke, K., Grimbacher, P., Miller, E., Novotny, V., Quantifying uncertainty in estimation of tropical arthropod species richness (2010) Am Nat, 177, pp. 544-545; Hazzi, N., Polotow, D., Brescovit, A., González-Obando, R., Simó, M., Systematics and biogeography of Spinoctenus, a new genus of wandering spider from Colombia (Ctenidae) (2018) Invertebr. Syst, 32 (1), pp. 111-158; Hazzi, N., Valderrama-Ardila, A., Brescovit, A.D., Polotow, D., Simó, M., New records and geographical distribution of ctenid spiders (Araneae: Ctenidae) in Colombia (2013) Zootaxa, 3709 (3), pp. 243-254; Holdsworth, D.W., Thornton, M.M., Micro-CT in small animal and specimen imaging (2002) Trends Biotechnol, 20 (8), pp. 34-39; Jaffe, A.B., Adams, J.D., Bounding the effects of R&amp;D: an investigation using matched establishment firm data (1996) Nber, 27, pp. 700-721; Koskinen, J., Isohanni, M., Paajala, H., Jääskeläinen, E., Nieminen, P., Koponen, H., Miettunen, J., How to use bibliometric methods in evaluation of scientific research? An example from Finnish schizophrenia research (2008) Nord J Psychiatry, 62 (2), pp. 136-143; Larsen, B., Miller, E., Rhodes, M., Wiens, J., Inordinate fondness multiplied and redistributed: the number of species on Earth and the new pie of life (2017) Q Rev Biol, 92 (3), pp. 229-265; Lei, G., Liu, F., Liu, P., Zhou, Y., Jiao, T., Dang, Y.H., A bibliometric analysis of forensic entomology trends and perspectives worldwide over the last two decades (1998-2017) (2018) Forensic Sci. Int, 295, pp. 72-82; Liu, X., Zhang, L., Hong, S., Global biodiversity research during 1900–2009: a bibliometric analysis (2011) Biodivers. Conserv, 20 (4), pp. 807-826; Lorini, M.L., Paese, A., Uezu, A., GIS and spatial analysis meet conservation: a promising synergy to address biodiversity issues (2011) Nat. Conserv, 9, pp. 129-144; Mashimo, Y., Matsumura, Y., Machida, R., Dallai, R., Gottardo, M., Yoshizawa, K., Friedrich, F., Beutel, R.G., 100 years Zoraptera—a phantom in insect evolution and the history of its investigation (2014) Insect Syst Evol, 45 (4), pp. 371-393; Metscher, B.D., MicroCT for comparative morphology: simple staining methods allow high-contrast 3D imaging of diverse non-mineralized animal tissues (2009) BMC Physiology, 9 (1), pp. 11-18; Michán, L., Análisis bibliométrico de la producción sistemática en América Latina (2011) Acta biol. Colomb, 16, pp. 33-46; Ossa, P.A., Giraldo, J.M., López, G.A., Dias, L.G., Rivera, F.A., Colecciones biológicas: una alternativa para los estudios de diversidad genética (2012) Bol. Cient. Mus. His. Nat, 16, pp. 143-155; Palacino-Rodríguez, F., Two decades of progress in over one hundred years of study: present status of Odonata research in Colombia (2016) Odonatologica, 45, pp. 327-334; Peck, A., (1965) Aristotle, History of Animals, , Cambridge (MA): Harvard University Press; Peretto, P., Smulders, J.A., Specialization, knowledge dilution, and scale effects in an IO-based growth model (1998) Duke Economics Working Paper No. 9807 and CentER Working Paper; Proctor, H.C., Smith, I.M., Cook, D.R., Smith, B.P., Subphylum Chelicerata, class Arachnida (2015) Ecology and general biology: Thorp and Covich’s freshwater invertebrates, pp. 599-660. , Thorp J., Rodgers D., (eds), London: Academic Press, and,. In:, editors.,. p; (2014) R: a language and environment for statistical computing. R foundation for statistical computing, , https://www.R-project.org/, Vienna: URL, accessed 2018 Feb 23]; Rodríguez, N., Armenteras-Pascual, D., Alumbreros, J., Land use and land cover change in the Colombian Andes: dynamics and future scenarios (2013) Journal of Land Use Science, 8 (2), pp. 154-174; Roskov, Y., Ower, G., Orrell, T., Nicolson, D., Bailly, N., Kirk, P.M., Species 2000 &amp; ITIS Catalogue of Life, Annual Checklist (2019) Digital resource at, , http://www.catalogueoflife.org/annual-checklist/2019, accessed 2021 Mar 15]; Rozo-Lopez, P., Mengual, X., Updated list of the mosquitoes of Colombia (Diptera: Culicidae) (2015) Biodivers Data J, 3, p. e4567; Sangster, G., Luksenburg, J.A., Declining rates of species described per taxonomist: slowdown of progress or a side-effect of improved quality in taxonomy? (2015) Syst. Biol, 64 (1), pp. 144-151; Schambach, S.J., Bag, S., Schilling, L., Groden, C., Brockmann, M.A., Application of micro-CT in small animal imaging (2010) Methods, 50 (1), pp. 2-13; Serna, F., Mera-Rodríguez, D., Ramírez-Ossa, K., Gaigl, A., Hormigas de mayor impacto en la agricultura colombiana (2019) Hormigas de Colombia, p. 1200. , Fernández F., Guerrero R.J., Delsinne T., (eds), Bogotá (Colombia): Universidad Nacional de Colombia,. In:, editors.,. p; Seymore, S.B., How does my work become our work? Dilution of authorship in scientific papers, and the need for the academy to obey copyright law, 12 Rich (2006) J.L. &amp; Tech, 11, p. 28 p; (2021), https://cifras.biodiversidad.co/, [accessed 2018 Feb 8]; Sloane, H., (1725) A Voyage to the Islands Madera, Barbados, Nieves, St Christophers and Jamaica; with the Natural History of the Herbs and Trees, Four-Footed Beasts, Fishes, Birds, Insects, Reptiles, &amp;c. of the last of those Islands. To which is prefix'd, an Introduction, wherein is an Account of the Inhabitants, Air, Waters, Diseases, Trade, &amp;c. of that Place; with some Relations Concerning the Neighbouring Continent, and islands of America, 2, p. 421. , London: B.M,.,; p; Soacha, K., Orrego, O., (2014) Colecciones biológicas. Estado y tendencias de la biodiversidad continental en Colombia, , Bogotá D.C: Instituto Alexander von Humboldt; Stankus, T., Economic entomology in the 21st century, as seen from a bibliometric analysis of its leading journal, 2000–2015. Part I: topics and Commodities (2017) Science &amp; Technology Libraries-, 36 (4), pp. 402-414; Stankus, T., Economic entomology in the 21st century, as seen from a bibliometric analysis of its leading journal, 2000–2015. Part II: Lepidoptera, Coleoptera, and Hemiptera (2017) Science &amp; Technology Libraries, 37, pp. 1-85; Stankus, T., Economic entomology in the 21st century, as seen from a bibliometric analysis of its leading journal, 2000–2015. Part III: Diptera, Blattodea, Acari, Hymenoptera, Thysanoptera, and Psocoptera, with implications drawn from all three parts for science librarians seeking to serve their students (2018) Science &amp; Technology Libraries, 37, pp. 86-99; Stevenson, P.R., Guzmán, D.C., Defler, T.R., Conservation of Colombian primates: an analysis of published research (2010) Trop. Conserv. Sci, 3 (1), pp. 45-62; Stork, H., Astrin, J., Trends in Biodiversity Research — A Bibliometric Assessment (2014) Open J. Ecol, 4, pp. 354-370; Titley, M.A., Snaddon, J.L., Turner, E.C., Scientific research on animal biodiversity is systematically biased towards vertebrates and temperate regions (2017) PLoS One, 12 (12); Zenner De Polanía, I., Economic and medical entomology during the last decade in Colombia: a review (2017) Rev. U.D.C.A Actual. Divulg. Científica, 20, pp. 163-173</t>
  </si>
  <si>
    <t>Palacino-Rodríguez, F.; Grupo de Investigación En Biología, Colombia; email: odonata107@gmail.com</t>
  </si>
  <si>
    <t>SNFED</t>
  </si>
  <si>
    <t>2-s2.0-85125954149</t>
  </si>
  <si>
    <t>García-Parra M., Cuellar-Rodríguez L.Á., Balaguera-López H.E.</t>
  </si>
  <si>
    <t>57205122211;57477696400;57208339001;</t>
  </si>
  <si>
    <t>Arbuscular mycorrhiza symbiosis in quinoa (Chenopodium quinoa Willd.): A systematic review [Simbiosis de micorriza arbuscular en quinua (Chenopodium quinoa Willd.): Una revisión sistemática]</t>
  </si>
  <si>
    <t>10.15446/RFNAM.V75N1.95754</t>
  </si>
  <si>
    <t>https://www.scopus.com/inward/record.uri?eid=2-s2.0-85125810706&amp;doi=10.15446%2fRFNAM.V75N1.95754&amp;partnerID=40&amp;md5=2af8601c6ad45837395fa6944d01dfa0</t>
  </si>
  <si>
    <t>Facultad de Ciencias Agrarias Departamento de Ciencias Agropecuarias, Universidad del Cauca, Sede las Guacas, Popayán, Colombia; Facultad de Ingeniería Ambiental, Universidad Santo Tomás seccional Tunja, Universidad Pedagógica y Tecnológica de Colombia UPTC, Tunja, Colombia; Facultad de Ciencias Agrarias, Universidad Nacional de Colombia, Bogotá, Colombia</t>
  </si>
  <si>
    <t>García-Parra, M., Facultad de Ciencias Agrarias Departamento de Ciencias Agropecuarias, Universidad del Cauca, Sede las Guacas, Popayán, Colombia; Cuellar-Rodríguez, L.Á., Facultad de Ingeniería Ambiental, Universidad Santo Tomás seccional Tunja, Universidad Pedagógica y Tecnológica de Colombia UPTC, Tunja, Colombia; Balaguera-López, H.E., Facultad de Ciencias Agrarias, Universidad Nacional de Colombia, Bogotá, Colombia</t>
  </si>
  <si>
    <t>The crop of quinoa has gained relevance during the last decade in different parts of the world, due to its adaptability to difficult edaphic and climatic conditions and the great nutritional potential of its seeds. However, climate change scenarios are increasingly adverse, so the search for strategies that favor greater adaptability of quinoa to areas where other crops fail to adapt is a scientific priority. For this reason, a systematic review was carried out, based on the Preferred Reporting Items for Systematic Reviews and Meta-Analysis methodology, with documents published on Scopus and Clarivate Web of Science databases. This methodology describes the diversity of fungi that favors symbiosis and the services offered by arbuscular mycorrhizal fungi in the physiological activity of the quinoa plant, in addition to their interaction with the edaphic conditions, mainly related to nitrogen and phosphorus. The results identified a projection of interest in research related to the symbiosis between these two organisms, but a very limited advance in relation to the study that has been developed around the microbiological activity of quinoa in the soil. © 2022, Universidad Nacional de Colombia. All rights reserved.</t>
  </si>
  <si>
    <t>Cultivar; Diversity; Microorganisms; Nitrogen; Phosphorus; Plant physiology</t>
  </si>
  <si>
    <t>Ministerio de Ciencia, Tecnología e Innovación Productiva, MINCyT: 779/2017</t>
  </si>
  <si>
    <t>The authors express gratitude to Minciencias (Ministerio de Ciencia, Tecnología e Innovación) invitation for bid Nr. 779/2017. We are also grateful with the Boyacá Department Government, Universidad del Cauca and Universidad Santo Tomas-Tunja.</t>
  </si>
  <si>
    <t>Alarcón, A, Ferrera-Cerrato, R., Manejo de la micorriza arbuscular en sistemas de propagación de plantas frutales (1999) Terra Latinoamericana, 17 (3), pp. 179-191; Alvarez-Flores, R, Winkel, T, Nguyen-Thi-Truc, A, Joffre, R., Root foraging capacity depends on root system architecture and ontogeny in seedlings of three Andean Chenopodium species (2014) Plant and Soil, 380 (1), pp. 415-428. , https://doi.org/10.1007/s11104-014-2105-x; Bascuñán-Godoy, L, Sanhueza, C, Hernández, CE, Cifuentes, L, Pinto, K, Álvarez, R, González-Teuber, M., Nitrogen supply affects photosynthesis and photoprotective attributesduring Drought-Induced Senescence in Quinoa (2018) Frontiers in Plant Science, 9 (994). , https://doi.org/10.3389/fpls.2018.00994; Bascuñán-Godoy, L, Sanhueza, C, Pinto, K, Cifuentes, L, Reguera, M, Briones, V, Zurita-Silva, A, Silva, H., Nitrogen physiology of contrasting genotypes of Chenopodium quinoa Willd. (Amaranthaceae) (2018) Scientific Reports, 8, pp. 1-12. , https://doi.org/10.1038/s41598-018-34656-5; Bazile, D, Bertero, HD, Nieto, C., (2014) Estado del arte de la quinua en el mundo 2013, p. 724. , FAO, Santiago de Chile and CIRAD, Montpellier, Francia; Bazile, D, Jacobsen, SE, Verniau, A., The global expansion of quinoa: Trends and Limits (2016) Frontiers in Plant Science, 7, pp. 1-6. , https://doi.org/10.3389/fpls.2016.00622; Begum, N, Qin, C, Hanger, M, Raza, S, Khan, MI, Ashraf, M, Ahmed, N, Zhang, L., Role of arbuscular mycorrhizal fungi in plant growth regulation: Implications in abiotic stress tolerance (2019) Frontiers in Plant Science, 10 (1068), pp. 1-15. , https://doi.org/10.3389/fpls.2019.01068; Bender, SF, Plantenga, F, Neftel, A, Jocher, M, Oberholzer, HR, Köhl, L, Giles, M, Van Der Heijden, MGA., Symbiotic relationships between soil fungi and plants reduce N2O emissions from soil (2014) ISME Journal, 8 (6), pp. 1336-1345. , https://doi.org/10.1038/ismej.2013.224; Bosque-Sanchez, H, Lemeur, R, Van Damme, P, Jacobsen, SE., Ecophysiological analysis of drought and salinity stress of quinoa (Chenopodium quinoa Willd.) (2003) Food Reviews International, 19 (1–2), pp. 111-119. , https://doi.org/10.1081/FRI-120018874; Buckland, KR, Reeve, JR, Creech, JE, Durham, SL., Managing soil fertility and health for quinoa production and weed control in organic systems (2018) Soil &amp; Tillage Research, 184, pp. 52-61. , https://doi.org/10.1016/j.still.2018.07.001; Cai, Z, Wang, X, Bhadra, S, Gao, Q., Distinct factors drive the assembly of quinoa-associated microbiomes along elevation (2020) Plant and Soil, 448, pp. 55-69. , https://doi.org/10.1007/s11104-019-04387-1; Camarena-Gutierrez, G., Interaccion planta-hongos micorrizicos arbusculares (2012) Revista Chapingo, Serie Ciencias Forestales y del Ambiente, 18 (3), pp. 409-421. , https://doi.org/10.5154/r.rchscfa.2011.11.093; Chaudhry, M, Batool, Z, Khan, G., Preliminary assessment of plant community structure and arbuscular mycorrhizas in rangeland habitats of Cholistan desert, Pakistan (2005) Mycorrhiza, 15, pp. 606-611. , https://doi.org/10.1007/s00572-005-0002-0; Choukr-Allah, R, Rao, NK, Hirich, A, Shahid, M, Alshankiti, A, Toderich, K, Gill, S, Butt, K., Quinoa for marginal environments: Toward future food and nutritional security in MENA and central Asia regions (2016) Frontiers in Plant Science, 7 (346). , https://doi.org/10.3389/fpls.2016.00346; Chunhua, P, Shifang, Y, Yongqing, Z, Yanhong, H, Xiao, H, Yang, Y., Effects of inoculating arbuscular mycorrhizal fungi on growth of quinoa under different phosphorus levels (2017) Crop, 33 (6), pp. 131-139. , https://doi.org/10.16035/j.issn.1001-7283.2017.06.022; Escobar, A, Zartha, JW., Application of the technology life cycle and S-curves to the “Brain Drain” area of knowledge (2017) Indian Journal of Science and Technology, 10 (43), pp. 1-8. , https://doi.org/10.17485/ijst/2017/v10i43/116247; Fonseca-López, D, Quila-Vivas, N, Balaguera-López, HE., Técnicas aplicadas en la investigación agrícola para cuantificar la fijación de nitrógeno: Una revisión sistemática (2020) Corpoica Ciencia y Tecnología Agropecuaria, 21 (e1342), pp. 1-19. , https://doi.org/10.21930/rcta.vol21_num1_art:1342; García-Parra, MÁ, Plazas-Leguizamón, NZ., Análisis del ciclo de vida de las publicaciones sobre la producción de quinua (Chenopodium quinoa Willd), a través de curvas en S (2019) Revista de Investigación, Desarrollo e Innovación, 9 (2), pp. 379-391. , https://doi.org/10.19053/20278306.v9.n2.2019.9189; García-Parra, M, Roa-Acosta, D, Stechauner-Rohringer, R, García-Molano, JF, Bazile, D, Plazas-Leguizamón, N., Effect of temperature on the growth and development of quinoa plants (Chenopodium quinoa Willd.): A review on a global scale (2020) Sylwan, 164 (5), pp. 411-433; García-Parra, M, Zurita-Silva, A, Stechauner-Rohringer, R, Roa-Acosta, D, Jacobsen, SE., Quinoa (Chenopodium quinoa Willd.) and its relationship with agroclimatic characteristics: A Colombian perspective (2020) Chilean Journal of Agricultural Research, 80 (2), pp. 290-302. , https://doi.org/10.4067/S0718-58392020000200290; García-Parra, M, García-Molano, J, Deaquiz-Oyola, Y., Physiological performance of quinoa (Chenopodium quinoa Willd.) under agricultural climatic conditions in Boyaca, Colombia (2019) Agronomía Colombiana, 37 (2), pp. 160-168. , https://doi.org/10.15446/agron.colomb.v37n2.76219; González, JA, Gallardo, M, Hilal, M, Rosa, M, Prado, FE., Physiological responses of quinoa (Chenopodium quinoa Willd.) to drought and waterlogging stresses: Dry matter partitioning (2009) Botanical Studies, 50, pp. 35-42; Harrison, MJ, Dewbre, GR, Liu, J., A phosphate transporter from Medicago truncatula involved in the acquisition of phosphate released by arbuscular mycorrhizal fungi (2002) The Plant Cell, 14 (10), pp. 2413-2429. , https://doi.org/10.1105/tpc.004861; Isobe, K, Aizawa, E, Iguchi, Y, Ishii, R., Distribution of arbuscular mycorrhizal fungi in upland field soil of Japan 1. Relationship between spore density and the soil environmental factor (2007) Plant Production Science, 10 (1), pp. 122-128. , https://doi.org/10.1626/pps.10.122; Jaikishun, S, Li, W, Yang, Z, Song, S., Quinoa: In perspective of global challenges (2019) Agronomy, 9 (4), p. 176. , https://doi.org/10.3390/agronomy9040176; Janouskova, M, Krak, K, Vosatka, M, Puschel, D, Storchova, H., Inoculation effects on root-colonizing arbuscular mycorrhizal fungal communities spread beyond directly inoculated plants (2017) PLoS ONE, 12 (7), p. E0181525. , https://doi.org/10.1371/journal.pone.0181525; Kellogg, JA, Reganold, JP, Murphy, KM, Carpenter-Boggs, LA., A Plant-Fungus Bioassay Supports the Classification of Quinoa (Chenopodium quinoa Willd.) as Inconsistently Mycorrhizal (2021) Microbial Ecology, 82, pp. 1-11. , https://doi.org/10.1007/s00248-021-01710-1; Keymer, A, Pimprikar, P, Wewer, V, Huber, C, Brands, M, Bucerius, SL, Delaux, P, Gutjahr, C., Lipid transfer from plants to arbuscular mycorrhiza fungi (2017) eLIFE, 6 (e29107), pp. 1-33. , https://doi.org/10.7554/eLife.29107; Kobae, Y., Dynamic phosphate uptake in arbuscular mycorrhizal roots under field conditions (2019) Frontiers in Environmental Science, 6 (159), pp. 1-12. , https://doi.org/10.3389/fenvs.2018.00159; Kobae, Y, Hata, S., Dynamics of periarbuscular membranes visualized with a fluorescent phosphate transporter in arbuscular mycorrhizal roots of rice (2010) Plant and Cell Physiology, 51 (3), pp. 341-353. , https://doi.org/10.1093/pcp/pcq013; Kobae, Y, Ohmori, Y, Saito, C, Yano, K, Ohtomo, R, Fujiwara, T., Phosphate treatment strongly inhibits new arbuscule development but not the maintenance of arbuscule in mycorrhizal rice roots (2016) Plant Physiology, 171 (1), pp. 566-579. , https://doi.org/10.1104/pp.16.00127; Landinez-Torres, A, Panelli, S, Picco, AM, Comandatore, F, Tosi, S, Capelli, E., A meta-barcoding analysis of soil mycobiota of the upper Andean Colombian agro-environment (2019) Scientific Reports, 9, p. 10085. , https://doi.org/10.1038/s41598-019-46485-1; Larcher, W., (2003) Physiological plant ecology: Ecophysiology and stress physiology of functional groups, , Springer Science &amp; Business Media; Liu, W, Zhang, Y, Jiang, S, Deng, Y, Christie, P, Murray, PJ, Li, X, Zhang, J., Arbuscular mycorrhizal fungi in soil and roots respond differently to phosphorus inputs in an intensively managed calcareous agricultural soil (2016) Scientific Reports, 6 (24902), pp. 1-11. , https://doi.org/10.1038/srep24902; Marschner, P., (2012) Mineral nutrition of higher plants, p. 672. , https://doi.org/10.1016/C2009-0-63043-9, Third Edition. Australia; Murphy, K, Matanguihan, J., (2015) Quinoa: Improvement and sustainable production, p. 258. , https://doi.org/10.1002/9781118628041, (I. Jhon Wiley &amp; Sons, ed). New Jersey; Nanjareddy, K, Arthikala, MK, Gómez, BM, Blanco, L, Lara, M., Differentially expressed genes in mycorrhized and nodulated roots of common bean are associated with defense, cell wall architecture, N metabolism, and P metabolism (2017) PLoS ONE, 12 (8), pp. 1-25. , https://doi.org/10.1371/journal.pone.0182328; Panelli, S, Capelli, E, Comandatore, F, Landinez-Torres, A, Granata, MU, Tosi, S, Picco, AM., A metagenomic-based, cross-seasonal picture of fungal consortia associated with Italian soils subjected to different agricultural managements (2017) Fungal Ecology, 30, pp. 1-9. , https://doi.org/10.1016/j.funeco.2017.07.005; Pedone-Bonfim, MVL, Alves da Silva, D, Maia, LC, Yano-Melo, AM., Mycorrhizal benefits on native plants of the Caatinga, a Brazilian dry tropical forest (2018) Symbiosis, 74, pp. 79-88. , https://doi.org/10.1007/s13199-017-0510-7; Rashid, MI, Mujawar, LH, Shahzad, T, Almeelbi, T, Ismail, IMI, Oves, M., Bacteria and fungi can contribute to nutrients bioavailability and aggregate formation in degraded soils (2016) Microbiological Research, 183, pp. 26-41. , https://doi.org/10.1016/j.micres.2015.11.007; Reguera, M, Conesa, CM, Gil-Gómez, A, Haros, CM, Pérez-Casas, MÁ, Briones-Labarca, V, Bolaños, L, Bascuñán-Godoy, L., The impact of different agroecological conditions on the nutritional composition of quinoa seeds (2018) PeerJ-Life and Environment, 14 (6), pp. 1-20. , https://doi.org/10.7717/peerj.4442; Renaut, S, Daoud, R, Masse, J, Vialle, A, Hijri, M., Inoculation with Rhizophagus irregularis does not alter arbuscular mycorrhizal fungal community structure within the roots of corn, wheat, and soybean crops (2020) Microorganisms, 8 (1), p. 83. , https://doi.org/10.3390/microorganisms8010083; Rillig, MC, Mummey, DL., Mycorrhizas and soil structure (2006) New Phytologist, 171 (1), pp. 41-53. , https://doi.org/10.1111/j.1469-8137.2006.01750.x; Ruiz, KB, Biondi, S, Oses, R, Acuña-Rodríguez, IS, Antognoni, F, Martinez-Mosqueira, EA, Coulibaly, A, Molina-Montenegro, M. A., Quinoa biodiversity and sustainability for food security under climate change. A review (2014) Agronomy for Sustainable Development, 34 (2), pp. 349-359. , https://doi.org/10.1007/s13593-013-0195-0; Rydlová, J, Vosfitka, M., Association of dominant plant species with arbuscular mycorrhizal fungi during vegetation development on coal mine spoil brank (2001) Folia Geobotanica, 36, pp. 85-97. , https://doi.org/10.1007/BF02803141; Shen, J, Yuan, L, Zhang, J, Li, H, Bai, Z, Chen, X, Zhang, W, Zhang, F., Phosphorus dynamics: From soil to plant (2011) Plant Physiology, 156 (3), pp. 997-1005. , https://doi.org/10.1104/pp.111.175232; Soudzilovskaia, NA, Van Bodegom, PM, Terrer, C, Zelfde, M, McCallum, I, Luke-McCormack, M, Fisher, J, Tedersoo, L., Global mycorrhizal plant distribution linked to terrestrial carbon stocks (2019) Nature Communications, 10 (5077), pp. 1-10. , https://doi.org/10.1038/s41467-019-13019-2; Taiz, L, Zeiger, E., (2006) Fisiología vegetal, , Universitat Jaume. 656p; Teste, F, Jones, MD, Dickie, IA., Dual-mycorrhizal plants: Their ecology and relevance (2020) New Phytologist, 225, pp. 1835-1851. , https://doi.org/10.1111/nph.16190; Trouvelot, S, Bonneau, L, Redecker, D, Tuinen, D, Van Adrian, M, Wipf, D., Arbuscular mycorrhiza symbiosis in viticulture: A review (2015) Agronomy for Sustainable Development, 35, pp. 1449-1467. , https://doi.org/10.1007/s13593-015-0329-7; Urcelay, C, Acho, J, Joffre, R., Fungal root symbionts and their relationship with fine root proportion in native plants from the Bolivian Andean highlands above 3,700 m elevation (2011) Mycorrhiza, 21, pp. 323-330. , https://doi.org/10.1007/s00572-010-0339-x; Urrútia, G, Bonfill, X., Declaración de PRISMA: Una propuesta para mejorar la publicación de revisiones sistemáticas y metaanálisis (2010) Medicina Clinica, 135 (11), pp. 507-511. , https://doi.org/10.1016/j.medcli.2010.01.015; (2016) Breeding and agronomy of quinoa for organic farming system, , Https://portal.nifa.usda.gov/web/crisprojectpages/1010611-breeding-and-agronomy-of-quinoa-fororganic-farming-systems.html; Vestberg, M, Palojärvi, A, Pitkänen, T, Kaipainen, S, Puolakka, E, Keskitalo, M., Neutral lipid fatty acid analysis is a sensitive marker for quantitative estimation of arbuscular mycorrhizal fungi in agricultural soil with crops of different mycotrophy (2012) Agricultural and Food Science, 21 (1), pp. 12-27. , https://doi.org/10.23986/afsci.4996; Vierheilig, H., Further root colonization by arbuscular mycorrhizal fungi in already mycorrhizal plants is suppressed after a critical level of root colonization (2004) Journal of Plant Physiology, 161, pp. 339-341. , https://doi.org/10.1078/0176-1617-01097; Wieme, RA, Reganold, JP, Crowder, DW, Murphy, KM, Carpenter-Boggs, LA., Productivity and soil quality of organic forage, quinoa, and grain cropping systems in the dryland Pacific Northwest, USA (2020) Agriculture, Ecosystems and Environment, 293, p. 106838. , https://doi.org/10.1016/j.agee.2020.106838; Yactayo-Chang, JP, Tang, HV, Mendoza, J, Christensen, SA, Block, AK., Plant defense chemicals against insect pests (2020) Agronomy, 10 (1156), pp. 1-14. , https://doi.org/10.3390/agronomy10081156; Yepes, S, Martínez, M, Restrepo, S, Palacio, JC, Ríos, AF, Zartha, JW., Technological Surveillance and technology life cycle analysis - application in food drying (2018) International Journal of Applied Engineering Research, 13 (10), pp. 7273-7288</t>
  </si>
  <si>
    <t>García-Parra, M.; Facultad de Ciencias Agrarias Departamento de Ciencias Agropecuarias, Colombia; email: miguelgarciap@unicauca.edu.co</t>
  </si>
  <si>
    <t>2-s2.0-85125810706</t>
  </si>
  <si>
    <t>Molano S.M., Cardenas D.P., Gómez H.S., Alvarado D.M., Galindo A.F., Sanabria J.F., Gómez-Neita J.S.</t>
  </si>
  <si>
    <t>57471865500;57471865600;57471803200;57471803300;57471750400;57471574000;57222180569;</t>
  </si>
  <si>
    <t>Assessment of glacier retreat in the Sierra Nevada del Cocuy, Colombia based on multisensor image classification [Evaluación del retroceso glaciar de la Sierra Nevada del Cocuy, Colombia a partir de la clasificación de imágenes multisensor]</t>
  </si>
  <si>
    <t>https://www.scopus.com/inward/record.uri?eid=2-s2.0-85125545091&amp;doi=10.18273%2frevbol.v44n1-2022002&amp;partnerID=40&amp;md5=4747db362ec38683ddd2482ee130e853</t>
  </si>
  <si>
    <t>Programa de Pós-graduação em Geologia e Geoquímica, Instituto de Geociências, Universidade Federal do Pará, Belém, Brazil; Grupo de Investigación en Ingeniería Geológica, Escuela de Ingeniería Geológica, Universidad Pedagógica y Tecnológica de Colombia, Sogamoso, Colombia; Programa de Pós-graduação em Geociências, Instituto de Geociências, Universidade Federal do Rio Grande do Sul, Porto Alegre, Brazil</t>
  </si>
  <si>
    <t>Molano, S.M., Programa de Pós-graduação em Geologia e Geoquímica, Instituto de Geociências, Universidade Federal do Pará, Belém, Brazil; Cardenas, D.P., Programa de Pós-graduação em Geologia e Geoquímica, Instituto de Geociências, Universidade Federal do Pará, Belém, Brazil; Gómez, H.S., Programa de Pós-graduação em Geologia e Geoquímica, Instituto de Geociências, Universidade Federal do Pará, Belém, Brazil; Alvarado, D.M., Programa de Pós-graduação em Geologia e Geoquímica, Instituto de Geociências, Universidade Federal do Pará, Belém, Brazil; Galindo, A.F., Grupo de Investigación en Ingeniería Geológica, Escuela de Ingeniería Geológica, Universidad Pedagógica y Tecnológica de Colombia, Sogamoso, Colombia; Sanabria, J.F., Grupo de Investigación en Ingeniería Geológica, Escuela de Ingeniería Geológica, Universidad Pedagógica y Tecnológica de Colombia, Sogamoso, Colombia; Gómez-Neita, J.S., Programa de Pós-graduação em Geologia e Geoquímica, Instituto de Geociências, Universidade Federal do Pará, Belém, Brazil, Grupo de Investigación en Ingeniería Geológica, Escuela de Ingeniería Geológica, Universidad Pedagógica y Tecnológica de Colombia, Sogamoso, Colombia, Programa de Pós-graduação em Geociências, Instituto de Geociências, Universidade Federal do Rio Grande do Sul, Porto Alegre, Brazil</t>
  </si>
  <si>
    <t>The Andean glaciers represent one of the most important water sources in South America. They have been significantly reduced in recent decades because of climate change and climate variability. The most extensive snow-capped peak in the Colombian Andes Mountains corresponds to the Sierra Nevada del Cocuy (SRC), a mountain range located toward the northeast of the Eastern Cordillera with snow at altitudes ranging from approximately 4800 to 5345 meters above sea level (masl). From Landsat-4 (1987), Landsat-5 (1991, 1997, 2009), Landsat-7 (2000, 2003), Landsat-8 (2014, 2016, 2017), and Sentinel-2 (2019, 2021) satellite imagery, a pixel-oriented classification was performed using the PCI Geomatics software, defining four cover types: glacier area, soil-rock, vegetation, and water. For accuracy validation, high spatial resolution satellite imagery (Google Earth ~1.0 m and Planet’s high-resolution, analysis-ready mosaics of the world’s tropics ~4.7 m) and field control points were used as reference data. Overall accuracy values (all coverages) ranged from 86-99%, with accuracy for glacier area coverage between 97-100%. The decrease in the glacier area is of 1099.59 ha over 34 years (1987-2021). This analysis revealed that the glacier area decreased by approximately 37.92% regarding the first scene (1987). According to this trend, the SRC glacier would be extinct by 2048. The rate of glacier retreat is mainly influenced by factors related to global warming, such as the increase in mean annual temperature and the decrease in precipitation rates and climate variability factors such as the El Niño phenomenon. © 2022,Boletin de Geologia.All Rights Reserved</t>
  </si>
  <si>
    <t>Accuracy; Andes; Climate change; Climate variability; Supervised classification</t>
  </si>
  <si>
    <t>Ancizar, M., La Sierra Nevada de Güicán, Cocuy o Chita (1955) Boletín de la Sociedad Geográfica de Colombia, 13, pp. 45-46; Andreassen, L., Moholdt, G., Kaab, A., Messerli, A., Nagy, T., Havstad, S., (2021) Monitoring glaciers in mainland Norway and Svalbard using Sentinel, , Norwegian Water Resources and Energy Directorate (NVE); Anderson, E., Marengo, J., Villalba, R., Halloy, S., Young, B., Cordero, D., Gast, F., Ruiz, D., Consequences of climate change for ecosystems and ecosystem services in the Tropical Andes (2011) Climate change and biodiversity in the Tropical Andes, pp. 1-19. , S. Herzog, R. Martinez, P. Jorgensen, H. Tiessen (eds). Inter-American Institute for Global Change Research; Bautista, W., Correa, H., Dinámica de cambio para el glaciar nevado el Cocuy en Colombia (2018) Propuesta metodológica que evalúa el comportamiento y evolución a partir de teledetección y modelación de variables climatológicas para los periodos (1987 一 1997 一 2009 一 2015), , Tesis, Universidad Distrital Francisco José de Caldas, Bogotá, Colombia; Boretti, A., The European colonization of the Americas as an explanation of the Little Ice Age (2020) Journal of Archaeological Science: Reports, 29. , https://doi.org/10.1016Zj.jasrep.2019.102132; Carey, M., (2014) Glaciares, cambio climático y desastres naturales. Ciencia y sociedad en el Perú, , Institut Frangais d’études Andines IFEA, Instituto de Estudios Peruanos; Ceballos, J., Euscategui, C., Ramírez, J., Cañon, M., Huggel, C., Haeberli, W., Machguth, H., Fast shrinkage of tropical glaciers in Colombia (2006) Annals of Glaciology, 43, pp. 194-201. , https://doi.org/10.3189/172756406781812429; Ceballos, J., Tobón, E., Arias, M., Carvajal, J., López, O., Buitrago, V, Valderrama, J., Ramírez, J., Glaciares Santa Isabel y el Cocuy (Colombia): Seguimiento a su dinámica durante el período 2006-2008 (2010) Glaciares, nieves y hielos de América Latina: Cambio climático y amenazas, pp. 91-114. , En: C. López-Arenas, J. Ramírez-Cadena (eds). INGEOMINAS; Congalton, R., Green, K., (2008) Assessing the accuracy of remotely sensed data: Principles and Practices, , 2nd ed. CRC Press Taylor &amp; Francis Group; Cooper, M., Addison, F., Alvarez, R., Coral, M., Graham, R., Hayward, A., Howe, S., Taborda, A., Basin development and tectonic history of the Llanos Basin, Eastern Cordillera, and Middle Magdalena Valley, Colombia (1995) AAPG Bulletin, 79 (10), p. 14211443. , https://doi.org/10.1306/7834D9F4-1721-11D7-8645000102C1865D; Domine, F., Salvatori, R., Legagneux, L., Salzano, R., Fily, M., Casacchia, R., Correlation between the specific surface area and the short wave infrared (SWIR) reflectance of snow (2006) Cold Regions Science and Technology, 46 (1), pp. 60-68. , https://doi.org/10.1016Zj.coldregions.2006.06.002; Dong, C., Remote sensing, hydrological modeling and in situ observations in snow cover research: a review (2018) Journal of Hydrology, 561, pp. 573-583. , https://doi.org/10.1016Zj.jhydr01.2018.04.027; Dozier, J., Spectral signature of alpine snow cover from the Landsat thematic mapper (1989) Remote Sensing of Environment, 28, pp. 9-22. , https://doi.org/10.1016/0034-4257(89)90101-6; Ducrot, D., Masse, A., Marais-Sicre, C., Dejoux, J., Baup, F., (2010) Multisensor and multitemporal image fusion methods to improve remote sensing image classification, , https://doi.org/10.13140/2.1.2607.0084, Centre d'Etudes Spatiales de La Biosphere. Valencia, Spain; Etayo, F., Renzoni, G., Barrero, D., (1969) Contornos sucesivos del mar Cretáceo en Colombia, , I Congreso Colombiano de Geología, Bogotá; Euscategui, C., (2002) Incidencia de las variaciones del brillo solar en la dinámica glaciar del volcán nevado Santa Isabel (Cordillera Central, Colombia), , Bogotá, Meteorología Colombiana; Fabre, A., (1981) Geología regional de la Sierra Nevada del Cocuy de la Plancha 137 El Cocuy, , Bogotá. INGEOMINAS; Fabre, A., Osorio, M., Vargas, R., (1984) Geología de la Plancha 153 Chita, , Bogotá. INGEOMINAS; Fabre, A., Osorio, M., Vargas, R., (1985) Geología de la Plancha 137 Cocuy, , Bogotá. INGEOMINAS; Feo, O., Solano, E., Beingolea, L., Aparicio, M., Villagra, M., Prieto, M., García, J., Silveti, R., Cambio climático y salud en la región andina (2009) Revista Peruana de Medicina Experimental y Salud Pública, 26 (1), pp. 83-92; Florez, A., La Sierra Nevada del Cocuy, Chita o Güicán (1991) EPG-Geografia, 1 (2), pp. 7-18; Foody, G., Status of land cover classification accuracy assessment (2002) Remote Sensing of Environment, 80 (1), pp. 185-201. , https://doi.org/10.1016/S0034-4257(01)00295-4; García, M., Piñeros, A., Bernal, F., Ardila, E., Variabilidad climática, cambio climático y el recurso hídrico en Colombia (2012) Revista de Ingeniería, 36, pp. 60-64; (2020) Google Earth, , https://earth.google.com/web; Guillen, J., Santiago, J., Soria, M., (2004) Estudio multitemporal del retroceso glaciar a través de imágenes de sensores remotos y SIG en la Sierra Nevada del Cocuy, Cordillera Oriental de Colombia para el periodo 1960-2003, , Tesis, Universidad Distrital Francisco José de Caldas-IGAC, Bogotá, Colombia; Guiot, J., de Vernal, A., Is spatial autocorrelation introducing biases in the apparent accuracy of paleoclimatic reconstructions? (2011) Quaternary Science Reviews, 30 (15-16), pp. 1965-1972. , https://doi.org/10.1016/j.quascirev.2011.04.022; Gutzler, D., Preston, J., Evidence for a relationship between spring snow cover in North America and summer rainfall in New Mexico (1997) Geophysical Research Letters, 24 (17), pp. 2207-2210. , https://doi.org/10.1029/97GL02099; Harer, S., Bernhardt, M., Siebers, M., Schulz, K., On the need for a time and locationdependent estimation of the NDSI threshold value for reducing existing uncertainties in snow cover maps at different scales (2018) The Cryosphere, 12 (5), pp. 1629-1642. , https://doi.org/10.5194/tc-12-1629-2018; Herrera, G., Ruiz, J., Retroceso glaciar en la Sierra Nevada del Cocuy, Boyacá - Colombia, 1986-2007 (2008) Perspectiva Geográfica, 13, pp. 27-36. , https://doi.org/10.19053/01233769.1710; Hoyos-Patiño, F., Glaciers of Colombia (1998) Satellite image atlas of glaciers of the world - South America, pp. 11-30. , R. Williams, J. Ferrigno (eds). United States Geological Survey Professional Paper; (2001) Los glaciares colombianos, expresión del cambio climático global; (2007) Modelo institucional del IDEAM sobre el efecto climático de los fenómenos El Niño y La Niña en Colombia, , Bogotá, Instituto de Hidrología, Meteorología y Estudios Ambientales; (2010) Atlas climatológico de Colombia, , http://atlas.ideam.gov.co/visorAtlasClimatologico.html; (2010) Informe de actividades glaciológicas: Sierra Nevada de El Cocuy y volcán nevado Santa Isabel Colombia, , Bogotá, Instituto de Hidrología, Meteorología y Estudios Ambientales; (2012) Glaciares de Colombia, más que montañas con hielo; (2019) Sierra Nevada El Cocuy o Güicán, , http://www.ideam.gov.co/web/ecosistemas/sierra-nevada-cocuy-Güicán; Kaser, G., Georges, C., On the mass balance of low latitude glaciers with particular consideration of the Peruvian Cordillera Blanca (1999) Geografiska Annaler: Series A, Physical Geography, 81 (4), pp. 643-651. , https://doi.org/10.1111/1468-0459.00092; Knight, P., (1999) Glaciers, , Stanley Thornes (Publishers) Ltd; Konig, M, Winther, J., Isaksson, E., Measuring snow and glacier ice properties from satellite (2001) Reviews of Geophysics, 39 (1), pp. 1-27. , https://doi.org/10.1029/1999RG000076Glaciology,56(200),1141-1150.https://doi.org/10.3189/002214311796406077; Null, J., (2021) El Niño and La Niña years and intensities, , https://ggweather.com/enso/oni.htm, Golden Gate Weather Services; Painter, T., Roberts, D., Green, R., Dozier, J., The effect of grain size on spectral mixture analysis of snow-covered area from AVIRIS data (1998) Remote Sensing of Environment, 65 (3), pp. 320-332. , https://doi.org/10.1016/S0034-4257(98)00041-8; Peña, J., (2015) Análisis multitemporal del retroceso glaciar de la Sierra Nevada del Cocuy ubicada en los departamentos de Boyacá y Arauca entre los años 1992, 2003 y 2014, , https://www.planet.com, Tesis, Universidad Militar Nueva Granada, Bogotá, Colombia.Planet (2020). Planet; Pontius, R., Millones, M., Death to Kappa: birth of quantity disagreement and allocation disagreement for accuracy assessment (2011) International Journal of Remote Sensing, 32 (15), pp. 4407-4429. , https://doi.org/10.1080/01431161.2011.552923; Poveda, G., Waylen, P, Pulwarty, R., Annual and inter-annual variability of the present climate in northern South America and southern Mesoamerica (2006) Palaeogeography, Palaeoclimatology, Palaeoecology, 234 (1), pp. 3-27. , https://doi.org/10.1016Zj.palaeo.2005.10.031; Quintero, J., (2018) Cálculo de retroceso para los glaciares colombianos por medio de imágenes satelitales Sentinel 2 y MDT para el 2016 - 2017, , Tesis, Universidad de Manizales, Manizales, Colombia; Rabatel, A., Jomelli, V, Naveau, P, Francou, B., Grancher, D., Dating of Little Ice Age glacier fluctuations in the tropical Andes: Charquini glaciers, Bolivia,16° S (2005) Comptes Rendus Geoscience, 337 (15), pp. 1311-1322. , https://doi.org/10.1016/j.crte.2005.07.009; Rabatel, A., Francou, B., Soruco, A., Gomez, J., Cáceres, B., Ceballos, J., Basantes, R., Wagnon, P., Current state of glaciers in the tropical Andes: a multi-century perspective on glacier evolution and climate change (2013) The Cryosphere, 7 (1), pp. 81-102. , https://doi.org/10.5194/tc-7-81-2013; Rapp, D., (2014) Assessing climate change: Temperatures, solar radiation and heat balance, , https://doi.org/10.1007/978-3-319-00455-6, Springer Cham Heidelberg; Rekowsky, I., Bremer, U., Veettil, B., Variações de área das geleiras da Colombia e da Venezuela entre 1985 e 2015 com dados de sensoriamento remoto (2018) Geociencias, 37 (3), pp. 569-581. , https://doi.org/10.5016/geociencias.v37i3.11946; Rodrigues, S., Souza-Filho, P., Use of multisensor data to identify and map tropical coastal wetlands in the Amazon of Northern Brazil (2011) Wetlands, 31 (1), pp. 11-23. , https://doi.org/10.1007/s13157-010-0135-6; Rodríguez, J., (2015) Análisis de la distribución espacial de la precipitación máxima en 24 horas en el Parque Nacional Natural El Cocuy, , Tesis, Universidad Militar Nueva Granada, Bogotá, Colombia; Rowan, A., The ‘Little Ice Age’ in the Himalaya: A review of glacier advance driven by Northern Hemisphere temperature change (2017) The Holocene, 27 (2), pp. 292-308. , https://doi.org/10.1177/0959683616658530; Santos, D., Souza-Filho, P, Nascimento, W., Cardoso, G., Santos, J., Land cover change, landscape degradation, and restoration along a railway line in the Amazon biome, Brazil (2020) Land Degradation &amp; Development, 31 (15), pp. 2033-2046. , https://doi.org/10.1002/ldr.3514; Silva, G., (2010) Tipos y subtipos climáticos de Venezuela, , Tesis, Universidad de los Andes, Merida, Venezuela; Singh, D., Thakur, P., Naithani, B., Kaushik, S., Quantifying the sensitivity of band ratio methods for clean glacier ice mapping (2020) Spatial Information Research, 29 (3), pp. 281-295. , https://doi.org/10.1007/s41324-020-00352-8; Sood, V, Gusain, H., Gupta, S., Taloor, A., Singh, S., Detection of snow/ice cover changes using subpixel-based change detection approach over Chhota-Shigri glacier, Western Himalaya, India (2021) Quaternary International, 575-576, p. 204212. , https://doi.org/10.1016Zj.quaint.2020.05.016; Souza-Filho, P., Nascimento, W., Santos, D., Weber, E., Silva, R., Siqueira, J., A GEOBIA approach for multitemporal land-cover and landuse change analysis in a tropical watershed in the Southeastern Amazon (2018) Remote Sensing, 10 (11). , https://doi.org/10.3390/rs10111683; Valdez-Cepeda, R., Hernández-Ramírez, D., Mendoza, B., Valdés-Galicia, J., Maravilla, D., Fractality of monthly extreme minimum temperature (2003) Fractals, 11 (2), pp. 137-144. , https://doi.org/10.1142/S0218348X0300163X; Varade, D., Maurya, A., Sure, A., Dikshit, O., Supervised classification of snow cover using hyperspectral imagery (2017) International Conference on Emerging Trends in Computing and Communication Technologies, , https://doi.org/10.1109/ICETCCT.2017.8280302, Dehradun, India; Veettil, B., (2017) Identifica海 da influencia de El Niño 一 oscila海 sul e oscila海 decenal do Pacífico sobre as geleiras andinas tropicais usando sensoriamento remoto e parámetros climáticos, , Tese, Universidade Federal do Rio Grande do Sul, Porto Alegre, Brasil; Veettil, B., Kamp, U., Global disappearance of tropical mountain glaciers: observations, causes, and challenges (2019) Geosciences, 9 (5), p. 196. , https://doi.org/10.3390/geosciences9050196; Waliser, D., Jiang, X., Tropical meteorology and climate, Intertropical Convergence Zone (2015) Encyclopedia of atmospheric sciences, pp. 121-131. , https://doi.org/10.1016/B978-0-12-382225-3.00417-5, G. North, J. Pyle, F. Zhang (eds). 2nd ed. Academic Press; Wang, X., Wang, J., Jiang, Z., Li, H., Hao, X., An effective method for snow-cover mapping of dense coniferous forests in the Upper Heihe River Basin using Landsat operational land imager data (2015) Remote Sensing, 7 (12), pp. 17246-17257. , https://doi.org/10.3390/rs71215882; Wang, Y., Huang, X., Liang, H., Sun, Y., Feng, Q., Liang, T., Tracking snow variations in the Northern Hemisphere using multi-source remote sensing data (2000-2015) (2018) Remote Sensing, 10 (1). , https://doi.org/10.3390/rs10010136; Wulder, M., Loveland, T., Roy, D., Crawford, C., Masek, J., Woodcock, C., Allen, R., Zhu, Z., Current status of Landsat program, science, and applications (2019) Remote Sensing Environment, 225, pp. 127-147. , https://doi.org/10.1016/j.rse.2019.02.015; Xiao, X., Shen, Z., Qin, X., Assessing the potential of vegetation sensor data for mapping snow and ice cover: A Normalized Difference Snow and Ice Index (2001) International Journal of Remote Sensing, 22 (13), pp. 2479-2487. , https://doi.org/10.1080/01431160119766; Yan, Y., Intertropical Convergence Zone (ITCZ) (2005) Encyclopedia of world climatology, pp. 429-432. , https://doi.org/10.1007/1-4020-3266-8_110, J. Oliver (ed). Springer, Dordrecht; Zhang, M., Zhao, H., Chen, F., Zeng, J., Evaluation of effective spectral features for glacial lake mapping by using Landsat-8 OLI imagery (2020) Journal of Mountain Science, 17 (11), pp. 2707-2723. , https://doi.org/10.1007/s11629-020-6255-4</t>
  </si>
  <si>
    <t>Molano, S.M.; Programa de Pós-graduação em Geologia e Geoquímica, Brazil; email: sergio.cardenas@ig.ufpa.br</t>
  </si>
  <si>
    <t>2-s2.0-85125545091</t>
  </si>
  <si>
    <t>Marrodán Undagoitia T., Rodejohann W., Wolf T., Yaguna C.E.</t>
  </si>
  <si>
    <t>57213392090;6603727174;57221112170;8451471300;</t>
  </si>
  <si>
    <t>Progress of Theoretical and Experimental Physics</t>
  </si>
  <si>
    <t>https://www.scopus.com/inward/record.uri?eid=2-s2.0-85125123762&amp;doi=10.1093%2fptep%2fptab139&amp;partnerID=40&amp;md5=8693fadb41d0c07bd03265ddb4d62fcf</t>
  </si>
  <si>
    <t>Max-Planck-Institut fur Kernphysik, Postfach 103980, Heidelberg, D-69029, Germany; Escuela de Fisica, Universidad Pedagogica y Tecnologica de Colombia, Avenida Central del Norte 39-115, Tunja, Colombia</t>
  </si>
  <si>
    <t>Marrodán Undagoitia, T., Max-Planck-Institut fur Kernphysik, Postfach 103980, Heidelberg, D-69029, Germany; Rodejohann, W., Max-Planck-Institut fur Kernphysik, Postfach 103980, Heidelberg, D-69029, Germany; Wolf, T., Max-Planck-Institut fur Kernphysik, Postfach 103980, Heidelberg, D-69029, Germany; Yaguna, C.E., Escuela de Fisica, Universidad Pedagogica y Tecnologica de Colombia, Avenida Central del Norte 39-115, Tunja, Colombia</t>
  </si>
  <si>
    <t>Constraints on the indirect detection of dark matter are usually obtained from observations of astrophysical objects-the Galactic Center, dwarf galaxies, M31, etc. Here we propose instead to look for the annihilation or decay of dark matter particles taking place inside detectors searching directly for dark matter or in large neutrino experiments. We show that the data from XENON1T and Borexino set limits on the annihilation and decay rates of dark matter particles with masses in the keV to few MeV range. All relevant final states are considered: Annihilation into γγand e-e+ and decays into γγ, γν, and e-e+. The expected sensitivities in XENONnT, DARWIN, JUNO, and THEIA are also computed. Though weaker than current astrophysical bounds, the laboratory limits (and projections) obtained are free from the usual astrophysical uncertainties associated with J-factors and unknown backgrounds, and may thus offer a complementary probe of the dark matter properties. We point out that current and future (astro)particle physics detectors might also be used to set analogous limits for different decays and dark matter masses above a few MeV. © 2021 The Author(s). Published by Oxford University Press on behalf of the Physical Society of Japan.</t>
  </si>
  <si>
    <t>Marrodán Undagoitia, T., Rauch, L., (2016) J. Phys. G, 43, p. 013001. , [arXiv:1509.08767 [physics.ins-det]] [Search INSPIRE]; Billard, J., arXiv:2104.07634 [hep-ex] [Search INSPIRE]; Klasen, M., Pohl, M., Sigl, G., (2015) Prog. Part. Nucl. Phys, 85, p. 1. , [arXiv:1507.03800 [hep-ph]] [Search INSPIRE]; Kahlhoefer, F., (2017) Int. J. Mod. Phys. A, 32, p. 1730006. , [arXiv:1702.02430 [hep-ph]] [Search INSP IRE]; Aprile, E., (2018) Phys. Rev. Lett, 121, p. 111302. , [arXiv:1805.12562 [astro-ph.CO]] [Search INSPIRE]; Agostini, M., (2019) Phys. Rev. D, 100, p. 082004. , [arXiv:1707.09279 [hep-ex]] [Search INSPIRE]; Aprile, E., (2020) Phys. Rev, D102, p. 072004. , [arXiv:2006.09721 [hepex]] [Search INSPIRE]; Aprile, E., (2020) Eur. Phys. J. C, 80, p. 785. , [arXiv:2003.03825 [physics.ins-det]] [Search INSPIRE]; Aprile, E., (2011) J. Cosmol. Astropart. Phys, 2020, p. 031. , [arXiv:2007.08796 [physics.ins-det]] [Search INSPIRE]; Aalbers, J., (2016) J. Cosmol. Astropart. Phys, 1611, p. 017. , [arXiv:1606.07001 [astro-ph.IM]] [Search INSPIRE]; Akerib, D. S., arXiv:1509.02910 [physics.ins-det] [Search INSPIRE]; Agostini, M., (2018) Nature, 562, p. 505; Djurcic, Z., arXiv:1508.07166 [physics.ins-det] [Search INSPIRE]; Askins, M., (2020) Eur. Phys. J. C, 80, p. 416. , [arXiv:1911.03501 [physics.ins-det]] [Search INSPIRE]; Green, A. M., (2017) Phys. Rev, D96, p. 043020. , [arXiv:1705.10818 [astro-ph.CO]] [Search INSPIRE]; Strigari, L. E., (2013) Phys. Rep, 531, p. 1. , [arXiv:1211.7090 [astro-ph.CO]] [Search INSPIRE]; Abazajian, K. N., (2017) Phys. Rep, 711-712, p. 1. , [arXiv:1705.01837 [hep-ph]] [Search INSPIRE]; Boyarsky, A., Drewes, M., Lasserre, T., Mertens, S., Ruchayskiy, O., (2019) Prog. Part. Nucl. Phys, 104, p. 1. , [arXiv:1807.07938 [hep-ph]] [Search INSPIRE]; Chadha-Day, F., Ellis, J., Marsh, D. J. E., arXiv:2105.01406 [hep-ph] [Search INSPIRE]; Irastorza, I. G., Redondo, J., (2018) Prog. Part. Nucl. Phys, 102, p. 89. , [arXiv:1801.08127 [hep-ph]] [Search INSPIRE]; Aprile, E., (2017) Eur. Phys. J. C, 77, p. 881. , [arXiv:1708.07051 [astroph. IM]] [Search INSPIRE]; Back, H., (2012) J. Instrum, 7, p. P10018. , [arXiv:1207.4816 [physics.ins-det]] [Search INSPIRE]; Agostini, M., (2020) Phys. Rev. D, 101, p. 062001. , [arXiv:1709.00756 [hep-ex]] [Search INSPIRE]; Agostini, M., (2020) Phys. Rev. D, 101, p. 012009. , [arXiv:1909.02257 [hep-ex]] [Search INSPIRE]; Goodenough, L., Hooper, D., arXiv:0910.2998 [hep-ph] [Search INSPIRE]; Bartels, R., Krishnamurthy, S., Weniger, C., (2016) Phys. Rev. Lett, 116, p. 051102. , [arXiv:1506.05104 [astro-ph.HE]] [Search INSPIRE]; Boyarsky, A., Franse, J., Iakubovskyi, D., Ruchayskiy, O., (2015) Phys. Rev. Lett, 115, p. 161301. , [arXiv:1408.2503 [astroph. CO]] [Search INSPIRE]; Jeltema, T. E., Profumo, S., (2015) Mon. Not.R.Astron. Soc, 450, p. 2143. , [arXiv:1408.1699 [astroph. HE]] [Search INSPIRE]; Cowan, G., Cranmer, K., Gross, E., Vitells, O., (2011) Eur. Phys. J. C, 71, p. 1554. , 73, 2501 (2013) [erratum] [arXiv:1007.1727 [physics.data-an]] [Search INSPIRE]; Ng, K. C., Roach, B. M., Perez, K., Beacom, J. F., Horiuchi, S., Krivonos, R., Wik, D. R., (2019) Phys. Rev. D, 99, p. 083005. , [arXiv:1901.01262 [astro-ph.HE]] [Search INSPIRE]; Slatyer, T. R., (2016) Phys. Rev. D, 93, p. 023527. , [arXiv:1506.03811 [hep-ph]] [Search INSPIRE]; Slatyer, T. R., Wu, C.-L., (2017) Phys. Rev. D, 95, p. 023010. , [arXiv:1610.06933 [astro-ph.CO]] [Se arch INSPIRE]; Aalseth, C. E., (2018) Eur. Phys. J. Plus, 133, p. 131. , [arXiv:1707.08145 [physics.ins-det]] [Search INSPIRE]; Fukuda, Y., (2003) Nucl. Instrum. Meth. A, 501, p. 418; Abe, K., arXiv:1805.04163 [hep-ex] [Search INSPIRE]; Abi, B., (2020) J. Instrum, 15, p. T08010. , [arXiv:2002.03010 [physics.insdet]] [Search INSPIRE]; Gando, A., (2016) Phys.Rev. Lett, 117, p. 082503. , 117, 109903 (2016) [addendum] [arXiv:1605.02889 [hep-ex]] [Search INSPIRE]</t>
  </si>
  <si>
    <t>Physical Society of Japan</t>
  </si>
  <si>
    <t>2-s2.0-85125123762</t>
  </si>
  <si>
    <t>Ibáñez-López F.J., Maurandi-López A., Castejón-Mochón J.F.</t>
  </si>
  <si>
    <t>57219117623;55964623600;6508288077;</t>
  </si>
  <si>
    <t>Virtual Practical Teaching and Acquisition of Competencies in the Statistical Training of Teachers during Sanitary Confinement [DOCENCIA PRÁCTICA VIRTUAL Y ADQUISICIÓN DE COMPETENCIAS EN LA FORMACIÓN ESTADÍSTICA DE MAESTROS DURANTE EL CONFINAMIENTO SANITARIO]</t>
  </si>
  <si>
    <t>PNA</t>
  </si>
  <si>
    <t>10.30827/pna.v16i2.21364</t>
  </si>
  <si>
    <t>https://www.scopus.com/inward/record.uri?eid=2-s2.0-85125107466&amp;doi=10.30827%2fpna.v16i2.21364&amp;partnerID=40&amp;md5=5e012eb882fef72a210e49c21b43805e</t>
  </si>
  <si>
    <t>Ibáñez-López, F.J., Universidad de Murcia, Spain; Maurandi-López, A., Universidad de Murcia, Spain; Castejón-Mochón, J.F., Universidad de Murcia, Spain</t>
  </si>
  <si>
    <t>This work aims to know the perception that the students of the Degree in Primary Education of a state university had on the virtual implementation of a series of practical activities during the confinement caused by the COVID-19, regarding the acquisition of the competences in their mathematical-statistical training. Using a descriptive quantitative design with the application of a Likert scale survey, the results reflect that the participating students considered that this type of activities help to achieve the objectives of the didactic content and associated competences, and that they would use these activities in the future as teaching professionals. © 2022, Universidad de Granada, Grupo de Investigacion Didactica de la Matematica. All rights reserved.</t>
  </si>
  <si>
    <t>Future teachers’ training; ICT; Mathematics and Statistics; Online learning</t>
  </si>
  <si>
    <t>Barriuso, J. M., Gómez, V., Haro, M. J., Parreño, F., Introducción a la Estadística con R (2013) Revista SUMA, 72, pp. 17-30; Cabero-Almenara, J., Marín-Díaz, V., Posibilidades educativas de las redes sociales y el trabajo en grupo. Percepciones de los alumnos universitarios (2014) Comunicar, 21 (42), pp. 165-172. , https://doi.org/10.3916/C42-2014-16; Castejón Mochón, J. F., Ríos Carrillo, J., Sánchez Jiménez, E., Maurandi López, A., Didáctica de las matemáticas, software libre y desarrollo de recursos mediante Learnr y Shiny (2021) Educateconciencia, 29 (31), pp. 101-121; Chang, W., Cheng, J., Allaire, J. J., Sievert, C., Schloerke, B., Xie, Y., Allen, J., Borges, B., (2021) Shiny: Web Application Framework for R. R package version 1.7.1, , https://cran.r-project.org/web/packages/shiny/index.html; Creswell, J. W., (2012) Educational research: planning conducting and evaluating quantitative and qualitative research, , 4th edition. Pearson; De Sousa, B., Gomes, D., Teaching statistics using R at a college or a university level: it can be possible? (2018) Looking back, looking forward. Proceedings of the Tenth International Conference on Teaching Statistics (ICOTS10, July 2018), , En M. A. Sorto, A. White y L. Guyot (Eds), Kyoto, Japan. International Association for Statistical Education; Doi, J., Potter, G., Wong, J., Alcaraz, I., Chi, P., Web application teaching tools for statistics using R and Shiny (2016) Technology Innovations in Statistics Education, 9 (1), pp. 1-33. , https://doi.org/10.5070/T591027492; Ferre, E., Maurandi, A., Palazón, J. A., Propuesta metodológica para didáctica de las matemáticas mediante R-Notebook (2017) XIV Foro Internacional sobre la Evaluación de la Calidad de la Investigación y de la Educación Superior, p. 340. , En T. Ramiro-Sánchez, M. T. Ramiro-Sánchez y M. P. Bermúdez Sánchez (Coords), Asociación Española de Psicología Conductual y Universidad de Granada, Granada, España; Figueras, O., Atrapados en la explosión del uso de las tecnologías de la información y comunicación (2011) PNA, 5 (2), pp. 67-82. , https://doi.org/10.30827/pna.v5i2.6155; Finch, S., Gordon, I., Patrick, C., Taking the aRghhhh out of teaching statistics with R: Using R Markdown (2021) Teaching Statistics, 43, pp. S143-S147. , https://doi.org/10.1111/test.12251; Galindo Alba, A., Didáctica con R. Menos cuentas y más pensamiento crítico (2017) Pensamiento Matemático, 7 (1), pp. 53-73; George, D, Mallery, P., (2003) SPSS for Windows step by step: A Simple Guide and Reference, , 11.0 Update, 4th edition. Allyn &amp; Bacon; Hair, J. F., (2009) Multivariate Data Analysis, , 7th ed. Pearson Prentice Hall; Martínez Abad, F., Hernández Ramos, J. P., Implementación de la metodología Flipped Classroom con píldoras audiovisuales en la docencia universitaria con software estadístico (2016) En Edunovatic 2016. I Congreso Virtual internacional de Educación, Innovación y TIC, pp. 171-180. , Red de Investigación e Innovación Educativa, Madrid, España; Mendoza, H. H., Burbano, V. M., Valdivieso, M. A., El Rol del Docente de Matemáticas en Educación Virtual Universitaria. Un Estudio en la Universidad Pedagógica y Tecnológica de Colombia (2019) Formación Universitaria, 12 (5), pp. 51-60. , http://dx.doi.org/10.4067/S0718-50062019000500051; Molina Muñoz, D., Cobo Rodríguez, B., El uso de R Commander en la docencia práctica de la estadística en el grado en Ingeniería Informática (2016) Actas del Congreso Virtual: Avances en Tecnologías, Innovación y Desafíos de la Educación Superior ATIDES 2016, pp. 495-506. , En A. M. Arnal Pons, J. J. Castelló Benavent, I. Epifanio López, C. Galindo Pastor, P. Gregori Huerta, A. M. Lluch Peris y Martínez García (Eds), Publicacions de la Universitat Jaume I; Muñoz Capitán, N., Vicente Monserrat, P., Mateu García, G., Prado Bayarri, F. J., Actividades estadísticas para 4.º de la ESO utilizando datos reales (2019) Números: Revista de didáctica de las matemáticas, 102, pp. 139-159; Revelo Rosero, J., Impacto del uso de las TIC como herramientas para el aprendizaje de la matemática de los estudiantes de educación media (2020) Cátedra, 1 (1), pp. 70-91. , https://doi.org/10.29166/catedra.v1i1.764; Sánchez Alberca, A., Innovación en la docencia de Estadística con R y rk.Teaching (2016) Pensamiento Matemático, 6 (2), pp. 91-103; Santabárbara Serrano, J., Lasheras, I., Docencia de Bioestadística en Medicina con software gratuito jamovi: una ventana de oportunidad (2020) Revista Española De Educación Médica, 1 (1), pp. 9-10. , https://doi.org/10.6018/edumed.421421; Schloerke, B., Allaire, J. J., Borges, B., (2020) Learnr: Interactive Tutorials for R, , https://CRAN.R-project.org/package=learnr, R package version 0.10.1; Steegmann, C., Huertas, M. A., Juan, A. A., Prat, M., E-learning de las asignaturas del ámbito matemático-estadístico en las universidades españolas: oportunidades, retos, estado actual y tendencias (2008) RUSC. Universities &amp; Knowledge Society Journal, 5 (2), pp. 1-14. , http://dx.doi.org/10.7238/rusc.v5i2.329; (2020) R: A Language and Environment for Statistical Computing, , R Foundation for Statistical Computing; Vaillant, D., Rodríguez, E., Bentancor, G., Uso de plataformas y herramientas digitales para la enseñanza de la Matemática (2020) Ensaio: Avaliação e Políticas Públicas em Educação, 28 (108), pp. 718-740. , https://doi.org/10.1590/s0104-40362020002802241; Ventura-León, J. L., Caycho-Rodríguez, T., El Coeficiente Omega: Un Método Alternativo para la estimación de la confiabilidad (2017) Revista Latinoamericana de Ciencias Sociales, Niñez Y Juventud, 15 (1), pp. 625-627</t>
  </si>
  <si>
    <t>Universidad de Granada, Grupo de Investigacion Didactica de la Matematica</t>
  </si>
  <si>
    <t>PNA.</t>
  </si>
  <si>
    <t>2-s2.0-85125107466</t>
  </si>
  <si>
    <t>Enciso A.F.O.</t>
  </si>
  <si>
    <t>57302940700;</t>
  </si>
  <si>
    <t>The true spirit and the false enemy. Evangelical and indigenous religious beliefs and ethnic recomposition in Nasa Wesx, south of Tolima [O verdadeiro espírito e o falso inimigo. Crenças religiosas evangélicas e indígenas e recomposição étnica em Nasa Wesx, ao sul de Tolima] [El espíritu verdadero y el enemigo falaz. Creencias religiosas evangélicas e indígenas y recomposición étnica en Nasa Wesx, sur del Tolima]</t>
  </si>
  <si>
    <t>Revista Colombiana de Sociologia</t>
  </si>
  <si>
    <t>https://www.scopus.com/inward/record.uri?eid=2-s2.0-85125068137&amp;doi=10.15446%2frcs.v45n1.90229&amp;partnerID=40&amp;md5=c0b224517d7e7ac25f9208098e852984</t>
  </si>
  <si>
    <t>Enciso, A.F.O., Universidad Pedagógica y Tecnológica de Colombia, Tunja, Colombia</t>
  </si>
  <si>
    <t>This article aims to give an account, from an anthropological perspective, of the interaction process between the Protestant evangelical creed and the indigenous spiritual tradition of the Nasa Wesx people of Gaitania, in southern Tolima. These belief practices take shape in a region colonized by peasants, indigenous people, institutions, armed groups, and religious communities. These actors have mediated between the armed conflict, divergent political positions and the sense of faith, elements that influence the conformation of an ambivalent collective character, the development of territorial tensions, and also agreements and consensus between the indigenous community that coalesces in their social formation diverse religious motives in commonly accepted forms of belief. The ritual and cult actions of the evangelical creed, in an atmosphere of religious congregation, spirituality and ethnic tradition, produce social and territorial appropriations, as well as balances and exchanges that consecrate spaces of otherness. The article focuses on the role played by the Alianza Cristiana y Misionera de Colombia, an evangelical congregation that has had a long activity in this region, and has developed processes of mission, preaching, but also participation and advocacy in social organization and Nasa Wesx community policy. This does not mean that the indigenous community as a whole bow to the doctrine and provisions of the Church. It suggests more that the practices of faith and worship are incorporated into the ways of interacting with the conflict, generating the processes of colonization and social organization in the region. The research was developed as an ethnographic fieldwork that, through informal dialogues in the situated experience, accounts for the point of view of the actors of these creeds promoting a qualitative analysis around how to believe in a disputed region in politics and religion © 2022. Revista Colombiana de Sociologia.All Rights Reserved.</t>
  </si>
  <si>
    <t>Armed conflict; Christian and missionary alliance; Indigenous spirituality; Nasa people; Religiosity; Southern tolima</t>
  </si>
  <si>
    <t>Albert, M. J., Lo sagrado y la memoria. Hacia una teoría sociológica de la religión (2014) Revista Observaciones filosóficas, 17. , http://www.observacionesfilosoficas.net/losagradoylamemoria.htm, Recuperado de; Beltrán, W., Impactos sociales de la expansión de los nuevos movimientos religiosos entre los indígenas colombianos (2011) Revista Colombiana de Sociología, 34 (2), pp. 35-54. , https://revistas.unal.edu.co/index.php/recs/article/view/27816, Recuperado de; Caviedes, M., (2007) Paz y resistencia. Experiencias indígenas desde la autonomía, , (ed) Bogotá: Centro de Cooperación al Indígena (Cecoin); (1997) Concejo Regional Indígena del Cauca, Mitos de Origen y Derecho Mayor, , Popayán: Sin datos de edición; Donnan, H., Simpson, K., Silence and violence among Northern Ireland border Protestants (2007) Ethnos, 72 (1), pp. 5-28; Hale, C. A., Raza y tierra. La guerra de castas y el henequén. Por Moisés González Navarro (1973) The Americas, 30 (1), pp. 142-143; Eagleton, T., (2012) Razón, fe y revolución, , Barcelona: Paidós; Espinosa, M., (2009) La civilización Montés. La vida india y el trasegar de Manuel Quintín Lame en Colombia, , Bogotá: Uniandes ceso y Departamento de Antropología; Gros, C., (2000) Fundamentalismo protestante y poblaciones indígenas-campesinas. Algunas hipótesis. Políticas de la etnicidad. Identidad, Estado y modernidad, , (ed) Bogotá: Icanh; Katz, S., (2012) Historia de la Alianza Cristiana y Misionera [video], , https://www.youtube.com/watch?v=JXw8U45NHsI, [onlogisticaacysuba] Recuperado de; Mauss, M., (2010) Ensayo sobre el don. Forma y función del intercambio en las sociedades arcáicas, , En J. Bucci (trad). Buenos Aires: Katz; Moreno, P., (2010) Por momentos hacia atrás… Por momentos hacia adelante; Una historia del protestantismo en Colombia 1825-1945, , Cali: Universidad de San Buenaventura; Nutini, H., (2014) Native evangelism in central Mexico, , Texas: University of Texas Press; Ospina, A., El sacrilegio sagrado. Narrativa, muerte y ritual en las tragedias de Armero (2013) Revista Colombiana de Antropología, 49 (1), pp. 177-198; Ospina, A., Purificando la tierra, colonizando el espíritu. Conflicto armado y religiosidad en la mítica Marquetalia (2015) Anuario de Historia Regional y De Las Fronteras, 20 (2), pp. 101-124; Ramírez, C. A., Indigenismo de derecha. La formación de la oric como “revolución pasiva” (2015) Revista de Estudios Sociales, 51, pp. 89-104; Tempass, M. C., O discurso Mbyá-Guarani sobre as religioes dos brancos (2014) Religioes e religiosidades no Rio Grande do Sul. Manifestares da religiosidade indígena, pp. 153-175. , En E. C. Deckmann (ed), Sao Paulo: Anpuh; Wright, R. M., The State of the Arts of the Study of Indigenous Religious Traditions (2017) International Journal of Latin American Religions, 1 (1), pp. 42-56</t>
  </si>
  <si>
    <t>Enciso, A.F.O.; Universidad Pedagógica y Tecnológica de ColombiaColombia; email: andres.ospina02@uptc.edu.co</t>
  </si>
  <si>
    <t>0120159X</t>
  </si>
  <si>
    <t>Rev. Colomb. Soc.</t>
  </si>
  <si>
    <t>2-s2.0-85125068137</t>
  </si>
  <si>
    <t>Ravagli-Cardona J.</t>
  </si>
  <si>
    <t>57463084700;</t>
  </si>
  <si>
    <t>Education as socialisation: a historical-legal revision of the Catholic influence on Colombian Religious Education* [Educação como socialização: uma revisão histórico-legal da influência católica na educação religiosa colombiana] [Educación como socialización: una revisión histórico-legal de la influencia católica en la educación religiosa colombiana]</t>
  </si>
  <si>
    <t>10.15446/rcs.v45n1.90230</t>
  </si>
  <si>
    <t>https://www.scopus.com/inward/record.uri?eid=2-s2.0-85125064800&amp;doi=10.15446%2frcs.v45n1.90230&amp;partnerID=40&amp;md5=9670642b0e448a238055ed61a49a14eb</t>
  </si>
  <si>
    <t>Citizens Advice, Birmingham, United Kingdom</t>
  </si>
  <si>
    <t>Ravagli-Cardona, J., Citizens Advice, Birmingham, United Kingdom</t>
  </si>
  <si>
    <t>The article addresses the influence of Catholicism in the configuration of the academicsubject Educación Religiosa (Religious Education, re) in the Colombian systemof public education. As its core idea, it defends the argument that a positive curriculardetermination in this direction would be connected with the country’s main traditionof nation-state building. To substantiate this claim, it offers a reconstruction of the politicalrole of the Catholic Church in the country’s main historical periods. This revisionwill correspondingly highlight the socialising role of Christian conservative morality asunderlying the centrality of the Catholic church in the country’s educational history,traversing both liberal and conservative administrations. This section is followed by arevision of the main legal sources structuring re in Colombia after the 1991 Constitution.Here, conclusions will highlight the need to appreciate this curricular area as presentinga continuity of the aforementioned socialising role of Catholic doctrine and morality inColombia, all despite the threshold of state secularisation brought about by the aforementionedCarta Magna. In particular, this function would be developed by re via itslegal configuration as a parental right of the spiritual and cultural determination of itsoffspring, framed and sealed by the concordats between the State and the main Christianorganisations of the country. Similarly, the legal definition of the re teacher will evidencean important margin of institutional influence exerted by the Catholic and the main ChristianEvangelical churches. In the end, this academic subject could be seen as reflectingthe constitutive historical tensions of the Colombian religious and educational cultures,especially in connection with the role performed by conservative Christianity in its statebuildingprocesses. In this regard, the harmonisation of this subject with constitutionalprovisions in terms of freedom of belief and state neutrality towards religions would exhibitimportant curricular space. © 2022. Revista Colombiana de Sociologia. All Rights Reserved.</t>
  </si>
  <si>
    <t>Catholicism; Church and education; Church and state; Freedom of religion; Religious education; Religious minorities</t>
  </si>
  <si>
    <t>Andrade-Álvarez, M., Religión, Política y Educación en Colombia. La presencia religiosa extranjera en la consolidación del régimen conservador durante la Regeneración (2011) Historelo, 3 (6), pp. 154-172; Arango, G. M., Las Cofradías. Las Asociaciones católicas y sus formas de sociabilidad (Antioquia siglo xix) (1995) Revista de Extensión Cultural, pp. 94-104; (2021) Concesiones y Confirmaciones de Encomiendas en el Archivo General de Indias, , http://www.culturaydeporte.gob.es/cultura/areas/archivos/mc/archivos/agi/recursos/profesionales/encomiendas.html, [Accessed 12th January 2021]; Avila-Soler, M. d. P., (2018) Objeción de conciencia al matrimonio igualitario. Una mirada desde la sociología jurídica y el derecho internacional, , https://repositorio.unal.edu.co/handle/unal/69454, [Accessed 17th January 2021]; Bastián, J.P., (2007) La Mutación Religiosa de América Latina, , cdmx: fce; Beltrán-Cely, W. M., (2006) De Microempresas Religiosas a Multinacionales de la fe, , Bogotá: Editorial Bonaventuriana; Beltrán-Cely, W. M., Descripción cuantitativa de la pluralización religiosa en Colombia (2012) Universitas Humanística, (73), pp. 201-237; Bibliowicz, A., (2006) Los judíos, , https://www.semana.com/especiales/articulo/los-judios/81647-3, [Accessed 16th August 2018]; Bidegain, A. M., La expresión de corrientes en la Iglesia neogranadina ante el proceso de reformas borbónicas y la emancipación política (17501821) (2004) Historia del cristianismo en Colombia. Corrientes y diversidad, pp. 145-180. , A. M. Bidegain, ed. Bogota: Taurus; (2014) Budismo Camino del Diamante, , http://www.budismocolombia.co/, [Accessed 15th August 2018]; Caballero, A., Capítulo 3: El Imperio de la Ley (2016) Historia de Colombia y sus Oligarquías, , Bogotá: Biblioteca Nacional de Colombia; Caballero, A., Capítulo vii: Guerras y constituciones (o viceversa) (2016) Historia de Colombia y sus oligarquías, , Bogotá: Biblioteca Nacional; Caballero, A., Capítulo viii: Regeneración y Catástrofe (2016) Historia de Colombia y sus oligarquías, , Bogotá: Biblioteca Nacional; Castellanos, D. G., (2004) Islam en Colombia: Entre la asimilación y la exclusión, , Latin American and Caribbean Center Online; Castellanos, D. G., (2011) Sufismo en Colombia: Entre el Fundamentalismo y el New Age, , Bogotá: Editorial Bonaventuriana; Cifuentes-Traslaviña, M. T., Figueroa-Salamanca, H. H., La Enseñanza religiosa en el sistema escolar colombiano: el predominio confesional (2008) Hacia una educación religiosa pluralista: estudio diagnóstico de la educación religiosa en Chile y Colombia, pp. 105-132. , y Bogotá–Santiago: Universidad Academia de Humanismo Cristiano; (2017), https://www.corteconstitucional.gov.co/relatoria/2017/t-524-17.htm, Sentenci C524/17. Recuperada de; (1994) Sentencia No. C-350/94, , https://www.corteconstitucional.gov.co/relatoria/1994/c-350-94.htm, Recuperada de; Colombia, R. O., (2020) Colombian Constitution of 1991 with Amendments through 2005, , s.l.: Constitute Project–Oxford University Press; (2012) Densho Quintero, , http://sotozencolombia.org/index.php/densho-sensei/, [Accessed 15th August 2018]; Concejo de Bogotá, D.C., (2004) Acuerdo 125 de 2004, , s.l.:s.n; Corpas de Posada, I., Mirada teológica a la recomposición religiosa en la ciudad de Bogotá (2009) Franciscanum, LI (152), pp. 17-47; Corpas de Posada, I., Educación religiosa escolar en contextos plurales: Lectura teológica del caso colombiano (2012) Ciencias Sociales y Religión, 17 (14), pp. 77-104; (2019), Council for the Curriculum, Examinations and Assessment’s official website. [Accessed 26th September 2019]; Dávila Dávila, J. M., (2011) Ciencias útiles y planes de estudio en la Nueva Granada: Método racional y Canon wolffiano en la Filosofía escolar neogranadina (1762-1826), , https://repository.javeriana.edu.co/bitstream/handle/10554/1477/DavilaDavilaJuanManuel2011.pdf?sequence=1&amp;isAllowed=y, [Accessed 12th January 2021]; Echeverry, A., El desplazamiento de la intelectualidad tradicional y la oganización de la instrución pública (1984) Sociología: revista de la Facultad de Sociología de UNAULA, (1), pp. 23-33. , Octubre; (2019) Religious and Moral Education, , https://education.gov.scot/scottish-education-system/policy-for-scottish-education/policy-drivers/cfe-(building-from-the-statement-appendix-incl-btc1-5)/curriculum-areas/Religious%20and%20moral%20education, [Accessed 26th September 2019]; Fajardo-Pulido, J. A., Yoga, cuerpo e imagen: espiritualidad y bienestar, de la terapia a la publicidad (2009) Universitas Humanística, (68), pp. 33-47; García Granados, R., Capillas de Indios en Nueva España (1935) Archivo Español de Arte y Arqueología, 11 (31), pp. 3-29; García-Sánchez, B. Y., La Educación colonial en la Nueva Granada: entre lo doméstico y lo público (2005) Revista Historia de la Educación Latinoamericana, 7, pp. 219-240; (2020) Peace Commission of the Evangelical Council of Colombia (Consejo Evangelico de Colombia), , https://www.globalministries.org/lac_partners_cedecol_concilio_evangelico, [Accessed 31st August 2020]; Gutiérrez, L. H., A modo de historiografía de la educación colombiana en los primeros años de la independencia (2014) Praxis Pedagógica, (15), pp. 125-140; Guzmán Méndez, D. P., La enseñanza de la lectura como profilaxis. El Decreto Orgánico de Instrucción Pública: entre la caridad y la instrucción (2016) Historia y Memoria, 13, pp. 121-149; Helg, A., La Educación en Colombia 1946-1957 (1989) Nueva Historia de Colombia, IV, pp. 118-135. , Tomo Bogotá: Planeta; (2017) Historia del Islam en Colombia, , https://islamalfayer.com/historia-del-islam-en-colombia/, [Accessed 16th August 2018]; Jaramillo-Uribe, J., La Educación durante los gobiernos liberales 19301946 (1989) Nueva Historia de Colombia, IV, pp. 83-97. , Tomo Bogotá: Planeta; (2018) Centro de Budismo Tibetano, , http://ktccolombia.com/#home, [Accessed 15th August 2018]; Lara-Corredor, D. E., La educación religiosa escolar en Colombia. La posibilidad de un escenario pedagógico (2005) Actualidades Pedagógicas, (46), pp. 31-41; Lara-Corredor, D. E., (2005) La Libertad Religiosa y el Problema de la Educación, , Santiago, Universidad Católica de Chile; Londoño Vega, P., La educación femenina en Colombia 1780-1880 (1994) Boletín Cultural y Bibliográfico, 31 (37), pp. 46-56; López-Amaya, J. D., Misiones protestantes en Colombia 1930-1946. Geografía y política de la expansión evangélico-pentecostal (2014) Anuario Colombiano de Historia Social y de la Cultura, 41 (2), pp. 65-103; Machado-Sanz, L. A., (2016) Bolívar y la religión, , http://reportecatolicolaico.com/2016/12/bolivar-y-la-religion/, [Accessed 6th June 2018]; Mendoza, M., La Cuidadania y la Educacion en el Liberalismo: El Caso de Santander entre 1860 y 1945 (2010) Temas Socio-Juridicos, 205 (58), pp. 205-221. , E; (2004) Directiva Ministerial 002, , Bogotá: s.n; (2017) Política Pública Integral de Libertad Religiosa y de Cultos, , https://asuntosreligiosos.mininterior.gov.co/sites/default/files/documento_tecnico_politica_publica_integral_de_libertad_religiosa_y_de_cultos.pdf, [Accessed 17th January 2021]; Muñóz-Borrero, E., Una avanzada precursora del lasallismo en Colombia (1980) Revista de la Universidad de La Salle, 2 (7), pp. 93-94; Olivera-Ravasi, J., (2014) Simón Bolívar: su política religiosa, , http://www.infocatolica.com/blog/notelacuenten.php/1412070227-san-martin-y-bolivar-su-polit, [Accessed 28th Jne 2018]; Osterwald, A., (2013) Los judíos colombianos: La historia de un pueblo escondido, , https://auislandora.wrlc.org/islandora/object/1213capstones%3A190/datastream/PDF/view, [Accessed 29th August 2020]; (2014) Pew Forum, , http://www.pewforum.org/2014/11/13/religion-in-latin-america/#, [Accessed 5th April 2018]; Pita-Pico, R., Las Escuelas Coloniales durante la visita de Moreno y Escandón al nororiente neogranadino: el camino hacia la secularización y el equipamiento urbano (2011) Rhec, 14 (14), pp. 310-349; (2019) Religious Education Council of England and Wales’ offcial Website, , https://www.religiouseducationcouncil.org.uk/, [Accessed 26 09 2019]; (1973) Concordato entre la república de Colombia y la Santa Sede, , http://www.cortesuprema.gov.co/corte/wp-content/uploads/subpage/exequatur/Instrumentos%20Internacionales/CONCORDATO%20ENTRE%20LA%20REPUBLICA%20DE%20COLOMBIA%20Y%20LA%20SANTA%20SEDE.pdf, [Accessed 2nd August 2019]; Restrepo-Zea, S., La Educación en el Nuevo Reino de Granada durante el siglo xvii (1991) Educación y Pedagogía, (6); Rodríguez, J. A., Primeros intentos de establecimiento del protestantismo en Colombia (2004) Historia del Cristianismo en Colombia: corrientes y diversidad, pp. 142-157. , Bogotá: Santillana; Sanabria-Sánchez, F., (2004) La Virgen se sigue Apareciendo: un estudio antropológico, , 1 ed. Bogotá: Universidad Nacional de Colombia; Sebá-López, H., Reseña histórica del lasallismo colombiano (1980) Revista de la Universidad de la Salle, 2 (7), pp. 85-88; (2018) Política Pública de libertades fundamentales de religión, culto y conciencia para Bogotá Distrito Capital 2018–2028, , https://www.alcaldiabogota.gov.co/sisjur/listados/tematica2.jsp?subtema=33098&amp;cadena=d#:~:text=Cr%C3%A9ese%20en%20Bogot%C3%A1%20Distrito%20Capital,e%20institucional%20de%20una%20cultura, [Accessed 17th January 2021]; Silva-Olarte, R., La Educación en Colombia, 1880-1930 (1989) Nueva Historia de Colombia, IV, pp. 61-86. , Tomo Bogotá: Planeta; Toro, A., Muñoz, A., Scharnholz, L., Huellas de Alemania en la Educación en Colombia (2014) Quaestiones Disputatae, (15), pp. 65-81; Torres-Hurtado, J. H., Educación y catequesis en el Nuevo Reino (1985) Theologica Xaveriana, 77 (76), pp. 399-433; Turriago-Rojas, D., Aporte salesiano al proyecto educativo católico en Colombia (1886-1935) (2014) Actualidades Pedagógicas, (64), pp. 109-129</t>
  </si>
  <si>
    <t>Ravagli-Cardona, J.; Citizens AdviceUnited Kingdom; email: JAR578@alumni.bham.ac.uk</t>
  </si>
  <si>
    <t>2-s2.0-85125064800</t>
  </si>
  <si>
    <t>López M.J., Mesa C.J.H., Rodríguez I.C., Hernández S.R., Madrazo N.M.O.</t>
  </si>
  <si>
    <t>7404124332;55290917300;55290759400;57463480200;57463317900;</t>
  </si>
  <si>
    <t>Cardiovascular risk in healthy women [Riesgo cardiovascular en mujeres sanas]</t>
  </si>
  <si>
    <t>e02201682</t>
  </si>
  <si>
    <t>https://www.scopus.com/inward/record.uri?eid=2-s2.0-85125049282&amp;partnerID=40&amp;md5=e10275afb1caa5bde87fcda83c48d81e</t>
  </si>
  <si>
    <t>Universidad de Ciencias Médicas de las Fuerzas Armadas Revolucionarias, Hospital Militar “Comandante Manuel Fajardo Rivero”, Santa Clara, Cuba</t>
  </si>
  <si>
    <t>López, M.J., Universidad de Ciencias Médicas de las Fuerzas Armadas Revolucionarias, Hospital Militar “Comandante Manuel Fajardo Rivero”, Santa Clara, Cuba; Mesa, C.J.H., Universidad de Ciencias Médicas de las Fuerzas Armadas Revolucionarias, Hospital Militar “Comandante Manuel Fajardo Rivero”, Santa Clara, Cuba; Rodríguez, I.C., Universidad de Ciencias Médicas de las Fuerzas Armadas Revolucionarias, Hospital Militar “Comandante Manuel Fajardo Rivero”, Santa Clara, Cuba; Hernández, S.R., Universidad de Ciencias Médicas de las Fuerzas Armadas Revolucionarias, Hospital Militar “Comandante Manuel Fajardo Rivero”, Santa Clara, Cuba; Madrazo, N.M.O., Universidad de Ciencias Médicas de las Fuerzas Armadas Revolucionarias, Hospital Militar “Comandante Manuel Fajardo Rivero”, Santa Clara, Cuba</t>
  </si>
  <si>
    <t>Introduction: Cardiovascular diseases are a health problem and one of the main causes of death worldwide. They present high morbidity and mortality in women between the ages of 40 and 59, a period that coincides with natural menopause. Objective: To characterize cardiovascular risk in healthy female patients. Methods: A descriptive study was carried out in 96 healthy women. Epidemiological and clinical variables, nutritional assessment, abdominal circumference, laboratory studies (triacylglycerides, glycemia and total cholesterol) were studied, and cardiovascular risk stratification was performed. A frequency analysis was performed and Pearson's chi-square test was used for comparisons. Results: The most representative group was 20 to 29 years old, the risk factors with the highest incidence were abdominal circumference above 88 cm, body mass index above 25 kg/m2, high cholesterol and hypertriglyceridemia with association statistically significant (p&amp;lt; 0.000), women without risk factors prevailed in those under 40 years of age, low cardiovascular risk in all ages; moderate and high was more significant between 40 and 49, and between 50 and 59 years of age (p&amp;lt; 0.000). Conclusions: Low cardiovascular risk predominates in women under 40 years of age without association of risk factors; in those over 40 the moderate predominates, with associations between risk factors. Increased BMI, high cholesterol, hypertriglyceridemia, and abdominal circumference greater than 88 cm were the most important risk factors and were related to age. © 2022, Editorial Ciencias Medicas. All rights reserved.</t>
  </si>
  <si>
    <t>Cardiovascular disease; Cardiovascular physiology; Gender identity; Risk factors</t>
  </si>
  <si>
    <t>Pérez Caballero, MD, León Álvarez, JL, Dueñas Herrera, A, Alfonzo Guerra, JP, Navarro Despaigne, DA., Guía cubana de diagnóstico, evaluación y tratamiento de la hipertensión arterial (2017) Rev Cubana de Med, 56 (4), pp. 242-321. , http://scielo.sld.cu/pdf/med/v56n4/med01417.pdf, [acceso: 06/11/2020]; Disponible en; Oramas Hernández, L, Lugones Botell, M, Massip Nicot, J., Riesgo cardiovascular en mujeres de edad mediana en el Policlínico "Mártires del Corynthia" (2016) Rev Cubana Obstet Ginecol, 42 (1), p. 10. , http://scielo.sld.cu/scielo.php?script=sci_arttext&amp;pid=S0138-600X2016000100010, [acceso: 06/11/2020]; [aprox. p]. Disponible en; (2019) Anuario Estadístico de Salud 2018, , https://files.sld.cu/bvscuba/files/2019/04/Anuario-Electr%C3%B3nico-Espa%C3%B1ol-2018-ed-2019-compressed.pdf, La Habana: Dirección de Registros Médicos y Estadísticas de Salud; [acceso: 05/01/2021]. Disponible en; Miguel Soca, PE, Rivas Estévez, M, Sarmiento Teruel, Y, Mariño Soler, AL, Marrero Hidalgo, M, Factores de riesgo de enfermedad cardiovascular en mujeres con menopausia (2014) Rev Fed Arg Cardiol, 43 (2), pp. 90-96. , https://www.researchgate.net/profile/Pedro-Enrique-Miguel-Soca/publication/286156215_Risk_factors_of_cardiovascular_disease_in_menopausal_women/links/5674556208aebcdda0de22fe/Risk-factors-of-cardiovascular-disease-in-menopausal-women.pdf, [acceso: 19/10/2021]; Disponible en; Kelley, AM, Curry, I, Powell-Dunford, N., Medical Suspension in Female Army Rotary-Wing Aviators (2019) Military Medicine, 184 (3-4), pp. e143-e147. , https://academic.oup.com/milmed/article/184/3-4/e143/5042804?login=true, [acceso: 06/11/2020]; Disponible en; Chen, X, Ramanan, B, Tsai, S, Jeon-Slaughter, H., Differential Impact of Aging on Cardiovascular Risk in Women Military Service Members (2020) J Am Heart Assoc, 9 (12). , https://pubmed.ncbi.nlm.nih.gov/32515249/, [acceso: 06/11/2020]; [aprox. 26 pag]. Disponible en; Saeed, A, Kampangkaew, J, Nambi, V., Prevention of Cardiovascular Disease in Women (2017) Methodist Debakey Cardiovasc J, 13 (4), pp. 185-192. , https://www.ncbi.nlm.nih.gov/pmc/articles/PMC5935277/pdf/i1947-6094-13-4-185.pdf, [acceso: 06/11/2020]; Disponible en; Soysal, P, Veronese, N, Arik, F, Kalan, U, Smith, L, Isik, AT., Mini Nutritional Assessment Scale-Short Form can be useful for frailty screening in older adults (2019) Clin Interv Aging, 17 (14), pp. 693-699. , https://www.ncbi.nlm.nih.gov/pmc/articles/PMC6475097/pdf/cia-14-693.pdf, [acceso: 06/11/2020]; Disponible en; Barrios Osuna, I, Anido Escobar, V, Morera Pérez, M., Declaración de Helsinki: cambios y exégesis (2016) Rev Cubana Salud Pública, 42 (1), pp. 132-142. , https://www.medigraphic.com/pdfs/revcubsalpub/csp-2016/csp161n.pdf, [acceso: 01/08/2020]; Disponible en; Vieira, RS, Gallo, AM, Carvalho, CJA, Araujo, JP, Cabral, R, Eler, GJ., Risk factors for developing cardiovascular disease in women (2016) Invest. Educ. Enferm, 35 (1), pp. 35-47. , https://www.redalyc.org/pdf/1052/105250003005.pdf, [acceso: 01/08/2020]; Disponible en; Martorell, M, Ramirez-Alarcón, K, Labraña, AM, Barrientos, D, Opazo, M., Menopausia y factores de riesgo cardiovascular en mujeres chilenas (2020) Rev Med Chile, 148, pp. 178-186. , https://scielo.conicyt.cl/pdf/rmc/v148n2/0717-6163-rmc-148-02-0178.pdf, [acceso: 11/03/2021]; Disponible en; Toth, MJ, Tchernof, A, Sites, CK, Poehlman, ET., Effect of menopausal status on body composition and abdominal fat distribution (2000) Int J Obes Relat Metab Disord, 24 (2), pp. 226-231. , https://www.nature.com/articles/0801118.pdf, [acceso: 11/03/2021]; Disponible en; Karvonen-Gutiérrez, C, Kim, C., Association of Mid-Life Changes in Body Size, Body Composition and Obesity Status with the Menopausal Transition (2016) Healthcare (Basel), 4 (3). , https://www.ncbi.nlm.nih.gov/pmc/articles/PMC5041043/pdf/healthcare-04-00042.pdf, [acceso: 01/08/2020]; [aprox. 12 pag]. Disponible en; Stevenson, JC, Tsiligiannis, S, Panay, N., Cardiovascular Risk in Perimenopausal Women (2019) Current Vascular Pharmacology, 17 (6), pp. 591-594; Vargas, CE, Ortega, SJ, Leandro, K, Alfonso, ML, Sandoval, C., Riesgo cardiovascular en la población de los 18 a 60 años en la ciudad de Tunja, Colombia (2016) Rev. Investig. Desarro. Innov, 6 (2), pp. 169-177. , https://revistas.uptc.edu.co/index.php/investigacion_duitama/article/view/4604/3825, [acceso: 16/08/2020]; Disponible en; Shufelt, C, Pacheco, C, Twee, MS, Miller, VM., Sex-specific physiology and cardiovascular disease (2018) Adv Exp Med Biol, 1065, pp. 433-454; Collinsa, P, Webba, CM, de Villiersb, T, Stevensona, JC, Panayb, N, Baberd, RJ, Evaluación del riesgo cardiovascular en las mujeres–Una puesta al día (2016) CLIMACTERIC, , https://www.imsociety.org/wp-content/uploads/2020/07/wmd-2016-white-pages-spanish.pdf, [acceso: 19/03/2019]. [aprox. 7 pag]. Disponible en</t>
  </si>
  <si>
    <t>López, M.J.; Universidad de Ciencias Médicas de las Fuerzas Armadas Revolucionarias, Cuba; email: mildreyjl@infomed.sld.cu</t>
  </si>
  <si>
    <t>2-s2.0-85125049282</t>
  </si>
  <si>
    <t>Suárez H., Chacón A., Reyes A.</t>
  </si>
  <si>
    <t>38762165900;57225219446;55951683100;</t>
  </si>
  <si>
    <t>Communications in Algebra</t>
  </si>
  <si>
    <t>https://www.scopus.com/inward/record.uri?eid=2-s2.0-85124760253&amp;doi=10.1080%2f00927872.2022.2028799&amp;partnerID=40&amp;md5=47e5fe6afac62c7dd22879447617cb52</t>
  </si>
  <si>
    <t>Escuela de Matemáticas y Estadística, Universidad Pedagógica y Tecnológica de Colombia, Sede Tunja, Tunja, Colombia; Department of Mathematics, Universidad Nacional de Colombia - Sede Bogotá, Bogotá, Colombia</t>
  </si>
  <si>
    <t>Suárez, H., Escuela de Matemáticas y Estadística, Universidad Pedagógica y Tecnológica de Colombia, Sede Tunja, Tunja, Colombia; Chacón, A., Department of Mathematics, Universidad Nacional de Colombia - Sede Bogotá, Bogotá, Colombia; Reyes, A., Department of Mathematics, Universidad Nacional de Colombia - Sede Bogotá, Bogotá, Colombia</t>
  </si>
  <si>
    <t>We establish necessary or sufficient conditions to guarantee that skew Poincaré–Birkhoff–Witt extensions are NI or NJ rings. Our results extend those corresponding for skew polynomial rings and establish similar properties for other families of noncommutative rings such as universal enveloping algebras and examples of differential operators. © 2022 Taylor &amp; Francis Group, LLC.</t>
  </si>
  <si>
    <t>The authors were supported by the research fund of Faculty of Science, Code HERMES 52464, Universidad Nacional de Colombia - Sede Bogotá, Colombia.</t>
  </si>
  <si>
    <t>Annin, S., Associated primes over Ore extension rings (2004) J. Algebra Appl, 3 (2), pp. 193-205; Artamonov, V.A., Derivations of skew PBW extensions (2015) Commun. Math. Stat, 3 (4), pp. 449-457; Bell, A., Goodearl, K., Uniform rank over differential operator rings and Poincaré-Birkhoff-Witt extensions (1988) Pacific J. Math, 131 (1), pp. 13-37; Bell, S.P., Smith, A.D., Some 3-dimensional skew polynomial ring (1990) Preprint, , University of Wisconsin, Milwaukee; Bergen, J., Grzeszczuk, P., Jacobson radicals of ring extensions (2012) J. Pure Appl. Algebra, 216 (12), pp. 2601-2607; Cassidy, T., Vancliff, M., Generalizations of graded Clifford algebras and of complete intersections (2010) J. Lond. Math. Soc, 81 (1), pp. 91-112. , –,. (Corrigendum: (2014). 90(2):631–636; Fajardo, W., Gallego, C., Lezama, O., Reyes, A., Suárez, H., Venegas, H., (2020) Skew PBW Extensions. Ring and Module-Theoretic Properties, Matrix and Gröbner Methods, and Applications, , Cham: Springer; Gallego, C., Lezama, O., Gröbner bases for ideals of σ-PBW extensions (2010) Commun. Algebra, 39 (1), pp. 50-75; Gómez, J.Y., Suárez, H., Double Ore extensions versus graded skew PBW extensions (2020) Commun. Algebra, 48 (1), pp. 185-197; Hamidizadeh, M., Hashemi, E., Reyes, A., A classification of ring elements in skew PBW extensions over compatible rings (2020) Int. Electron. J. Algebra, 28 (1), pp. 75-97; Han, J., Lee, Y., Park, S., Structure of NI rings related to centers (2021) Commun. Algebra, 49 (2), pp. 621-630; Hashemi, E., Khalilnezhad, K.H., Alhevaz, A., compatible skew PBW extension ring (2017) Kyungpook Math. J, 57 (3), pp. 401-417; Hashemi, E., Khalilnezhad, K.H., Alhevaz, A., Extensions of rings over 2-primal rings (2019) Matematiche, 74 (1), pp. 141-162; Hashemi, E., Khalilnezhad, K.H., Ghadiri, M., Baer and quasi-Baer properties of skew PBW extensions (2019) J. Algebr. Syst, 7 (1), pp. 1-24; Huh, C., Kim, N.K., Lee, Y., Examples of strongly π-regular rings (2004) J. Pure Appl. Algebra, 189 (1-3), pp. 195-210; Hwang, S.U., Jeon, Y.C., Lee, Y., Structure and topological conditions of NI rings (2006) J. Algebra, 302 (1), pp. 186-199; Jiang, M., Wang, Y., Ren, Y., Extensions and topological conditions of NJ rings (2019) Turkish J. Math., 43 (1), pp. 44-62; Jiménez, H., Lezama, O., Gröbner bases for modules over σ-PBW extensions (2016) Acta Math. Acad. Paedagog. Nyházi. (N.S.), 32 (1), pp. 39-66; Lam, T.Y., (1991) A First Course in Noncommutative Rings, , New York: Springer-Verlag; Le Bruyn, L., Central singularities of quantum spaces (1995) J. Algebra, 177 (1), pp. 142-153; Lezama, O., Computation of point modules of finitely semi-graded rings (2020) Commun. Algebra, 48 (2), pp. 866-878; Lezama, O., Acosta, J.P., Reyes, A., Prime ideals of skew PBW extensions (2015) Rev. Un. Mat. Argentina, 56 (2), pp. 39-55; Lezama, O., Gallego, C., d-Hermite rings and skew PBW extensions (2016) São Paulo J. Math. Sci, 10 (1), pp. 60-72; Lezama, O., Gómez, J., Koszulity and point modules of finitely semi-graded rings and algebras (2019) Symmetry, 11 (7), pp. 881-822; Lezama, O., Latorre, E., Non-commutative algebraic geometry of semi-graded rings (2017) Int. J. Appl. Comput. Math, 27 (4), pp. 361-389; Lezama, O., Reyes, A., Some homological properties of skew PBW extensions (2014) Commun. Algebra, 42 (3), pp. 1200-1230; Lezama, O., Venegas, H., Center of skew PBW extensions (2020) Int. J. Algebra Comput, 30 (8), pp. 1625-1650; Louzari, M., Reyes, A., Minimal prime ideals of skew PBW extensions over 2-primal compatible rings (2020) Rev. Colombiana Mat, 54 (1), pp. 39-63; Marks, G., On 2-primal Ore extensions (2001) Commun. Algebra, 29 (5), pp. 2113-2123; Marks, G., A taxonomy of 2-primal rings (2003) J. Algebra, 266 (2), pp. 494-520; Nasr-Isfahani, A., Jacobson radicals of skew polynomial rings of derivation type (2014) Canad. Math. Bull, 57 (3), pp. 609-613; Nasr-Isfahani, A., On NI skew polynomial rings (2015) Commun. Algebra, 43 (12), pp. 5113-5120; Niño, A., Ramírez, M.C., Reyes, A., Associated prime ideals over skew PBW extensions (2020) Commun. Algebra, 48 (12), pp. 5038-5055; Niño, A., Reyes, A., Some remarks about minimal prime ideals of skew Poincaré-Birkhoff-Witt extensions (2020) Algebra Discrete Math, 30 (2), pp. 207-229; Ore, O., Theory of non-commutative polynomials (1933) Ann. of Math. (2), 34 (3), pp. 480-508; Reyes, A., Skew PBW extensions of Baer, quasi-Baer and p.p. and p.q.-rings (2015) Rev. Integr. Temas Mat, 33 (2), pp. 173-189; Reyes, A., Rodríguez, C., The McCoy condition on skew PBW extensions (2021) Commun. Math. Stat, 9 (1), pp. 1-21; Reyes, A., Suárez, H., σ-PBW extensions of skew Armendariz rings (2017) Adv. Appl. Clifford Algebr, 27 (4), pp. 3197-3224; Reyes, A., Suárez, H., A notion of compatibility for Armendariz and Baer properties over skew PBW extensions (2018) Rev. Un. Mat. Argentina, 59 (1), pp. 157-178; Reyes, A., Suárez, H., Skew Poincaré-Birkhoff-Witt extensions over weak zip rings (2019) Beitr. Algebra Geom., 60 (2), pp. 197-216; Reyes, A., Suárez, H., Skew Poincaré-Birkhoff-Witt extensions over weak compatible rings (2020) J. Algebra Appl, 19 (12), p. 2050225; Reyes, A., Suárez, H., Radicals and Köthe’s conjecture for skew PBW extensions (2021) Commun. Math. Stat, 9 (2), pp. 119-138; Rosenberg, A., (1995) Non-Commutative Algebraic Geometry and Representations of Quantized Algebras. Mathematics and Its Applications, , Dordrecht: Springer, 330; Shin, G., Prime ideals and sheaf representation of a pseudosymmetric rings (1973) Trans. Amer. Math. Soc, 184, pp. 43-60; Suárez, H., Koszulity for graded skew PBW extensions (2017) Commun. Algebra, 45 (10), pp. 4569-4580; Suárez, H., Lezama, O., Reyes, A., Calabi-Yau property for graded skew PBW extensions (2017) Rev. Colombiana Mat, 51 (2), pp. 221-238; Tumwesigye, A.B., Richter, J., Silvestrov, S., Centralizers in PBW extensions (2020) Algebraic Structures and Applications. SPAS 2017. Springer Proceedings in Mathematics &amp; Statistics, 317. , Silvestrov S., Malyarenko A., Rancic M., (eds), Springer:. In:, eds.,. Västerås and Stockholm, Sweden; Zambrano, B.A., Poisson brackets on some skew PBW extensions (2020) Algebra Discrete Math, 29 (2), pp. 277-302</t>
  </si>
  <si>
    <t>Reyes, A.; Department of Mathematics, Colombia; email: mareyesv@unal.edu.co</t>
  </si>
  <si>
    <t>Commun. Algebra</t>
  </si>
  <si>
    <t>2-s2.0-85124760253</t>
  </si>
  <si>
    <t>Bernal J.J.P.</t>
  </si>
  <si>
    <t>57292405700;</t>
  </si>
  <si>
    <t>The System of Intendencies and the Government of the Treasuries in the Nuevo Reino de Granada. An Institutional Approach [El sistema de intendencias y el gobierno de los erarios en el Nuevo Reino de Granada. Una aproximación institucional*]</t>
  </si>
  <si>
    <t>Fronteras de la Historia</t>
  </si>
  <si>
    <t>10.22380/20274688.1946</t>
  </si>
  <si>
    <t>https://www.scopus.com/inward/record.uri?eid=2-s2.0-85124453906&amp;doi=10.22380%2f20274688.1946&amp;partnerID=40&amp;md5=a7a9012c0f5c41418ef858ace13f3d39</t>
  </si>
  <si>
    <t>Historia de la Universidad Nacional de Colombia, Facultad de Ciencias Humanas y Artes, Universidad del Tolima, Entre sus más recientes trabajos se encuentra, 167-195, y los libros Reformar y resistir. La Real Hacienda en Santafé, Bogotá, 1791-1809, Colombia</t>
  </si>
  <si>
    <t>Bernal, J.J.P., Historia de la Universidad Nacional de Colombia, Facultad de Ciencias Humanas y Artes, Universidad del Tolima, Entre sus más recientes trabajos se encuentra, 167-195, y los libros Reformar y resistir. La Real Hacienda en Santafé, Bogotá, 1791-1809, Colombia</t>
  </si>
  <si>
    <t>Archivo General de Indias (agi), , Estado (e), legajo 57; Sección Colonia (sc) Competencias (co), tomos 4, 5. Curas y Obispos (cu), , Archivo General de la Nación, Bogotá, Colombia (agn). tomo 8. Diezmos (d), tomo 5. Impuestos Varios (i), tomos 10, 12, 15. Real Audiencia (ra), tomo 8. Real Hacienda (rh), tomo 8 Tabacos (t), tomo 27. Sección Archivo Anexo I (saai) Real Hacienda (rh), tomo 8; Fondo Pineda (fp), , Biblioteca Nacional, Bogotá, Colombia (bn). tomo 243; Bentura, Eusebio, (1787) Copias a la letra ofrecidas en el primer tomo de la recopilación de todos los autos acordados de la Real Audiencia y sala del crimen de esta Nueva España, , México: Felipe de Zúñiga y Ontiveros; Durán y Díaz, Joaquín, (2013) Estado general de todo el virreinato de Santafé de Bogotá en el presente año de 1794, , Bogotá: Banco de la República; Ezpeleta, Josef de, Relación del gobierno del Excmo. Sor. Dn. Josef de Ezpeleta, etc., en este Nuevo Reino de Granada con su expresión de su estado en los diversos ramos que abraza, de lo que queda por hacer y de lo que puede adelantarse en cada uno. Formada en cumplimiento de lo dispuesto por las leyes de Indias para entregar al Excmo. Sor. Dn. Pedro Mendinueta electo virrey gobernador y capitán general de dicho Reino (1989) Relaciones e informes de los gobernantes de la Nueva Granada, pp. 152-260. , tomo ii, editado por Germán Colmenares. Bogotá: Banco Popular; Gutiérrez de Piñeres, Francisco, (1792) Instrucción general para el recaudo del real ramo de alcabalas y Armada de Barlovento del Nuevo Reino de Granada, , Santafé: Imprenta de Don Antonio Espinosa de los Monteros; Mantilla Trolle, Marina, Sotelo, Rafael Diego Fernández, Torres, Agustín Moreno, (2008) Real Ordenanza para el establecimiento e instrucción de intendentes de exército y provincia en el reino de la Nueva España, , México: Universidad de Guadalajara; Colegio de Michoacán; Mendinueta, Pedro, Relación del estado del Nuevo Reino de Granada, presentado por el Excmo. Sr. Virrey D. Pedro Mendinueta a su sucesor el Excmo. Sr. D. Antonio Amar y Borbón (1989) Relaciones e informes de los gobernantes de la Nueva Granada, pp. 5-191. , tomo iii, editado por Germán Colmenares. Bogotá: Banco Popular; Ortega Ricaurte, Enrique, (1938) Actas de la junta municipal de propios de Santafé de Bogotá, , tomo i. Bogotá: Concejo Municipal de Bogotá; (1957) Cabildos de Santafé de Bogotá cabeza del Nuevo Reino de Granada, 1538-1810, , Bogotá: Empresa Nacional de Publicaciones; Pérez y López, Antonio, (1796) Teatro de la Legislación Universal de España e Indias, , tomo xi. Madrid: Imprenta de Ramón Ruiz; Hernández, Becerril, de Jesús, Carlos, Aspectos jurídicos de las instituciones fiscales novohispanas (2019) Hacienda e instituciones. Los erarios regio, eclesiástico y municipal en Nueva España: Coexistencia e interrelaciones, pp. 37-64. , editado por Yovana Celaya Nández y Ernest Sánchez Santiró. México: Instituto de Investigaciones Dr. José María Luis Mora; Universidad Veracruzana; Brading, David, (2016) Una Iglesia asediada: el obispado de Michoacán, 1749-1810, , México: Fondo de Cultura Económica; Brungardt, Maurice, (1974) Tithe Production and Patterns of Economic Change in Central Colombia, 1764-1833, , Tesis doctoral, University of Texas; Calderón, Clímaco, (1911) Elementos de hacienda pública, , Bogotá: Imprenta de la Luz; Castejón, Philippe, Reformar el imperio. El proceso de la toma de decisiones en la creación de las intendencias americanas (1765-1787) (2017) Revista de Indias, 77 (271), pp. 791-821. , https://doi.org/10.3989/revindias.2017.023; Celaya Nández, Yovana, Administrar y gobernar la hacienda local: contaduría, intendentes y regidores en el siglo xviii (2019) Hacienda e instituciones. Los erarios regio, eclesiástico y municipal en Nueva España: coexistencia e interrelaciones, pp. 259-292. , editado por Yovana Celaya Nández y Ernest Sánchez Santiró. México: Instituto de Investigaciones Dr. José María Luis Mora; Universidad Veracruzana; Celaya Nández, Yovana, Santiró, Ernest Sánchez, Hacienda e instituciones: historiografía y ejes de análisis en los erarios regio, eclesiástico y municipal de Nueva España (2019) Hacienda e instituciones. Los erarios regio, eclesiástico y municipal en Nueva España: coexistencia e interrelaciones, pp. 7-35. , editado por Yovana Celaya Nández y Ernest Sánchez Santiró. México: Instituto de Investigaciones Dr. José María Luis Mora; Universidad Veracruzana; Dubet, Anne, El marqués de la Ensenada y la vía reservada en el gobierno de la Hacienda americana: un proyecto de equipo (2016) Estudios de Historia Novohispana, (55), pp. 99-116. , https://doi.org/10.1016/j.ehn.2016.09.001; Galarza, Antonio Facundo, Recaudación fiscal, abasto y control del ganado en el Buenos Aires tardocolonial: los propios y arbitrios del Cabildo entre 1780 y 1820 (2017) América Latina en la Historia Económica, 24 (2), pp. 1-28. , https://doi.org/10.18232/alhe.v24i2.789; Galván Hernández, José Luis, (2017) Al mejor servicio del rey. La Junta Superior de Real Hacienda en Nueva España, , Tesis de Licenciatura en Historia, Instituto de Investigaciones Dr. José María Luis Mora, México; González Beltrán, Jesús Manuel, Haciendas locales y reformismo borbónico. Teoría y práctica en el municipio de Jerez de la Frontera (1992) Andalucía y América. Los cabildos andaluces y americanos. Su historia y su organización actual: Actas de las X Jornadas de Andalucía y América, pp. 189-208. , editado por Bibiano Torres Ramírez. Sevilla: Diputación de Huelva; González, Margarita, (2005) Ensayos de historia colonial colombiana, , Bogotá: Editorial Nomos; König, Hans-Joachim, (1994) En el camino hacia la nación: nacionalismo en el proceso de formación del Estado y de la nación de la Nueva Granada, 1750 a 1856, , Bogotá: Banco de la República; Kuethe, Allan J., (1993) Reforma militar y sociedad en la Nueva Granada 1773-1808, , Bogotá: Banco de la República; Malagón Pinzón, Miguel, El régimen de los intendentes en la Constitución de Cúcuta de 1821: Un modelo de administración policial en el Estado republicano (2008) Revista de Derecho, (30), pp. 114-140; Martínez Garnica, Armando, Ardila, Daniel Gutiérrez, (2010) Quién es quién en 1810: guía de forasteros del virreinato de Santa Fe, , Bogotá: Universidad del Rosario; Martínez Neira, Manuel, El municipio controlado. Los reglamentos de propios y arbitrios en las reformas carolinas (1997) América Latina en la Historia Económica, 4 (7), pp. 9-17. , https://doi.org/10.18232/alhe.v4i07.198; McFarlane, Anthony, (1997) Colombia antes de la independencia. Economía, sociedad y política bajo el dominio borbón, , Bogotá: Banco de la República; El Áncora; Meisel, Adolfo, Crecimiento, mestizaje y presión fiscal en el virreinato de la Nueva Granada, 1760-1800 Cuadernos de Historia Económica y Empresarial, (28), pp. 1-96. , https://doi.org/10.32468/chee.28; Mora, Gilma, Las cuentas de la Real Hacienda y la política fiscal en el Nuevo Reino de Granada: Materiales para su estudio a fines del siglo xviii (1983) Anuario Colombiano de Historia Social y de la Cultura, (11), pp. 305-335; Muñoz Rodríguez, Edwin, Independencia y actividad económica. Tendencias cuantitativas en la renta de alcabalas de Santafé, Virreinato de la Nueva Granada, 1780-1821 (2012) Consecuencias económicas de la Independencia, pp. 17-43. , editado por Heraclio Bonilla. Bogotá: Universidad Nacional de Colombia; Navarro García, Luis, (1959) Intendencias en Indias, , Sevilla: Escuela de Estudios Hispanoamericanos; (1995) Las reformas borbónicas en América el plan de intendencias y su aplicación, , Sevilla: Universidad de Sevilla; Ots Capdequi, José María, (1950) Instituciones de Gobierno del Nuevo Reino de Granada durante el siglo xviii, , Bogotá: Universidad Nacional de Colombia; (1946) Nuevos aspectos del siglo xviii español en América, , Bogotá: Editorial Centro; Palomeque, Silvia, El sistema de autoridades de pueblos de indios y sus transformaciones a fines del periodo colonial. El partido de Cuenca (1999) Dos décadas de investigación en historia económica comparada en América Latina: Homenaje a Carlos Sempat Assadourian, pp. 189-222. , editado por Margarita Menegus. México: El Colegio de México; Phelan, John, (1980) El pueblo y el rey. La revolución comunera en Colombia 1781, , Bogotá: Carlos Valencia Ediciones; Pinto Bernal, José Joaquín, (2018) Entre Colonia y República. Fiscalidad en Ecuador, Colombia y Venezuela, 1780-1845, , Bogotá: Instituto Colombiano de Antropología e Historia; Más allá de los sumarios de cargo y data: un acercamiento a las cuentas de la Caja Real de Santafé en la segunda mitad del siglo xviii América Latina en la Historia Económica, 27 (1), pp. 1-25. , https://doi.org/10.18232/alhe.1008; El régimen de intendencias sin intendentes. Las apelaciones en causas de Real Hacienda en el virreinato de Nueva Granada (2021) Gobierno y administración de los erarios regios indianos de la monarquía hispánica (1690-1810), pp. 107-142. , editado por Ernest Sánchez Santiró. México: Instituto de Investigaciones Dr. José María Luis Mora; (2019) Reformar y resistir. La Real Hacienda en Santafé, 1739-1808, , Ibagué: Universidad del Tolima; Reformas para el manejo de las rentas de propios en Santafé de Bogotá, 1791-1809 Anuario de Estudios Americanos, 78 (1), pp. 167-195. , https://doi.org/10.3989/aeamer.2021.1.06; Pogonyi, Micklos, (1978) The Search for Trade and Profits in Bourbon Colombia: 1765- 1777, , Tesis doctoral, Universidad de Nuevo México; Guerrero, Amado Antonio, Finanzas y administración del Cabildo de la ciudad de San Juan de Girón Historia Crítica, 14, pp. 81-98. , Rincón; Rodríguez, Óscar, Anotaciones al funcionamiento de la Real Hacienda en el Nuevo Reino de Granada. S. xviii (1983) Anuario Colombiano de Historia Social y de la Cultura, (11), pp. 71-88; Sánchez Santiró, Ernest, Constitucionalizar el orden fiscal en Nueva España: de la Ordenanza de Intendentes a la Constitución de Cádiz (1786-1814) (2015) Historia Mexicana, 65 (1), pp. 111-165. , https://doi.org/10.24201/hm.v65i1.3135; Sánchez Santiró, Ernest, Joaquín Pinto Bernal, José, El reformismo borbónico y pomba-lino: alcances y perspectivas Historia Caribe, 11 (29), pp. 13-18. , https://doi.org/10.15648/hc.29.2016.4, n; Serrano, José Manuel, (2004) Fortificaciones y tropas: el gasto militar en tierra firme, 1700-1788, , Sevilla: Escuela de Estudios Hispanoamericanos; Torres Güiza, Sebastián, Johan, Corrupción en la renta de tabaco del virreinato de Nueva Granada: El delito de malversación en la administración principal de Santafé (1778-1810) (2019) Historia y Memoria, (19), pp. 229-266. , https://doi.org/10.19053/20275137.n19.2019.8705; Vargas Lesmes, Julián, (1990) La sociedad de Santafé colonial, , Bogotá: Centro de Investigación y Educación Popular</t>
  </si>
  <si>
    <t>Bernal, J.J.P.; Historia de la Universidad Nacional de Colombia, 167-195, y los libros Reformar y resistir. La Real Hacienda en Santafé, Colombia; email: josejoaqo@yahoo.com</t>
  </si>
  <si>
    <t>Instituto Colombiano de Antropologia e Historia</t>
  </si>
  <si>
    <t>2-s2.0-85124453906</t>
  </si>
  <si>
    <t>De La Cruz R., Juajibioy J.</t>
  </si>
  <si>
    <t>Vanishing viscosity limit for Riemann solutions to a 2 × 2 hyperbolic system with linear damping</t>
  </si>
  <si>
    <t>Asymptotic Analysis</t>
  </si>
  <si>
    <t>https://www.scopus.com/inward/record.uri?eid=2-s2.0-85124383494&amp;doi=10.3233%2fASY-211690&amp;partnerID=40&amp;md5=f0a5fe3c5f58a694a5372c65e784fd32</t>
  </si>
  <si>
    <t>School of Mathematics and Statistics, Universidad Pedagógica y Tecnológica de Colombia, Av. Central del Norte 39-115 Of. M-101, Boyacá, Tunja, 150003, Colombia</t>
  </si>
  <si>
    <t>De La Cruz, R., School of Mathematics and Statistics, Universidad Pedagógica y Tecnológica de Colombia, Av. Central del Norte 39-115 Of. M-101, Boyacá, Tunja, 150003, Colombia; Juajibioy, J., School of Mathematics and Statistics, Universidad Pedagógica y Tecnológica de Colombia, Av. Central del Norte 39-115 Of. M-101, Boyacá, Tunja, 150003, Colombia</t>
  </si>
  <si>
    <t>In this paper, we propose a time-dependent viscous system and by using the vanishing viscosity method we show the existence of solutions for the Riemann problem to a particular 2 × 2 system of conservation laws with linear damping. © 2022 - IOS Press. All rights reserved.</t>
  </si>
  <si>
    <t>delta shock wave solution; linear damping; Nonstrictly hyperbolic system; Riemann problem; time-dependent viscous system</t>
  </si>
  <si>
    <t>Damping; Shock waves; Viscosity; Delta shock wave solution; Delta shock waves; Hyperbolic system; Linear damping; Non-strictly hyperbolic; Nonstrictly hyperbolic system; Riemann problem; Shock-wave solutions; Time dependent; Time-dependent viscous system; Viscous systems; Partial differential equations</t>
  </si>
  <si>
    <t>Barenblatt, G.I., (1996) Scaling, Self-Similarity, and Intermediate Asymptotics, , Cambridge University Press; Crighton, D.G., Model equations of nonlinear acoustics (1979) Annu. Rev. Fluid Mech., 11, pp. 11-33; Crighton, D.G., Scott, J.F., Asymptotic solution of model equations in nonlinear acoustics (1979) Phil. Trans. Koy Sot., A292, pp. 101-134; Dafermos, C.M., Solutions of the Riemann problem for a class of hyperbolic systems of conservation laws by the viscosity method (1973) Arch. Ration. Mech. Anal., 52, pp. 1-9; De La Cruz, R., Riemann problem for a 2×2 hyperbolic system with linear damping (2020) Acta Appl.Math., 170, pp. 631-647; De La Cruz, R., Santos, M., Delta shock waves for a system of Keyfitz-Kranzer type (2019) Z. Angew. Math. Mech., 99, p. e201700251; Doyle, J., Englefield, M.J., Similarity solutions of a generalized Burgers equation (1990) IMA Journal of Applied Mathematics, 44, pp. 145-153; Ercole, G., Delta-shock waves as self-similar viscosity limits (2000) Quart. Appl. Math., 108 (1), pp. 177-199; Henriksen, R.N., (2015) Scale Invariance: Self-Similarity of the Physical World, , Wiley-VCH; Isaacson, E.L., Temple, B., Analysis of a singular hyperbolic system of conservation laws (1986) J. Differential Equations, 65, pp. 250-268; Joseph, K.T., A Riemann problem whose viscosity solution contain measures (1993) Asymptot. Anal., 7, pp. 105-120; Lefloch, P.G., Entropy weak solutions to nonlinear hyperbolic systems under nonconservative form (1988) Communications in Partial Differential Equation, 13, pp. 669-727; Lou, Y.Q., Wang, W.G., New self-similar solutions of polytropic gas dynamics (2006) Mon. Not. Roy. Astron. Soc., 372, pp. 885-900; Mayil Vaganan, B., Senthil Kumaran, M., Kummer function solutions of damped Burgers equations with timedependent viscosity by exact linearization (2008) Nonlinear Anal.: Real World Appl., 9, pp. 2222-2233; Polyanin, A.D., Zaitsev, V.F., (2003) Handbook of Nonlinear Partial Differential Equations, , Chapman &amp; Hall/CRC; Sachdev, P.L., (2000) Self-Similarity and Beyond: Exact Solutions of Nonlinear Problems, Monographs and Surveys in Pure and Applied Mathematics 113, , Chapman &amp; Hall/CRC; Sackand, C., Schamel, H., Nonlinear dynamics in expanding plasmas (1985) Phys. Lett. A, 110, pp. 206-212; Scott, J.F., The long time asymptotics of solution to the generalized Burgers equation (1981) Proc. Roy. Sot. Land. A, 373, pp. 443-456; Shandarin, S.F., Zeldovich, Y.B., Large-scale structure of the universe: Turbulence (1989) Intermittency, Structures in A Selfgravitating Medium, Rev. Modern Phys., 61, pp. 185-220; Suto, Y., Silk, J., Self-similar dynamics of polytropic gaseous spheres (1988) Astrophys. J., 326, pp. 527-538; Tan, D., Zhang, T., Zheng, Y., Delta shock waves as limits of vanishing viscosity for hyperbolic systems of conservation laws (1994) J. Differential Equations, 112, pp. 1-32; Tupciev, V.A., On the method of introducing viscosity in the study of problems involving decay of a discontinuity (1973) Dokl. Akad. Nauk SSR, 211, pp. 55-58; Volpert, A.I., The space BV and quasilinear equations (1967) Math. Sbornik., 73, pp. 225-267; Wang, J., Zhang, H., Existence and decay rates of solutions to the generalized Burgers equation (2003) J. Math. Anal. Appl., 284, pp. 213-235; Wang, J.H., Zhang, H., A new viscous regularization of the Riemann problem for Burger's equation (2000) J. Partial Diff. Eqs., 13, pp. 253-263; Yang, H., Riemann problems for a class of coupled hyperbolic systems of conservation laws (1999) J. Differential Equations, 159, pp. 447-484; Yang, H., Zhang, Y., New developments of delta shock waves and its applications in systems of conservation laws (2012) J. Differential Equations, 252, pp. 5951-5993; Zhang, H., Global existence and asymptotic behaviour of the solution of a generalized Burger's equation with viscosity (2001) Computers Math. Applic., 41, pp. 589-596; Zhang, H., Wang, X., Large-time behavior of smooth solutions to a nonuniformly parabolic equation (2004) Computers Math. Applic., 47, pp. 353-363</t>
  </si>
  <si>
    <t>De La Cruz, R.; School of Mathematics and Statistics, Av. Central del Norte 39-115 Of. M-101, Boyacá, Colombia; email: richard.delacruz@uptc.edu.co</t>
  </si>
  <si>
    <t>IOS Press BV</t>
  </si>
  <si>
    <t>ASANE</t>
  </si>
  <si>
    <t>Asymptotic Anal</t>
  </si>
  <si>
    <t>2-s2.0-85124383494</t>
  </si>
  <si>
    <t>Periñán-Morales A.A., Viáfara-González J.J., Arcila-Valencia J.A.</t>
  </si>
  <si>
    <t>57446797200;57190617039;57446259500;</t>
  </si>
  <si>
    <t>Triggering Factors that Reinforce or Change EFL Preservice Teachers’ Beliefs During the Practicum [Factores que refuerzan o cambian creencias en futuros maestros practicantes de inglés]</t>
  </si>
  <si>
    <t>https://www.scopus.com/inward/record.uri?eid=2-s2.0-85124339708&amp;doi=10.15446%2fprofile.v24n1.90342&amp;partnerID=40&amp;md5=4f5256b6cb9a10ec8cdb6930aa913335</t>
  </si>
  <si>
    <t>Institución Educativa Juan Bautista la Salle, Florencia, Colombia; Universidad Pedagógica y Tecnológica de Colombia, Tunja, Colombia; Institución Educativa Sagrados Corazones, Florencia, Colombia</t>
  </si>
  <si>
    <t>Periñán-Morales, A.A., Institución Educativa Juan Bautista la Salle, Florencia, Colombia; Viáfara-González, J.J., Universidad Pedagógica y Tecnológica de Colombia, Tunja, Colombia; Arcila-Valencia, J.A., Institución Educativa Sagrados Corazones, Florencia, Colombia</t>
  </si>
  <si>
    <t>This exploratory case study seeks to examine the role that specific factors exert on the evolution of beliefs in preservice English teachers during their final teaching practicum. Data were collected through reflections, interviews, focus groups, and observations. The findings revealed that three groups of factors affect belief evolution during the practicum: participant subjectivity, contextual circumstances, and university support community. Subjectivities encompassed preservice teachers’ fears, reactions to real-life teaching challenges, and enthusiasm to become teachers. Contextual circumstances incorporated classroom circumstances and cooperating teachers. The university support community concerned their peers and the university tutor. Implications discuss the relevance of curricular and reflective agendas that enrich the education of future teachers through beliefs exploration. © 2022, Universidad Nacional de Colombia. All rights reserved.</t>
  </si>
  <si>
    <t>English teaching; Preservice teachers; Teachers’ beliefs; Teaching practicum</t>
  </si>
  <si>
    <t>Abelson, R. P., Differences between belief and knowledge systems (1979) Cognitive Science, 3 (4), pp. 355-366. , https://doi.org/10.1207/s15516709cog0304_4; Aguirre-Sánchez, I., Exploring pre-service efl teachers’ beliefs about their roles in an elementary school class-room in regard to pedagogical and emotional aspects of students (2014) how, 21 (1), pp. 26-41. , https://doi.org/10.19183/how.21.1.13; Anderson, N. A., Barksdale, M. A., Hite, C. E., Preservice teachers’ observations of cooperating teachers and peers while participating in an early field experience (2005) Teacher Education Quarterly, 32 (4), pp. 97-117. , https://www.jstor.org/stable/23478748; Barahona, M., Pre-service teachers’ beliefs in the activity of learning to teach English in the Chilean context (2014) Cultural-Historical Psychology, 10 (2), pp. 116-122; Barcelos, A. M. F., Ruohotie-Lyhty, M., Teachers’ emotions and beliefs in second language teaching: Implications for teacher education (2018) Emotions in second language teaching, pp. 109-124. , https://doi.org/10.1007/978-3-319-75438-3_7, J. Martínez (Ed), –). Springer; Biesta, G., Priestley, M., Robinson, S., The role of beliefs in teacher agency (2015) Teachers and Teaching, 21 (6), pp. 624-640. , https://doi.org/10.1080/13540602.2015.1044325; Borg, M., Teachers’ beliefs (2001) elt Journal, 55 (2), pp. 186-188. , https://doi.org/10.1093/elt/55.2.186; Borg, S., Teacher cognition in language teaching: A review of research on what language teachers think, know, believe, and do (2003) Language Teaching, 36 (2), pp. 81-109. , https://doi.org/10.1017/S0261444803001903; Calderhead, J., Robson, M., Images of teaching: Student teachers’ early conceptions of classroom practice (1991) Teaching and Teacher Education, 7 (1), pp. 1-8. , https://doi.org/10.1016/0742-051X(91)90053-R; Çapan, S. A., Pre-service English as a foreign language teachers’ belief development about grammar instruction (2014) Australian Journal of Teacher Education, 39 (12), pp. 132-152. , https://doi.org/10.14221/ajte.2014v39n12.9; Castellanos-Jaimes, J., The role of English pre-service teachers’ beliefs about teaching in teacher education programs (2013) Profile: Issues in Teachers’ Professional Develop-ment, 15 (1), pp. 195-206. , https://revistas.unal.edu.co/index.php/profile/article/view/37878; Clarke, A., Triggs, V., Nielsen, W., Cooperating teacher participation in teacher education: A review of the literature (2014) Review of Educational Research, 84 (2), pp. 163-202. , https://doi.org/10.3102/0034654313499618; Cota-Grijalva, S. D., Ruiz-Esparza-Barajas, E., Pre-service teachers’ beliefs about language teaching and learning: A longitudinal study (2013) Profile: Issues in Teachers’ Professional Development, 15 (1), pp. 81-95. , https://revistas.unal.edu.co/index.php/profile/article/view/37866; Creswell, J. W., (2012) Educational research: Planning, con-ducting, and evaluating quantitative and qualitative research, , (4th ed). Pearson; Danielewicz, J., (2001) Teaching selves: Identity, pedagogy and teacher education, , State University New York Press; Debreli, E., Pre-service teachers’ belief change and practical knowledge development during the course of practicum (2016) Journal of Education and Training Studies, 4 (7), pp. 37-46. , https://doi.org/10.11114/jets.v4i7.1513; Debreli, E., Pre-service teachers’ belief sources about learning and teaching: An exploration with the consideration of the educational programme Nature (2016) Higher Education Studies, 6 (1), pp. 116-127. , https://doi.org/10.5539/hes.v6n1p116; Durán-Narváez, N. C., Lastra-Ramírez, S. P., Morales-Vasco, A. M., Autobiographies: A way to explore student-teachers’ beliefs in a teacher education program (2013) Profile: Issues in Teachers’ Professional Development, 15 (2), pp. 35-47. , https://revistas.unal.edu.co/index.php/profile/article/view/36319; Durán-Narváez, N. C., Lastra-Ramírez, S. P., Morales-Vasco, A. M., Beliefs of pre-service teachers about English language teaching: Reflection and practice (2017) Folios, 45 (1), pp. 177-193. , https://doi.org/10.17227/01234870.45folios177.193; Fajardo, A., Stated vs. enacted beliefs: Looking at pre-service teachers’ pedagogical beliefs through classroom interaction (2013) Íkala, Revista de Lenguaje y Cultura, 18 (2), pp. 37-57. , https://revistas.udea.edu.co/index.php/ikala/article/view/15013; Farrell, T. S. C., (2017) Research on reflective practice in tesol, , https://doi.org/10.4324/9781315206332, Routledge; Green, T. F., (1971) The activities of teaching, , McGraw-Hill; Gutiérrez, C., Beliefs, attitudes, and reflections of efl pre-service teachers while exploring critical literacy theories to prepare and implement critical lessons (2015) Colombian Applied Linguistics Journal, 17 (2), pp. 179-192. , https://doi.org/10.14483/udistrital.jour.calj.2015.2.a01; Hatch, J. A., (2002) Doing qualitative research in education settings, , suny Press; John, P. D., Lesson planning and the student teacher: Re‐thinking the dominant model (2006) Journal of Curriculum Studies, 38 (4), pp. 483-498. , https://doi.org/10.1080/00220270500363620; Kalaja, P., Barcelos, A. M., Aro, M., Ruohotie-Lyhty, M., (2015) Beliefs, agency and identity in foreign language learning and teaching, , https://doi.org/10.1057/9781137425959, Palgrave Macmillan; Kramsch, C., Subjectivity (2012) The encyclopedia of applied linguistics, pp. 1-6. , https://doi.org/10.1002/9781405198431.wbeal1122, C. A. Chapelle (Ed), –). Blackwell Wiley; Kumar, R., (2011) Research methodology: A step-by-step guide for beginners, , Sage Publications; Kumaravadivelu, B., (2012) Language teacher education for a global society: A modular model for knowing, analyzing, recognizing, doing, and seeing, , Routledge; Kwok, A., Pre-service teachers’ classroom management beliefs and associated teacher characteristics (2020) Educational Studies, 46 (1), pp. 1-19. , https://doi.org/10.1080/03055698.2020.1717932; Lortie, D. C., (1975) Schoolteacher: A sociological study, , (1st ed). University of Chicago Press; Macías, D. F., Sánchez, J. A., Classroom management: A persistent challenge for preservice foreign language teachers (2015) Profile: Issues in Teachers’ Professional Devel-opment, 17 (2), pp. 81-99. , https://doi.org/10.15446/profile.v17n2.43641; Mattheoudakis, M., Tracking changes in pre-service efl teacher beliefs in Greece: A longitudinal study (2007) Teaching and teacher education, 23 (8), pp. 1272-1288. , https://doi.org/10.1016/j.tate.2006.06.001; Merriam, S. B., (2009) Qualitative research: A guide to design and implementation, , (1st ed). Jossey-Bass; Nespor, J., The role of beliefs in the practice of teaching (1987) Journal of Curriculum Studies, 19 (4), pp. 317-328. , https://doi.org/10.1080/0022027870190403; Özmen, K. S., Exploring student teachers’ beliefs about language learning and teaching: A longitudinal study (2012) Current Issues in Education, 15 (1), pp. 1-15. , https://cie.asu.edu/ojs/index.php/cieatasu/article/view/819; Pajares, M. F., Teachers’ beliefs and educational research: Cleaning up a messy construct (1992) Review of Educational Research, 62 (3), pp. 307-332. , https://doi.org/10.3102/00346543062003307; Prilop, C. N., Weber, K. E., Kleinknecht, M., How digital reflection and feedback environments contribute to pre-service teachers’ beliefs during a teaching practicum (2019) Studies in Educational Evaluation, 62, pp. 158-170. , https://doi.org/10.1016/j.stueduc.2019.06.005; Richardson, V., Preservice teachers’ beliefs (2003) Teachers’ beliefs and classroom performance: The impact of teacher education, pp. 1-22. , J. Raths &amp; A. C. McAninch (Eds), –). Information Age Publishing; Sánchez-Solarte, A. C., Obando-Guerrero, G. V., Is Colombia ready for “bilingualism”? (2008) Profile: Issues in Teachers’ Professional Development, 9 (1), pp. 181-195. , https://revistas.unal.edu.co/index.php/profile/article/view/10715; Sheridan, L., Examining changes in pre-service teachers’ beliefs of pedagogy (2016) Australian Journal of Teacher Education, 41 (3), pp. 1-20. , https://doi.org/10.14221/ajte.2016v41n3.1; Shooshtari, Z., Razavipur, K., Takrimi, A., Pre-service language teachers’ cognitions about language learning/ teaching and cognition refinements through a reflection-oriented practicum (2017) Iranian Journal of Applied Linguistics, 20 (1), pp. 185-217. , https://doi.org/10.29252/ijal.20.1.185; Suárez-Flórez, S. A., Basto-Basto, E. A., Identifying pre-service teachers’ beliefs about teaching efl and their potential changes (2017) Profile: Issues in Teachers Professional Development, 19 (2), pp. 167-184. , https://doi.org/10.15446/profile.v19n2.59675; Vacilotto, S., Cummings, R., Peer coaching in tefl/ tesl programmes (2007) elt Journal, 61 (2), pp. 153-160. , https://doi.org/10.1093/elt/ccm008; Yalcin-Arslan, F., Reflection in pre-service teacher education: exploring the nature of four efl pre-service teachers’ reflections (2019) Reflective Practice, 20 (1), pp. 111-124. , https://doi.org/10.1080/14623943.2018.1564652; Yuan, R., Lee, I., Pre-service teachers’ changing beliefs in the teaching practicum: Three cases in an efl context (2014) System, 44, pp. 1-12. , https://doi.org/10.1016/j.system.2014.02.002; Zeichner, K., Designing educative practicum experiences for prospective teachers (1996) Currents of reform in preservice teacher education, pp. 123-144. , K. Zeichner, S. Melnick, &amp; M. L. Gomez (Eds), –). Teachers College Press; Zheng, H., A review of research on efl pre-service teachers’ beliefs and practices (2009) Journal of Cambridge Studies, 4 (1). , https://doi.org/10.17863/CAM.1579; Zheng, H., (2015) Teacher beliefs as a complex system: English language teachers in China, , https://doi.org/10.1007/978-3-319-23009-2, Springer International Publishing</t>
  </si>
  <si>
    <t>2-s2.0-85124339708</t>
  </si>
  <si>
    <t>Morillo A.C., Mora M.S., Morillo Y.</t>
  </si>
  <si>
    <t>56382818800;57436655400;57222638267;</t>
  </si>
  <si>
    <t>Analysis of the genetic diversity of Dragon fruit based on ISSR markers in Colombia [Análise da diversidade genética da fruta do dragão com base em marcadores ISSR na Colômbia]</t>
  </si>
  <si>
    <t>https://www.scopus.com/inward/record.uri?eid=2-s2.0-85123900998&amp;doi=10.1590%2f1519-6984.256451&amp;partnerID=40&amp;md5=1d98f2378c5416e773d4ce3f46a1d0b9</t>
  </si>
  <si>
    <t>Universidad Pedagógica y Tecnológica de Colombia, Facultad de Ciencias Agropecuarias, Boyacá, Tunja, Colombia; Universidad Pedagógica y Tecnológica de Colombia, Grupo Competitividad Innovación y Desarrollo Empresarial – CIDE, Boyacá, Tunja, Colombia; Corporación Colombiana de Investigación Agropecuaria – AGROSAVIA, Valle del Cauca, Palmira, Colombia</t>
  </si>
  <si>
    <t>Morillo, A.C., Universidad Pedagógica y Tecnológica de Colombia, Facultad de Ciencias Agropecuarias, Boyacá, Tunja, Colombia; Mora, M.S., Universidad Pedagógica y Tecnológica de Colombia, Grupo Competitividad Innovación y Desarrollo Empresarial – CIDE, Boyacá, Tunja, Colombia; Morillo, Y., Corporación Colombiana de Investigación Agropecuaria – AGROSAVIA, Valle del Cauca, Palmira, Colombia</t>
  </si>
  <si>
    <t>Selenicereus megalanthus H. is a tropical fruit belonging to the family Cactaceae, is rich in essential nutrients, antioxidants and bioactive components. It presents wide variability in different characteristics and a great demand in the market; however, genetic studies in Colombia are scarce. The main of this study was to characterize the genetic diversity of 76 yellow pitahaya genotypes with eight ISSR markers. Genetic parameters expected average heterozygosity (He), percentage of polymorphic loci, genetic distances and Fst were estimated with TFPGA. The analysis of the population genetic structure was carried out with the STRUCTURE 2.3.4. As a result, 225 alleles were generated and the number of polymorphic loci ranged 85 (CT, AG) to 90 (GT). High genetic diversity was found, with an average value of heterozygosity was 0.34 with a genetic differentiation coefficient (Fst) of 0.26, indicating that there was a great genetic diversity, similar values than those reported in other studies of pitahaya genetic diversity in Colombia. The 76 genotypes were grouped into K=3 according to geographic location, however, in some groups a mixture of individuals from different origins was observed. The analysis of molecular variance (AMOVA) showed higher variation (75%) within groups than among groups (25%). These results provide information that can be used to develop conservation strategies for dragon fruit and breeding programs to obtain more productive pitahaya genotypes with superior quality, high yield and with resistance to biotic and abiotic factors. © 2022, Instituto Internacional de Ecologia. All rights reserved.</t>
  </si>
  <si>
    <t>breeding; genetic markers; genetic structure; germplasm; Selenicereus megalanthus</t>
  </si>
  <si>
    <t>adult; allele; article; breeding; Colombia; genetic distance; genetic marker; genetic parameters; genetic variability; genotype; heterozygosity; Hylocereus undatus; nonhuman; population genetic structure; Cactaceae; Colombia; Fruit; Genetic Variation; Humans; Microsatellite Repeats</t>
  </si>
  <si>
    <t>The authors gratefully acknowledge the: “Patrimonio Autónomo Fondo Nacional de Financiamiento para la Ciencia, la Tecnología y la Innovación Francisco José de Caldas-MinCiencias. Gobernación de Boyacá”. Cód: 110986575466, for the research financial support.</t>
  </si>
  <si>
    <t>ABIRAMI, K., SWAIN, S., BASKARAN, V., VENKATESAN, K., SAKTHIVEL, K., BOMMAYASAMY, N., Distinguishing three Dragon fruit (Hylocereus spp.) species grown in Andaman and Nicobar Islands of India using morphological, biochemical and molecular traits (2021) Scientific Reports, 11 (1), p. 2894. , http://dx.doi.org/10.1038/s41598-021-81682-x, PMid:33536453; CAETANO, M.C., TAMAYO, F., MUÑOZ, J.E., MORALES, J.G., SUÁREZ, R.S., SANDOVAL, C.L., MARTÍNEZ, M.A., PÉREZ, L.F., Enfoque multidisciplinario para solución en el agro colombiano: el caso Pitahaya amarilla Selenicereus megalanthus (2011) Revista de la Asociación Colombiana de Ciencias Biológicas, 1 (23), pp. 52-64; CASTAÑEDA-CARDONA, C.C., MORILLO-CORONADO, Y., MORILLO, A., Assessing the genetic diversity of Dioscorea alata and related species from Colombia through inter-simple sequence repeat (ISSR) markers (2020) Chilean Journal of Agricultural Research, 80 (4), pp. 608-616. , http://dx.doi.org/10.4067/S0718-58392020000400608; DELLAPORTA, S.L., WOOD, J., HICKS, J.B., A plant DNA minipreparation: version II (1983) Plant Molecular Biology Reporter, 1 (1), pp. 19-21. , http://dx.doi.org/10.1007/BF02712670; DOTOR, M.Y., GONZÁLEZ, L.A., CASTRO, M.A., MORILLO, A.C., MORILLO, Y., Análisis de la diversidad genética de la mora (Rubus spp.) en el departamento de Boyacá (2016) Biotecnologia en el Sector Agropecuario y Agroindustrial, 14 (2), pp. 10-17. , http://dx.doi.org/10.18684/BSAA(14)10-17; EVANNO, G., REGNAUT, S., GOUDET, J., Detecting the number of clusters of individuals using the software structure: a simulation study (2005) Molecular Ecology, 14 (8), pp. 2611-2620. , http://dx.doi.org/10.1111/j.1365-294X.2005.02553.x, PMid:15969739; GARCÍA AGUILAR, M.A., TERRAZAS, T., SEGURA LEÓN, O., ARIAS, S., VIBRANS, H., LÓPEZ-MATA, L., Caracterización molecular de tres especies de Hylocereus (Cactaceae) presentes en México (2013) Revista Fitotecnia Mexicana, 36 (1), pp. 13-22. , http://dx.doi.org/10.35196/rfm.2013.1.13; GONZÁLEZ, M.A., PERAZA, A.R., BROCHERO, H., Insectos asociados a cultivos de pitaya amarilla (Selenicerus megalanthus) en Inzá, Cauca, Colombia (2019) Revista Colombiana de Entomologia, 45 (2), pp. 1-8. , http://dx.doi.org/10.25100/socolen.v45i2.7961; LI, D., ARROYAVE MARTINEZ, M.F., SHAKED, R., TEL-ZUR, N., Homozygote depression in gamete-derived dragon-fruit (Hylocereus) lines (2018) Frontiers in Plant Science, 8 (2142), p. 2142. , http://dx.doi.org/10.3389/fpls.2017.02142, PMid:29354138; MARTÍNEZ, M.A., MORILLO, A.C., REYES-ARDILA, L., Characterization of the genetic diversity in Passiflora spp. in the Boyacá department, Colombia (2020) Chilean Journal of Agricultural Research, 80 (3), pp. 342-351. , http://dx.doi.org/10.4067/S0718-58392020000300342; MARTÍNEZ, R., LIVERA, M., MÁRQUEZ, G.J., Caracterización morfológica y compatibilidad sexual de cinco genotipos de pitahaya (Hylocereus undatus) (2015) Agrociencia, 39 (2), pp. 183-194; MEJÍA, H.A., MURIEL, S.B., MONTOYA, C.A., REYES, C., In situ morphological characterization of Hylocereus spp. (fam.: Cactaceae) genotypes from Antioquia and Córdoba (Colombia) (2013) Revista Facultad Nacional de Agronomía, 66 (1), pp. 6845-6854; MORILLO, A.C., TOVAR, Y.P., MORILLO, Y., Caracterización morfológica de Selenicerus megalanthus (K. Schum. ex Vaupel) moran en la provincia de Lengupá (2016) Ciencia y Desarrollo, 7 (2), pp. 23-33. , http://dx.doi.org/10.19053/01217488.v7.n2.2016.4072; MORILLO, A.C., TOVAR, Y.P., MORILLO, Y., Caracterización molecular de pitahaya amarilla (Selenicereus megalanthus Haw.) en la provincia de Lengupá, Boyacá-Colombia (2017) Biotecnologia en el Sector Agropecuario y Agroindustrial, 15 (1), pp. 11-18. , http://dx.doi.org/10.18684/BSAA(15)11-18; NASHIMA, K., HOSAKA, F., SHIMAJIRI, Y., MATSUMURA, M., TARORA, K., URASAKI, N., SHODA, M., YAMAMOTO, T., SSR marker development and genetic identification of pitaya (Hylocereus spp.) collected in Okinawa, prefecture, Japan (2021) The Horticulture Journal, 90 (1), pp. 23-30. , http://dx.doi.org/10.2503/hortj.UTD-220; NEI, M., LI, W.H., Mathematical model for studying genetic variation in terms of restriction endonucleases (1979) Proceedings of the National Academy of Sciences of the United States of America, 76 (10), pp. 5269-5273. , http://dx.doi.org/10.1073/pnas.76.10.5269, PMid:291943; OLIVEIRA, M.M., SHUHUA, L., KUMBHA, D.S., ZURGIL, U., RAVEH, E., TEL-ZUR, N., Performance of Hylocereus (Cactaceae) species and interspecific hybrids under high-temperatures stress (2020) Plant Physiology and Biochemistry, 153 (1), pp. 30-39. , http://dx.doi.org/10.1016/j.plaphy.2020.04.044, PMid:32474384; OTT, J., Strategies for characterizing highly polymorphic markers in human genes mapping (1992) American Journal of Human Genetics, 51 (2), pp. 283-290. , PMid:1642229; PAGLIACCIA, D., VIDALAKIS, G., DOUHAN, G., LOBO, R., TANIZAKI, G., Genetic characterization of pitahaya accessions based on amplified fragment length polymorphism analysis (2015) HortScience, 50 (3), pp. 332-336. , http://dx.doi.org/10.21273/HORTSCI.50.3.332; PÁSKO, P., GALANTY, A., ZAGRODZKI, P., GYU KU, Y., LUKSIRIKUL, P., WEISZ, M., GORINSTEIN, S., Bioactivity and cytoxicity of different species of pitaya fruits-: a comparative study with advanced chemometric analysis (2021) Food Bioscience, 40 (1), pp. 1-8; PRITCHARD, J.K., STEPHENS, M., DONNELLY, P., Inference of population structure using multilocus genotype data (2000) Genetics, 155 (2), pp. 945-959. , http://dx.doi.org/10.1093/genetics/155.2.945, PMid:10835412; QUIROZ, B., GARCÍA, M.R., GARCÍA, J., COLINAS, M.T.B., Pitaya (Stenocereus spp.): an under-utilized fruit (2018) Journal of the Professional Association for Cactus Development, 20 (1), pp. 82-100; (2021), https://www.agronet.gov.co/estadistica/Paginas/home.aspx/cod=1, [viewed August 2021]; RIFAT, T., KHAN, K., ISLAM, M.S., Genetic diversity in dragon fruit (Hylocereus sp.) germplasms revealed by RAPD marker (2019) The Journal of Animal &amp; Plant Sciences, 29 (3), pp. 809-818; THOKCHOM, A., HAZARIKA, B.N., ANGAMI, T., Dragon fruit: an advanced potential crop for Northeast India (2019) Agriculture &amp; Food, 1 (1), pp. 253-256; WRIGHT, S., (1978) Evolution and the genetics of populations, variability within and among natural populations, 4. , Chicago: University of Chicago; ZAIN, N.M., NAZERI, M.A., AZMAN, N.A., Assessment on bioactive compounds and the effect of microwave on pitaya peel (2019) Jurnal Teknologi, 81 (2), pp. 11-19; ZHIJIANG, W., FENGZHU, H., LIFANG, H., GUIFENG, L., GUIDONG, L., ZHENYING, L., CHAOAN, L., HAIYAN, D., Genetic Characterization of pitaya accessions based on ISSR analysis (2021) Redai Zuowu Xuebao, 42 (2), pp. 47-53</t>
  </si>
  <si>
    <t>2-s2.0-85123900998</t>
  </si>
  <si>
    <t>Aristizábal-Pachón A.F., González-Giraldo Y., García A.Y., Suarez D.X., Rodríguez A., Gonzalez-Santos J.</t>
  </si>
  <si>
    <t>56940889900;56578695700;57226335900;57434489900;57434432000;24435661900;</t>
  </si>
  <si>
    <t>Association between VDR Gene Polymorphisms and Melanoma Susceptibility in a Colombian Population</t>
  </si>
  <si>
    <t>Asian Pacific Journal of Cancer Prevention</t>
  </si>
  <si>
    <t>10.31557/APJCP.2022.23.1.79</t>
  </si>
  <si>
    <t>https://www.scopus.com/inward/record.uri?eid=2-s2.0-85123816994&amp;doi=10.31557%2fAPJCP.2022.23.1.79&amp;partnerID=40&amp;md5=f51fabeacca4e9c965e69434de86e162</t>
  </si>
  <si>
    <t>Department of Nutrition and Biochemistry, Faculty of Sciences, Pontificia Universidad Javeriana, DC, Bogotá, Colombia; University of Cundinamarca, Colombia; Pedagogical and Technological University of Colombia, Colombia</t>
  </si>
  <si>
    <t>Aristizábal-Pachón, A.F., Department of Nutrition and Biochemistry, Faculty of Sciences, Pontificia Universidad Javeriana, DC, Bogotá, Colombia; González-Giraldo, Y., Department of Nutrition and Biochemistry, Faculty of Sciences, Pontificia Universidad Javeriana, DC, Bogotá, Colombia; García, A.Y., Department of Nutrition and Biochemistry, Faculty of Sciences, Pontificia Universidad Javeriana, DC, Bogotá, Colombia; Suarez, D.X., University of Cundinamarca, Colombia; Rodríguez, A., Pedagogical and Technological University of Colombia, Colombia; Gonzalez-Santos, J., Department of Nutrition and Biochemistry, Faculty of Sciences, Pontificia Universidad Javeriana, DC, Bogotá, Colombia</t>
  </si>
  <si>
    <t>Background: The vitamin D receptor (VDR) is responsible for mediating the effects of vitamin D through regulation of other gene transcriptions. There are several polymorphisms that alter the gene expression or the function of this protein. We aimed to analyze the association between two SNPs of VDR gene and melanoma cancer in Colombian patients. Methods: We included 120 healthy individual as controls and 120 melanoma cancer patients as cases. Patients in both groups were matched in terms of gender and age. The genotyping of rs731236 and rs2228570 polymorphisms was performed using PCR-RFLP. The SNPStats program was used to carry out the statistical analysis through a logistic regression model. Results: Under dominant model, we found that rs2228570 polymorphism was associated with melanoma cancer risk (C/C vs C/T-T/T, OR: 5.10, 95% CI: 2.85-9.14), whereas rs731236 polymorphism was associated with a protective effect against this cancer (T/T vs T/C, OR: 0.27, 95% CI: 0.14-0.53). Conclusion: Our results suggested that both polymorphisms were involved in the development of melanoma cancer, increasing or decreasing this risk. © This work is licensed under a Creative Commons Attribution-Non Commercial 4.0 International License.</t>
  </si>
  <si>
    <t>Cancer; Fok1 and taq1 genes; Pcr-rflps; Rs2228570; Rs731236</t>
  </si>
  <si>
    <t>calcitriol receptor; VDR protein, human; case control study; Colombia; ethnicity; ethnology; female; genetic predisposition; genetics; genotype; human; male; melanoma; middle aged; restriction fragment length polymorphism; single nucleotide polymorphism; Case-Control Studies; Colombia; Ethnicity; Female; Genetic Predisposition to Disease; Genotype; Humans; Male; Melanoma; Middle Aged; Polymorphism, Restriction Fragment Length; Polymorphism, Single Nucleotide; Receptors, Calcitriol</t>
  </si>
  <si>
    <t>Receptors, Calcitriol; VDR protein, human</t>
  </si>
  <si>
    <t>YGG was supported by a post-doctoral fellowship from Minciencias (Grant No. 695-2020) and a PhD fellowship from Centro de Estudios Interdisciplinarios Básicos y Aplicados CEIBA (Rodolfo Llinás Program).</t>
  </si>
  <si>
    <t>Abbas, O, Miller, DD, Bhawan, J, Cutaneous malignant melanoma: update on diagnostic and prognostic biomarkers (2014) Am JDermatopathol, 36, pp. 363-379; Aristizabal-Pachon, AF, Carvalho, TI, Carrara, HH, AXIN2 polymorphisms, the beta-Catenin destruction complex expression profile and breast cancer susceptibility (2015) Asian Pac J Cancer Prev, 16, pp. 7277-7284; Aristizabal-Pachon, AF, Castillo, WO, Role of GSK3beta in breast cancer susceptibility (2017) Cancer Biomark, 18, pp. 169-175; Aristizabal-Pachon, AF, de Carvalho, TI, Carrara, HH, Detection of human mammaglobin A mRNA in peripheral blood of breast cancer patients before treatment and association with metastasis (2015) J Egypt Natl Canc Inst, 27, pp. 217-222; Aristizabal-Pachon, AF, Takahashi, CS, Effect of genetics, epigenetics and variations in the transcriptional expression of cadherin-E in breast cancer susceptibility (2016) Biomedica, 36, pp. 593-602; Birke, M, Schope, J, Wagenpfeil, S, Association of Vitamin D receptor gene polymorphisms with melanoma risk: A Meta-analysis and Systematic Review (2020) Anticancer Res, 40, pp. 583-595; Cieslinska, A, Kostyra, E, Fiedorowicz, E, Single nucleotide polymorphisms in the Vitamin D receptor gene (VDR) may have an impact on acute pancreatitis (AP) development: A Prospective Study in Populations of AP Patients and Alcohol-Abuse Controls (2018) Int J Mol Sci, 19; Curran, JE, Vaughan, T, Lea, RA, Association of A vitamin D receptor polymorphism with sporadic breast cancer development (1999) Int J Cancer, 83, pp. 723-726. , 84 Asian Pacific Journal of Cancer Prevention, 23; de La Puente-Yague, M, Cuadrado-Cenzual, MA, Ciudad-Cabanas, MJ, Vitamin D: And its role in breast cancer (2018) Kaohsiung J Med Sci, 34, pp. 423-427; Dou, R, Ng, K, Giovannucci, EL, Vitamin D and colorectal cancer: molecular, epidemiological and clinical evidence (2016) Br J Nutr, 115, pp. 1643-1660; Gandini, S, Raimondi, S, Gnagnarella, P, Vitamin D and skin cancer: a meta-analysis (2009) Eur J Cancer, 45, pp. 634-641; Halsall, JA, Osborne, JE, Potter, L, A novel polymorphism in the 1A promoter region of the vitamin D receptor is associated with altered susceptibilty and prognosis in malignant melanoma (2004) Br J Cancer, 91, pp. 765-770; Hayward, NK, Genetics of melanoma predisposition (2003) Oncogene, 22, pp. 3053-3062; Hutchinson, PE, Osborne, JE, Lear, JT, Vitamin D receptor polymorphisms are associated with altered prognosis in patients with malignant melanoma (2000) Clin Cancer Res, 6, pp. 498-504; Jakubowska-Pietkiewicz, E, Mlynarski, W, Klich, I, Vitamin D receptor gene variability as a factor influencing bone mineral density in pediatric patients (2012) Mol Biol Rep, 39, pp. 6243-6250; Kozovska, Z, Gabrisova, V, Kucerova, L, Malignant melanoma: diagnosis, treatment and cancer stem cells (2016) Neoplasma, 63, pp. 510-517; Li, C, Liu, Z, Wang, LE, Haplotype and genotypes of the VDR gene and cutaneous melanoma risk in nonHispanic whites in Texas: a case-control study (2008) Int J Cancer, 122, pp. 2077-2084; Matini, AH, Jafarian-Dehkordi, N, Bahmani, B, Association of ApaI and TaqI polymorphisms in VDR Gene with Breast Cancer (2020) Asian Pac J Cancer Prev, 21, pp. 2667-2672; Nassar, KW, Tan, AC, The mutational landscape of mucosal melanoma (2020) Semin Cancer Biol, 61, pp. 139-148; Qin, X, Wang, X, Role of vitamin D receptor in the regulation of CYP3A gene expression (2019) Acta Pharm Sin B, 9, pp. 1087-1098; Rai, V, Abdo, J, Agrawal, S, Vitamin D receptor polymorphism and cancer: An Update (2017) Anticancer Res, 37, pp. 3991-4003; Raimondi, S, Johansson, H, Maisonneuve, P, Review and meta-analysis on vitamin D receptor polymorphisms and cancer risk (2009) Carcinogenesis, 30, pp. 1170-1180; Randerson-Moor, JA, Taylor, JC, Elliott, F, Vitamin D receptor gene polymorphisms, serum 25-hydroxyvitamin D levels, and melanoma: UK case-control comparisons and a meta-analysis of published VDR data (2009) Eur J Cancer, 45, pp. 3271-3281; Rangel, N, Rondon-Lagos, M, Annaratone, L, AR/ER ratio correlates with expression of proliferation markers and with distinct subset of breast tumors (2020) Cells, 9; Rastrelli, M, Tropea, S, Rossi, CR, Melanoma: epidemiology, risk factors, pathogenesis, diagnosis and classification (2014) Vivo, 28, pp. 1005-1011; Read, J, Wadt, KA, Hayward, NK, Melanoma genetics (2016) J Med Genet, 53, pp. 1-14; Ribero, S, Glass, D, Bataille, V, Genetic epidemiology of melanoma (2016) Eur J Dermatol, 26, pp. 335-339; Seleit, I, Bakry, OA, Badr, E, Vitamin D receptor gene polymorphisms Taq-1 and Cdx-1 in female pattern hair loss (2020) Indian J Dermatol, 65, pp. 259-264; Shaffer, PL, Gewirth, DT, Vitamin D receptor-DNA interactions (2004) Vitam Horm, 68, pp. 257-273; Shaik, M, Shivanna, DK, Kamate, M, Single lysissalting out method of genomic DNA extraction from dried blood spots (2016) J Clin Lab Anal, 30, pp. 1009-1012; Slominski, AT, Brozyna, AA, Zmijewski, MA, Vitamin D signaling and melanoma: role of vitamin D and its receptors in melanoma progression and management (2017) Lab Invest, 97, pp. 706-724; Sole, X, Guino, E, Valls, J, SNPStats: a web tool for the analysis of association studies (2006) Bioinformatics, 22, pp. 1928-1929; Sung, H, Ferlay, J, Siegel, RL, Global cancer statistics 2020: GLOBOCAN estimates of incidence and mortality worldwide for 36 cancers in 185 countries (2021) CA Cancer J Clin, p. 2021; Susok, L, Stucker, M, Bechara, FG, Multivariate analysis of prognostic factors in patients with nodular melanoma (2021) J Cancer Res Clin Oncol, p. 2021; Tang, C, Chen, N, Wu, M, Fok1 polymorphism of vitamin D receptor gene contributes to breast cancer susceptibility: a meta-analysis (2009) Breast Cancer Res Treat, 117, pp. 391-399; Taylor, JA, Hirvonen, A, Watson, M, Association of prostate cancer with vitamin D receptor gene polymorphism (1996) Cancer Res, 56, pp. 4108-4110; Trump, DL, Aragon-Ching, JB, Vitamin D in prostate cancer (2018) Asian JAndrol, 20, pp. 244-252; Uitterlinden, AG, Fang, Y, Van Meurs, JB, Genetics and biology of vitamin D receptor polymorphisms (2004) Gene, 338, pp. 143-156; Whitfield, GK, Remus, LS, Jurutka, PW, Functionally relevant polymorphisms in the human nuclear vitamin D receptor gene (2001) Mol Cell Endocrinol, 177, pp. 145-159; Wu, X, Hu, W, Lu, L, Repurposing vitamin D for treatment of human malignancies via targeting tumor microenvironment (2019) Acta Pharm Sin B, 9, pp. 203-219; Zeljic, K, Kandolf-Sekulovic, L, Supic, G, Melanoma risk is associated with vitamin D receptor gene polymorphisms (2014) Melanoma Res, 24, pp. 273-279; Zhao, XZ, Yang, BH, Yu, GH, Polymorphisms in the vitamin D receptor (VDR) genes and skin cancer risk in European population: a meta-analysis (2014) Arch Dermatol Res, 306, pp. 545-553</t>
  </si>
  <si>
    <t>Aristizábal-Pachón, A.F.; Department of Nutrition and Biochemistry, DC, Colombia; email: andres_aristizabal@javeriana.edu.co</t>
  </si>
  <si>
    <t>Asian Pacific Organization for Cancer Prevention</t>
  </si>
  <si>
    <t>Asian Pac. J. Cancer Preven.</t>
  </si>
  <si>
    <t>2-s2.0-85123816994</t>
  </si>
  <si>
    <t>Borda J., Torres R., Lapidus G.</t>
  </si>
  <si>
    <t>57221716992;57171523200;7004641449;</t>
  </si>
  <si>
    <t>Selective leaching of zinc and lead from electric arc furnace dust using citrate and H2SO4 solutions. A kinetic perspective [Lixiviación selectiva de zinc y plomo del polvo de un horno de arco eléctrico utilizando soluciones de citrato y H2SO4. Una perspectiva cinética]</t>
  </si>
  <si>
    <t>Revista Mexicana de Ingeniera Quimica</t>
  </si>
  <si>
    <t>10.24275/rmiq/cat2606</t>
  </si>
  <si>
    <t>https://www.scopus.com/inward/record.uri?eid=2-s2.0-85123410521&amp;doi=10.24275%2frmiq%2fcat2606&amp;partnerID=40&amp;md5=cf8deeb03294f1d2f28acaca28f4297f</t>
  </si>
  <si>
    <t>Universidad Pedagógica y Tecnológica de Colombia, Escuela de Metalurgia, Avenida central del norte Km 4, Edif. de Ingeniería 201, Tunja, Colombia; Universidad Autónoma Metropolitana - Iztapalapa. Depto. Ingeniería de Procesos e Hidráulica, San Rafael Atlixco 186, Col. Vicentina, Ciudad de México, C.P.09340, Mexico</t>
  </si>
  <si>
    <t>Borda, J., Universidad Pedagógica y Tecnológica de Colombia, Escuela de Metalurgia, Avenida central del norte Km 4, Edif. de Ingeniería 201, Tunja, Colombia; Torres, R., Universidad Pedagógica y Tecnológica de Colombia, Escuela de Metalurgia, Avenida central del norte Km 4, Edif. de Ingeniería 201, Tunja, Colombia; Lapidus, G., Universidad Autónoma Metropolitana - Iztapalapa. Depto. Ingeniería de Procesos e Hidráulica, San Rafael Atlixco 186, Col. Vicentina, Ciudad de México, C.P.09340, Mexico</t>
  </si>
  <si>
    <t>The electric Arc Furnace Dust (EAFD) sample leaching using two different organic carboxylic anions has been previously studied, as a separate article. The aim of the present research work (Part II) is the study on the leaching kinetics of EAFD, comparing the efficiency of sodium citrate with that of sulfuric acid solutions. The effect of the solid/liquid ratio, temperature and reagent concentration in the leaching solutions on the metallic dissolution was analyzed. In both cases, the more stable phase of franklinite (ZnFe2O4) experienced minimal decomposition at room temperature, although almost complete extraction of zinc was possible with sulfuric acid at higher temperatures. The kinetics of franklinite decomposition conformed to the reactioncontrolled Shrinking Core Model. Using the Arrhenius expression, the apparent activation energies for franklinite and lead dissolutions in H2SO4 were evaluated. On the other hand, citrate showed promise due to its selectivity in leaching non-ferrous metals oxides (ZnO and PbO). © 2022, Universidad Autonoma Metropolitana. All rights reserved.</t>
  </si>
  <si>
    <t>EAFD; Kinetics; Leaching; Lead; Sodium-citrate; Sulfuric-acid; Zinc</t>
  </si>
  <si>
    <t>Johana Borda is grateful to Dra. Gretchen Lapidus and to the Hydrometallurgy laboratory staff at the Universidad Autónoma Metropolitana-Iztapalapa for the scientific support and the technical assistance in the development of the research internship. Johana Borda and Robinson Torres appreciate the Vicerrectoría de Investigación y Extensión - Universidad Pedagógica y Tecnológica de Colombia (VIE-UPTC) for financial support for the research.</t>
  </si>
  <si>
    <t>Avery, H. E., (2002) Basic Reaction Kinetics and Mechanisms, , Avery, H.E. (1974). London, England: Macmillan Publishers Ltd; Baik, D. S., Fray, D. J., Recovery of zinc from electric-arc furnace dust by leaching with aqueous hydrochloric acid, plating of zinc and regeneration of electrolyte (2000) Mineral Processing and Extractive Metallurgy, 109, pp. 121-128. , https://doi.org/1S.1179/mpm.2000.109.3.121; Blanco, J., González, M., Orozco, C., Pérez, A., Rodríguez, F., (2012) Contaminación Ambiental: Una Visión Desde la Química, , Ediciones Paraninfo, S.A. España; Borda, J., Torres, R., Comparative study of selective zinc leaching from EAFD using carboxylic agents (2021) Revista Mexicana de Ingeniería Química, 20 (1), pp. 389-398. , https://doi.org/10.24275/rmiq/IA2022; Bruckard, W. J., Davey, K. J., Rodopoulos, T., Woodcock, J. T., Italiano, J., Water leaching and magnetic separation for decreasing the chloride level and upgrading the zinc content of EAF steelmaking baghouse dusts (2005) International Journal of Mineral Processing, 75 (1-2), pp. 1-20. , https://doi.org/10.1016/j.minpro.2004.04.007; Castells, X. E., Reciclaje de residuos industriales (2009) Control, pp. 1-1033; De Buzin, P. J. W. K., Heck, N. C., Vilela, A. C. F., EAF dust: An overview on the influences of physical, chemical and mineral features in its recycling and waste incorporation routes (2017) Journal of Materials Research and Technology, 6 (2), pp. 194-202. , https://doi.org/10.1016/j.jmrt.2016.10.002; Gabos, M. B., de Abreu, C. A., Coscione, A. R., Edta assisted phytorremediation of a Pb contaminated soil: Metal leaching and uptake by jack beans (2009) Scientia Agricola, 66 (4), pp. 506-514. , https://doi.org/10.1590/s0103-90162009000400012; García-Arreola, M.E, Soriano-Pérez, S.H, Flores-Vélez, L.M, Cano-Rodríguez, I, Alonso-Dávila, P.A., Comparación de ensayos de lixiviación estáticos de elementos tóxicos en residuos mineros (2015) Revista Mexicana de Ingeniería Química, 14 (1), pp. 109-117; Gamboa, O., (2017) Optimización de los Parámetros de Operación del Proceso de Reciclado de Zinc, , Instituto Politécnico Nacional; Hagni, A. M., Hagni, R. D., Demars, C., Mineralogical characteristics of electric arc furnace dusts (1991) Jom, 43 (4), pp. 28-30. , https://doi.org/10.1007/BF03220543; Levenspiel, O., (1972) Chemical Reaction Engineering, , http://library1.nida.ac.th/termpaper6/sd/2554/19755.pdf, 2nd ed. John Wiley &amp; Sons, Inc; Levenspiel, O., (1999) Chemical Reaction Engineering, , 3rd ed. John Wiley &amp; Sons, Inc; Lin, S. W., Vargas-Galarza, Z., Félix-Navarro, R. M., Optimizing the conditions for leaching lead from solid waste produced by pyrometallurgical process of recycling automobile used batteries (2006) Journal of the Mexican Chemical Society, 50 (2), pp. 64-70; Lozano-Lunar, A., da Silva, P. R., de Brito, J., Álvarez, J. I., Fernández, J. M., Jiménez, J. R., Performance and durability properties of self-compacting mortars with electric arc furnace dust as filler (2019) Journal of Cleaner Production, 219, pp. 818-832. , https://doi.org/10.1016/j.jclepro.2019.02.145; Lozano-Lunar, Angélica, Raposeiro da Silva, P., de Brito, J., Fernández, J. M., Jiménez, J. R., Safe use of electric arc furnace dust as secondary raw material in self-compacting mortars production (2019) Journal of Cleaner Production, 211, pp. 1375-1388. , https://doi.org/10.1016/j.jclepro.2018.12.002; Machado, J. G. M. S., Brehm, F. A., Moraes, C. A. M., Santos, C. A., Vilela, A. C. F., Cunha, J. B. M., Chemical, physical, structural and morphological characterization of the electric arc furnace dust (2006) Journal of Hazardous Materials, 136 (3), pp. 953-960. , https://doi.org/10.1016/j.jhazmat.2006.01.044, dos da; Madías, J., Reciclado de polvos de horno eléctrico (2009) Revista Acero Latinoamericano, 513, pp. 26-35; Oustadakis, P., Tsakiridis, P. E., Katsiapi, A., Agatzini-Leonardou, S., Hydrometallurgical process for zinc recovery from electric arc furnace dust (EAFD). Part I: Characterization and leaching by diluted sulphuric acid (2010) Journal ofHazardous Materials, 179 (1-3), pp. 1-7. , https://doi.org/10.1016/j.jhazmat.2010.01.059; Pinna, E.G., Martinez, A.A, Tunez, F.M, Drajlin, D.S, Rodriguez, M.H., Acid leaching of LiCoO2 from LiBs: Thermodynamic study and reducing agent effect (2019) Revista Mexicana de Ingeniería Química, 18 (2), pp. 441-450; Sayadi, M., Hesami, S., Performance evaluation of using electric arc furnace dust in asphalt binder (2017) Journal ofCleaner Production, 143, pp. 1260-1267. , https://doi.org/10.1016/j.jclepro.2016.11.156; Silva, V. S., Silva, J. S., Costa, B. D. S., Labes, C., Oliveira, R. M. P. B., Preparation of glaze using electric-arc furnace dust as raw material (2019) Journal of Materials Research and Technology, 8 (6), pp. 5504-5514. , https://doi.org/10.1016/j.jmrt.2019.09.018; Sohn, H., Wadsworth, M., (1979) Rate processes of Extractive Metallurgy, , https://doi.org/doi10.1007/978-1-4684-9117-3, Plenum Press; Torres, R., Lapidus, G. T., Copper leaching from electronic waste for the improvement of gold recycling (2016) Waste Management, 57, pp. 131-139. , https://doi.org/10.1016/j-wasman.2016.03.010; Torres, R., Lapidus, G. T., Closed circuit recovery of copper, lead and iron from electronic waste with citrate solutions (2017) Waste Management, 60, pp. 561-568. , https://doi.org/10.1016/j.wasman.2016.12.001; Torres, R., Segura-Bailón, B., Lapidus, G. T., Effect of temperature on copper, iron and lead leaching from e-waste using citrate solutions (2018) Waste Management, 71, pp. 420-425. , https://doi.org/10.1016/j.wasman.2017.10.029; Yang, Y., Wang, X., Wang, M., Wang, H., Xian, P., Recovery of iron from red mud by selective leach with oxalic acid (2015) Hydrometallurgy, 157, pp. 239-245. , https://doi.org/10.1016/j.hydromet.2015.08.021; Zhang, Y., Yu, X., Li, X., Zinc recovery from franklinite by sulphation roasting (2011) Hydrometallurgy, 109 (3-4), pp. 211-214. , https://doi.org/10.1016/j.hydromet.2011.07.002</t>
  </si>
  <si>
    <t>Borda, J.; Universidad Pedagógica y Tecnológica de Colombia, Avenida central del norte Km 4, Edif. de Ingeniería 201, Colombia; email: angelajohana.borda@uptc.edu.co</t>
  </si>
  <si>
    <t>Universidad Autonoma Metropolitana</t>
  </si>
  <si>
    <t>Rev. Mex. Ing. Quimica</t>
  </si>
  <si>
    <t>2-s2.0-85123410521</t>
  </si>
  <si>
    <t>https://www.scopus.com/inward/record.uri?eid=2-s2.0-85123012598&amp;doi=10.3390%2fpolym14020310&amp;partnerID=40&amp;md5=9ed2f3e1fb206d8d24b9a9902fb179bc</t>
  </si>
  <si>
    <t>Grupo de Investigación en Ciencias Básicas (NÚCLEO), Facultad de Ciencias e Ingeniería, Universidad de Boyacá, Boyacá, Tunja, 050030, Colombia; Grupo Química-Física Molecular y Modelamiento Computacional (QUIMOL®), Facultad de Ciencias, Universidad Pedagógica y Tecnológica de Colombia (UPTC), Avenida Central del Norte, Boyacá, Tunja, 050030, Colombia</t>
  </si>
  <si>
    <t>Otálora, M.C., Grupo de Investigación en Ciencias Básicas (NÚCLEO), Facultad de Ciencias e Ingeniería, Universidad de Boyacá, Boyacá, Tunja, 050030, Colombia; Wilches-Torres, A., Grupo de Investigación en Ciencias Básicas (NÚCLEO), Facultad de Ciencias e Ingeniería, Universidad de Boyacá, Boyacá, Tunja, 050030, Colombia; Gómez Castaño, J.A., Grupo Química-Física Molecular y Modelamiento Computacional (QUIMOL®), Facultad de Ciencias, Universidad Pedagógica y Tecnológica de Colombia (UPTC), Avenida Central del Norte, Boyacá, Tunja, 050030, Colombia</t>
  </si>
  <si>
    <t>In this work, the capacity of the mucilage extracted from the cladodes of Opuntia ficus-indica (OFI) and aloe vera (AV) leaves as wall material in the microencapsulation of pink guava carotenoids using spray-drying was studied. The stability of the encapsulated carotenoids was quantified using UV–vis and HPLC/MS techniques. Likewise, the antioxidant activity (TEAC), color (CIELab), structural (FTIR) and microstructural (SEM and particle size) properties, as well as the total dietary content, of both types of mucilage microcapsules were determined. Our results show that the use of AV mucilage, compared to OFI mucilage, increased both the retention of β-carotene and the antioxidant capacity of the carotenoid microcapsules by around 14%, as well as the total carotenoid content (TCC) by around 26%, and also favors the formation of spherical-type particles (Ø≅ 26 µm) without the apparent damage of a more uniform size and with an attractive red-yellow hue. This type of microcapsules is proposed as a convenient alternative means to incorporate guava carotenoids, a natural colorant with a high antioxidant capacity, and dietary fiber content in the manufacture of functional products, which is a topic of interest for the food, pharmaceutical, and cosmetic industries. © 2022 by the authors. Licensee MDPI, Basel, Switzerland.</t>
  </si>
  <si>
    <t>Aloe vera; Carotenoids; Guava; Microencapsulation; Mucilage; Opuntia ficus-indica; Spray-drying</t>
  </si>
  <si>
    <t>Antioxidants; Microencapsulation; Microstructure; Particle size; Spray drying; Aloe vera; Antioxidant capacity; HPLC-MS; Microcapsules; Mucilage; Opuntia ficus indica; Opuntia ficus-indica cladodes; Psidium guajava; Spray-drying; Wall materials; Carotenoids</t>
  </si>
  <si>
    <t>SGI 2384</t>
  </si>
  <si>
    <t>Acknowledgments: The authors greatly acknowledge the financial support provided by the Univer-sidad de Boyacá and the Universidad Pedagógica y Tecnológica de Colombia (UPTC).</t>
  </si>
  <si>
    <t>Funding: This work was funded by the Universidad de Boyacá and the Universidad Pedagógica y Tecnológica de Colombia (UPTC) through the interinstitutional project SGI 2384 of the Vicerrectoría de Investigaciones of the Universidad Pedagógica y Tecnológica de Colombia.</t>
  </si>
  <si>
    <t>This work was funded by the Universidad de Boyac? and the Universidad Pedag?gica y Tecnol?gica de Colombia (UPTC) through the interinstitutional project SGI 2384 of the Vicerrector?a de Investigaciones of the Universidad Pedag?gica y Tecnol?gica de Colombia. The authors greatly acknowledge the financial support provided by the Universidad de Boyac? and the Universidad Pedag?gica y Tecnol?gica de Colombia (UPTC).</t>
  </si>
  <si>
    <t>https://www.tridge.com/intelligences/guava/production, (accessed on 11 November 2021); Chang, Y.P., Woo, K.K., Gnanaraj, C., Pink guava (2020) Valorization of Fruit Processing By-Products, pp. 227-252. , Galanakis, C.M., Ed.; Elsevier Inc.: Amsterdam, The Netherlands, [CrossRef]; https://nutritiondata.self.com/facts/fruits-and-fruit-juices/1927/2, (accessed on 11 November 2021); Chang, S.K., Alasalvar, C., Shanhidi, F., Superfruits: Phytochemicals, antioxidant efficacies and health effects—A comprehensive review (2018) Crit. Rev. Food Sci. Nutr, 59, pp. 1580-1604. , [CrossRef]; Kong, K.W., Ismail, A., Lycopene content and lipophilic antioxidant capacity of by-products from Psidium guajava fruits produced during puree production industry (2011) Food Bioprod. Process, 89, pp. 53-61. , [CrossRef]; Thaipong, K., Boonprako, U., Crosby, K., Cisneros-Zevallos, L., Hawkins, D., Comparison of ABTS, DPPH, FRAP, and ORAC assays for estimating antioxidant activity from guava fruit extracts (2006) J. Food Compost. Anal, 19, pp. 669-675. , [CrossRef]; Koguishi de Brito, C.A., Becker, P., de Souza, J.C., André, H.M., In vitro antioxidant capacity, phenolic, ascorbic acid and lycopene content of guava (Psidium guajava L.) juices and nectars (2009) Bol. Cent. Pesqui. Process. Aliment, 27, pp. 175-182. , [CrossRef]; Nagarajan, J., Ramanan, R.N., Raghunandan, M.E., Galanakis, C.M., Krishnamurthy, N.P., Carotenoids (2017) Nutraceutical and Functional Food Components. Effects of Innovative Processing Techniques, pp. 259-296. , Galanakis, C.M., Ed.; Elsevier Inc.: Amsterdam, The Netherlands, [CrossRef]; Santos, W.N.L., Sauthier, M.C.S., Santos, A.M.P., Santana, D.A., Azevedo, R.S.A., Caldas, J.C., Simultaneous determination of 13 phenolic bioactive compounds in guava (Psidium guajava L.) by HPLC-PAD with evaluation using PCA and Neural Network Analysis (NNA) (2017) Microchem. J, 133, pp. 583-592. , [CrossRef]; Vasconcelos, A.G., Amorim, A.G.N., dos Santos, R.C., de Souza, J.M.T., Souza, L.K.M., Araújo, T.S.L., Nicolau, L.A.D., da Silva Martins, C., Lycopene rich extract from red guava (Psidium guajava L.) displays anti-inflammatory and antioxidant profile by reducing suggestive hallmarks of acute inflammatory response in mice (2017) Int. Food Res. J, 99, pp. 959-968. , [CrossRef] [PubMed]; Souza, A.L.R., Hidalgo-Chávez, D.W., Pontes, S.M., Gomes, F.S., Cabral, L.M.C., Tonon, R.V., Microencapsulation by spray drying of a lycopene-rich tomato concentrate: Characterization and stability (2018) LWT—Food Sci. Technol, 91, pp. 286-292. , [CrossRef]; Rehman, A., Tong, Q., Jafari, S.M., Assadpour, E., Shehzad, Q., Aadil, R.M., Iqbal, M.W., Ashraf, W., Carotenoid-loaded nanocarriers: A comprehensive review (2020) Adv. Colloid Interface Sci, 275, p. 102048. , [CrossRef] [PubMed]; Vasconcelos, A.G., Valim, M.O., Amorim, A.G.N., do Amaral, C.P., de Almeida, M.P., Borges, T.K.S., Socodato, R., Mattos, S.J.C., Cytotoxic activity of poly-E-caprolactone lipid-core nanocapsules loaded with lycopene-rich extract from red guava (Psidium guajava L.) on breast cancer cells (2020) Int. Food Res. J, 136, p. 109548. , [CrossRef] [PubMed]; Gheonea, I., Aprodu, I., Cîrciumaru, A., Rapeanu, G., Bahrim, G.E., Stanciuc, N., Microencapsulation of lycopene from tomatoes peels by complex coacervation and freeze-drying: Evidences on phytochemical profile, stability and food applications (2021) J. Food Eng, 288, p. 110166. , [CrossRef]; Medina-Torres, L., Núñez-Ramírez, D.M., Calderas, F., González-Laredo, R.F., Minjares-Fuentes, R., Valadez-García, M.A., Bernad-Bernad, M.J., Manero, O., Microencapsulation of gallic acid by spray drying with aloe vera mucilage (aloe barbadensis miller) as wall material (2019) Ind. Crops Prod, 138, p. 111461. , [CrossRef]; Otálora, M.C., Wilches-Torres, A., Gómez Castaño, J.A., Extraction and Physicochemical Characterization of Dried Powder Mucilage from Opuntia ficus-indica Cladodes and Aloe Vera Leaves: A Comparative Study (2021) Polymers, 13, p. 1689. , [CrossRef]; Soukoulis, C., Gaiani, C., Hoffmann, L., Plant seed mucilage as emerging biopolymer in food industry applications (2018) Curr. Opin. Food Sci, 22, pp. 28-42. , [CrossRef]; De Campo, C., Dick, M., dos Santos, P.P., Costa, T.M.H., Paese, K., Guterres, S.S., Rios, A.O., Flôres, S.H., Zeaxanthin nanoencap-sulation with Opuntia monacantha mucilage as structuring material: Characterization and stability evaluation under different temperatures (2018) Colloids Surf. A Physicochem. Eng. Asp, 558, pp. 410-421. , [CrossRef]; Soto-Castro, D., Gutiérrez Miguel Chávez, M., León-Martínez, F., Santiago-García, P.A., Aragón-Lucero, I., Antonio-Antonio, F., Spray drying microencapsulation of betalain rich extracts from Escontria chiotilla and Stenocereus queretaroensis fruits using cactus mucilage (2019) Food Chem, 272, pp. 715-722. , [CrossRef]; Otálora, M.C., Gómez Castaño, J.A., Wilches-Torres, A., Preparation, study and characterization of complex coacervates formed between gelatin and cactus mucilage extracted from cladodes of Opuntia ficus-indica (2019) LWT—Food Sci. Technol, 112, p. 108234. , [CrossRef]; Medina-Torres, L., García-Cruz, E.E., Calderas, F., González Laredo, R.F., Sánchez-Olivares, G., Gallegos-Infante, J.A., Rocha-Guzmán, N.E., Rodríguez-Ramírez, J., Microencapsulation by spray drying of gallic acid with nopal mucilage (Opuntia ficus indica) (2013) LWT—Food Sci. Technol, 50, pp. 642-650. , [CrossRef]; Shishir, M.R.I., Taip, F.S., Aziz, N.A., Talib, R.A., Physical Properties of Spray-dried Pink Guava (Psidium Guajava) Powder (2014) Agric. Agric. Sci. Procedia, 2, pp. 74-81. , [CrossRef]; Osorio, C., Forero, D.P., Carriazo, J.G., Characterization and performance assessment of guava (Psidium guajava L.) microencapsu-lates obtained by spray-drying (2011) Int. Food Res. J, 44, pp. 1174-1181. , [CrossRef]; Quinzio, C., Corvalán, M., López, B., Iturriaga, L., Studying stability against coalescence in tuna mucilage emulsions (2009) Acta Hortic, 811, pp. 427-431. , [CrossRef]; https://static1.buchi.com/sites/default/files/downloads/B290_OM_en_I_0.pdf?cf595fc09d939d0eb8f2bee907c35bca8feeee47, (accessed on 7 June 2021); Re, R., Pellegrini, N., Proteggente, A., Pannala, A., Yang, M., Rice-Evans, C., Antioxidant activity applying an improved ABTS radical cation decolorization assay (1999) Free Radic. Biol. Med, 26, pp. 1231-1237. , [CrossRef]; Cunniff, P., Enzymatic-gravimetric method (1997) Official Methods of Analysis of AOAC International, , 16th ed.; AOAC: Gaithersburg, MD, USA; Santos, P.D.F., Rubio, F.T.V., da Silva, M.P., Pinho, L.S., Carmen Sílvia Favaro-Trindade, C.S. Microencapsulation of carotenoid-rich materials: A review (2021) Food Res. Int, 147, p. 110571. , [CrossRef] [PubMed]; Quinzio, C., Ayunta, C., Alancay, M., de Mishima, B.L., Iturriaga, L., Physicochemical and rheological properties of mucilage extracted from Opuntia ficus indica (L. Miller). Comparative study with guar gum and xanthan gum (2018) J. Food Meas. Charact, 12, pp. 459-470. , [CrossRef]; Medina-Torres, L., Calderas, F., Minjares, R., Femenia, A., Sanchez-Olivares, G., Gonzalez-Laredo, F.R., Santiago-Adame, R., Manero, O., Structure preservation of Aloe vera (barbadensis Miller) mucilage in a spray drying process (2016) LWT—Food Sci. Technol, 66, pp. 93-100. , [CrossRef]; Otálora, M.C., Carriazo, J.G., Osorio, C., Nazareno, M.A., Encapsulation of cactus (Opuntia megacantha) betaxanthins by ionic gelation and spray drying: A comparative study (2018) Int. Food Res. J, 111, pp. 423-430. , [CrossRef] [PubMed]; Camacho, M.I., Espinal, M., García, J., Jiménez, L., Silva, K., Restrepo, P., Desarrollo de productos enriquecidos con fibra de guayaba (2010) Desarrollo de Productos Funcionales Promisorios a Partir de la Guayaba (Psidium guajava L.) para el Fortalecimiento de la Cadena Productiva, pp. 155-174. , 1st ed.; Morales, A.L., Melgarejo, L.M., Eds.; Panamericana Formas e Impresos S.A.: Bogotá, Colombia; Haas, K., Obernberger, J., Zehetner, E., Kiesslich, A., Volkert, M., Jaeger, H., Impact of powder particle structure on the oxidation stability and color of encapsulated crystalline and emulsified carotenoids in carrot concentrate powders (2019) J. Food Eng, 263, pp. 398-408. , [CrossRef]; Soottitantawat, A., Bigeard, F., Yoshii, H., Furuta, T., Ohkawara, M., Linko, P., Influence of emulsion and powder size on the stability of encapsulated D-limonene by spray drying (2005) Innov. Food Sci. Emerg. Technol, 6, pp. 107-114. , [CrossRef]; Cortés-Camargo, S., Cruz-Olivares, J.E., Barragán-Huerta, B., Dublán-García, O., Román-Guerrero, A., Pérez-Alonso, C., Mi-croencapsulation by spray drying of lemon essential oil: Evaluation of mixtures of mesquite gum–nopal mucilage as new wall materials (2017) J. Microencapsul, 34, pp. 395-407. , [CrossRef]; Cortés-Camargo, S., Acuña-Avila, P.E., Rodríguez-Huezo, M.E., Román-Guerrero, A., Varela-Guerrero, V., Pérez-Alonso, C., Effect of chia mucilage addition on oxidation and release kinetics of lemon essential oil microencapsulated using mesquite gum—Chia mucilage mixtures (2019) Int. Food Res. J, 116, pp. 1010-1019. , [CrossRef]; Carvalho Gualberto, N., Santos de Oliveira, C., Pedreira Nogueira, J., Silva de Jesus, M., Santos Araujo, H.C., Rajan, M., Santos Leite Neta, M.T., Narain, N., Bioactive compounds and antioxidant activities in the agro-industrial residues of acerola (Malpighia emarginata L.), guava (Psidium guajava L.), genipap (Genipa americana L.) and umbu (Spondias tuberosa L.) fruits assisted by ultrasonic or shaker extraction (2021) Int. Food Res. J, 147, p. 110538. , [CrossRef]; Sun, X., Xu, Y., Zhao, L., Yan, H., Wang, S., Wang, D., The stability and bioaccessibility of fucoxanthin in spray-dried microcapsules based on various biopolymers (2018) RSC Adv, 8, pp. 35139-35149. , [CrossRef]; Jiang, Y., Du, J., Zhang, L., Li, W., Properties of pectin extracted from fermented and steeped hawthorn wine pomace: A comparison (2018) Carbohydr. Polym, 197, pp. 174-182. , [CrossRef] [PubMed]; Andrade, L.A., Aparecida de Oliveira Silva, D., Nunes, C.A., Pereira, J., Experimental techniques for the extraction of taro mucilage with enhanced emulsifier properties using chemical characterization (2020) Food Chem, 327, p. 127095. , [CrossRef] [PubMed]; Cervantes-Martínez, C.V., Medina-Torres, L., González-Laredo, R.F., Calderas, F., Sánchez-Olivares, G., Herrera-Valencia, E.E., Gallegos Infante, J.A., Rodríguez-Ramírez, J., Study of spray drying of the Aloe vera mucilage (Aloe vera barbadensis Miller) as a function of its rheological properties (2014) LWT—Food Sci. Technol, 55, pp. 426-435. , [CrossRef]; Bustamante, M., Villarroel, M., Rubilar, M., Shene, C., Lactobacillus acidophilusLa-05 encapsulated by spray drying: Effect of mucilage and protein from flaxseed (Linum usitatissimum L.) (2015) LWT—Food Sci. Technol, 62, pp. 1162-1168. , [CrossRef]; Ortiz-Basurto, R.I., Rubio-Ibarra, M.E., Ragazzo-Sanchez, J.A., Beristain, C.I., Jimenez Fernandez, M., Microencapsulation of Eugenia uniflora L. juice by spray drying using fructans with different degrees of polymerisation (2017) Carbohydr. Polym, 175, pp. 603-609. , [CrossRef] [PubMed]; Homayouni-Rad, A., Mortazavian, A.M., Mashkani, M.G., Hajipour, N., Pourjafar, H., Effect of Alyssum homolocarpum mucilage and inulin microencapsulation on the survivability of Lactobacillus casei in simulated gastrointestinal and high temperature conditions (2021) Biocatal. Agric. Biotechnol, 35, p. 102075. , [CrossRef]; Carneiro, H.C.F., Tonon, R.V., Grosso, C.R.F., Hubinger, M.D., Encapsulation efficiency and oxidative stability of flaxseed oil microencapsulated by spray drying using different combinations of wall materials (2013) J. Food Eng, 115, pp. 443-451. , [CrossRef]; Campo, C., Santos, P.P., Costa, T.M.H., Paese, K., Guterres, S.S., Rios, A.O., Flôres, S.H., Nanoencapsulation of chia seed oil with chia mucilage (Salvia hispanica L.) as wall material: Characterization and stability evaluation (2017) Food Chem, 234, pp. 1-9. , [CrossRef]; Otálora, M.C., Carriazo, J.G., Iturriaga, L., Nazareno, M.A., Osorio, C., Microencapsulation of betalains obtained from cactus fruit (Opuntia ficus-indica) by spray drying using cactus cladode mucilage and maltodextrin as encapsulating agents (2015) Food Chem, 187, pp. 174-181. , [CrossRef]; Monge Neto, A.A., Fonseca Tomazini, L., Gouveia Mizuta, A., Gomes Correa, R.C., Scaramal Madrona, G., Faria de Moraes, F., Peralta, R.M., Direct microencapsulation of an annatto extract by precipitation of psyllium husk mucilage polysaccharides (2021) Food Hydrocoll, 112, p. 106333. , [CrossRef]</t>
  </si>
  <si>
    <t>Otálora, M.C.; Grupo de Investigación en Ciencias Básicas (NÚCLEO), Boyacá, Colombia; email: marotalora@uniboyaca.edu.co</t>
  </si>
  <si>
    <t>2-s2.0-85123012598</t>
  </si>
  <si>
    <t>Roy S., Maiti S.K., Pérez L.M., Silva J.H.O., Laroze D.</t>
  </si>
  <si>
    <t>57207798946;9739477100;55959111000;57201547752;8450437100;</t>
  </si>
  <si>
    <t>https://www.scopus.com/inward/record.uri?eid=2-s2.0-85122962327&amp;doi=10.3390%2fma15020597&amp;partnerID=40&amp;md5=bdfbc2d323b8f1ff5919845d9c4f7adf</t>
  </si>
  <si>
    <t>Physics and Applied Mathematics Unit, Indian Statistical Institute, 203 Barrackpore Trunk Road, Kolkata, 700 108, India; Departamento de Física, FACI, Universidad de Tarapacá, Casilla 7D, Arica, 1000000, Chile; Grupo de Física de Materiales, Universidad Pedagógica y Tecnológica de Colombia, Tunja, 150003, Colombia; Laboratorio de Química Teórica y Computacional, Grupo de Investigación Química-Física Molecular y Modelamiento Computacional (QUIMOL), Facultad de Ciencias, Universidad Pedagógica y Tecnológica de Colombia, Tunja, 150003, Colombia; Instituto de Alta Investigación, CEDENNA, Universidad de Tarapacá, Casilla 7D,, Arica, 1000000, Chile</t>
  </si>
  <si>
    <t>Roy, S., Physics and Applied Mathematics Unit, Indian Statistical Institute, 203 Barrackpore Trunk Road, Kolkata, 700 108, India; Maiti, S.K., Physics and Applied Mathematics Unit, Indian Statistical Institute, 203 Barrackpore Trunk Road, Kolkata, 700 108, India; Pérez, L.M., Departamento de Física, FACI, Universidad de Tarapacá, Casilla 7D, Arica, 1000000, Chile; Silva, J.H.O., Grupo de Física de Materiales, Universidad Pedagógica y Tecnológica de Colombia, Tunja, 150003, Colombia, Laboratorio de Química Teórica y Computacional, Grupo de Investigación Química-Física Molecular y Modelamiento Computacional (QUIMOL), Facultad de Ciencias, Universidad Pedagógica y Tecnológica de Colombia, Tunja, 150003, Colombia; Laroze, D., Instituto de Alta Investigación, CEDENNA, Universidad de Tarapacá, Casilla 7D,, Arica, 1000000, Chile</t>
  </si>
  <si>
    <t>We explore the localization properties of a double-stranded ladder within a tight-binding framework where the site energies of different lattice sites are distributed in the cosine form following the Aubry–André–Harper (AAH) model. An imaginary site energy, which can be positive or negative, referred to as physical gain or loss, is included in each of these lattice sites which makes the system a non-Hermitian (NH) one. Depending on the distribution of imaginary site energies, we obtain balanced and imbalanced NH ladders of different types, and for all these cases, we critically investigate localization phenomena. Each ladder can be decoupled into two effective one-dimensional (1D) chains which exhibit two distinct critical points of transition from metallic to insulating (MI) phase. Because of the existence of two distinct critical points, a mixed-phase (MP) zone emerges which yields the possibility of getting a mobility edge (ME). The conducting behaviors of different energy eigenstates are investigated in terms of inverse participation ratio (IPR). The critical points and thus the MP window can be selectively controlled by tuning the strength of the imaginary site energies which brings a new insight into the localization aspect. A brief discussion on phase transition consid-ering a multi-stranded ladder was also given as a general case, to make the present communication a self-contained one. Our theoretical analysis can be utilized to investigate the localization phenomena in different kinds of simple and complex quasicrystals in the presence of physical gain and/or loss. © 2022 by the authors. Licensee MDPI, Basel, Switzerland.</t>
  </si>
  <si>
    <t>AAH ladder; Inverse participation ratio; Localization phenomena; Mixed phase; Mobility edge; Physical gain and loss</t>
  </si>
  <si>
    <t>Binding sites; Aubry–andre–harper ladder; Energy; Inverse participation ratio; Lattice sites; Localization phenomena; Localization properties; Mixed phase; Mobility edge; Participation ratios; Physical gain and loss; Ladders</t>
  </si>
  <si>
    <t>AFB180001; SA77210040; EMR/2017/000504; Council of Scientific and Industrial Research, India, CSIR: 09/093(0178)/2017-EMR-I; Fondo Nacional de Desarrollo Científico y Tecnológico, FONDECYT: 1180905; Centro para el Desarrollo de la Nanociencia y la Nanotecnología, CEDENNA</t>
  </si>
  <si>
    <t>Funding: S.R. would like to thank CSIR, India (09/093(0178)/2017-EMR-I), for providing their research fellowship. The research of S.K.M. is supported by DST-SERB, Government of India (Project File Number: EMR/2017/000504). L.M.P. acknowledges financial support from ANID through Convocatoria Nacional Subvención a Instalación en la Academia Convocatoria An¯ o 2021, Grant SA77210040. D.L. acknowledges partial financial support from FONDECYT 1180905. D.L. also acknowledges partial financial support from Centers of Excellence with BASAL/ANID financing Grant AFB180001, CEDENNA. J.H.O.S. acknowledges to Universidad Pedagógica y Tecnológica de Colombia.</t>
  </si>
  <si>
    <t>Anderson, P.W., Absence of Diffusion in Certain Random Lattices (1958) Phys. Rev, 109, p. 1492. , [CrossRef]; Lee, P.A., Ramakrishnan, T.V., Disordered electronic systems (1985) Rev. Mod. Phys, 57, p. 287. , [CrossRef]; Nandkishore, R., Huse, D.A., Many-Body Localization and Thermalization in Quantum Statistical Mechanics (2015) Annu. Rev. Comdens. Matter Phys, 6, p. 15. , [CrossRef]; Vosk, R., Huse, D.A., Altman, E., Theory of the Many-Body Localization Transition in One-Dimensional Systems (2015) Phys. Rev. X, 5, p. 031032. , [CrossRef]; Billy, J., Josse, V., Zuo, Z., Bernard, A., Hambrecht, B., Lugan, P., Clément, D., Aspect, A., Direct observation of Anderson localization of matter waves in a controlled disorder (2008) Nature, 453, p. 891. , [CrossRef]; Roati, G., Errico, C.D., Fallani, L., Fattori, M., Fort, C., Zaccanti, M., Modugno, G., Inguscio, M., Anderson localization of a non-interacting Bose–Einstein condensate (2008) Nature, 453, p. 895. , [CrossRef]; Harper, P.G., The General Motion of Conduction Electrons in a Uniform Magnetic Field, with Application to the Diamagnetism of Metals (1955) Proc. Phys. Soc. Lond. Sect. A, 68, p. 874. , [CrossRef]; Aubry, S., Andŕe, G., Analyticity breaking and Anderson localization in incommensurate lattices (1980) Ann. Isr. Phys. Soc, 3, p. 133; Ganeshan, S., Sun, K., Sarma, S.D., Topological Zero-Energy Modes in Gapless Commensurate Aubry-André-Harper Models (2013) Phys. Rev. Lett, 110, p. 180403. , [CrossRef]; An, F.A., Padavić, K., Meier, E.J., Hegde, S., Ganeshan, S., Pixley, J.H., Vishveshwara, S., Gadway, B., Interactions and Mobility Edges: Observing the Generalized Aubry-André Model (2021) Phys. Rev. Lett, 126, p. 040603. , [CrossRef]; Dey, S., Daw, D., Maiti, S.K., Flux-driven circular current and near-zero field magnetic response in an Aubry ring: High-to-low conducting switching action (2020) Europhys. Lett, 129, p. 47002. , [CrossRef]; Patra, M., Maiti, S.K., Sil, S., Engineering magnetoresistance: A new perspective (2019) J. Phys. Condens. Matter, 31, p. 355303. , [CrossRef]; Maiti, S.K., Sil, S., Chakrabarti, A., Phase controlled metal–insulator transition in multi-leg quasiperiodic optical lattices (2017) Ann. Phys. (N. Y.), 382, p. 150. , [CrossRef]; Saha, S., Maiti, S.K., Karmakar, S.N., Multiple mobility edges in a 1D Aubry chain with Hubbard interaction in presence of electric field: Controlled electron transport (2016) Physica E, 83, p. 358. , [CrossRef]; Dey, M., Chakraborty, S., Maiti, S.K., New Route to Enhanced Figure of Merit at Nano Scale: Effect of AAH Modulation (2022) J. Phys. D Appl. Phys, 55, p. 085302. , [CrossRef]; Koley, A., Maiti, S.K., Pérez, L.M., Silva, J.H.O., Laroze, D., Possible Routes to Obtain Enhanced Magnetoresistance in a Driven Quantum Heterostructure with a Quasi-Periodic Spacer (2021) Micromachines, 12, p. 1021. , [CrossRef]; Koley, A., Maiti, S.K., Ojeda Silva, J.H., Laroze, D., Spin Dependent Transport through Driven Magnetic System with Aubry-André-Harper Modulation (2021) Appl. Sci, 11, p. 2309. , [CrossRef]; Sil, S., Maiti, S.K., Chakrabarti, A., Metal-Insulator Transition in an Aperiodic Ladder Network: An Exact Result (2008) Phys. Rev. Lett, 101, p. 076803. , [CrossRef]; Roy, S., Maiti, S.K., Tight-binding quantum network with cosine modulations: Electronic localization and delocalization (2019) Eur. Phys. J. B, 92, p. 267. , [CrossRef]; Rossigonolo, M., Dell’Anna, L., Localization transitions and mobility edges in coupled Aubry-André chains (2019) Phys. Rev. B, 99, p. 054211. , [CrossRef]; Maiti, S.K., Nitzan, A., Mobility edge phenomenon in a Hubbard chain: A mean field study (2013) Phys. Lett. A, 377, p. 1205. , [CrossRef]; Sarkar, S., Maiti, S.K., Localization to delocalization transition in a double stranded helical geometry: Effects of conformation, transverse electric field and dynamics (2020) J. Phys. Condens. Matter, 32, p. 505301. , [CrossRef] [PubMed]; Mal, B., Banerjee, M., Maiti, S.K., Magnetotransport in fractal network with loop sub-structures: Anisotropic effect and delocaliza-tion (2020) Phys. Lett. A, 384, p. 126378. , [CrossRef]; Banerjee, M., Mal, B., Maiti, S.K., Unconventional localization phenomena in a spatially non-uniform disordered material (2019) Physica E, 106, p. 312. , [CrossRef]; Biddle, J., Sarma, S.D., Predicted mobility edges in one-dimensional incommensurate optical lattices: An exactly solvable model of Anderson localization (2010) Phys. Rev. Lett, 104, p. 070601. , [CrossRef]; Dities, F.M., The decay of quantum systems with a small number of open channels (2000) Phys. Rep, 339, p. 215. , [CrossRef]; Amir, A., Oreg, Y., Imry, Y., Decays in quantum hierarchical models (2008) Phys. Rev. A, 77, p. 050101. , [CrossRef]; Sokolov, V.V., Zelevinsky, V.G., Collective dynamics of unstable quantum states (1992) Ann. Phys, 216, p. 323. , [CrossRef]; Rotter, I., A continuum shell model for the open quantum mechanical nuclear system (1991) Rep. Prog. Phys, 54, p. 635. , [CrossRef]; Sokolov, V.V., Zelevinsky, V.G., Dynamics and statistics of unstable quantum states (1989) Nucl. Phys. A, 504, p. 562. , [CrossRef]; Sokolov, V.V., Zelevinsky, V.G., On a statistical theory of overlapping resonances (1988) Phys. Lett. B, 202, p. 10. , [CrossRef]; Hatano, N., Nelson, D.R., Localization Transitions in Non-Hermitian Quantum Mechanics (1996) Phys. Rev. Lett, 77, p. 570. , [CrossRef]; Hatano, N., Nelson, D.R., Vortex pinning and non-Hermitian quantum mechanics (1997) Phys. Rev. B, 56, p. 8651. , [CrossRef]; Carmele, A., Heyl, M., Kraus, C., Dalmonte, M., Stretched exponential decay of Majorana edge modes in many-body localized Kitaev chains under dissipation (2015) Phys. Rev. B, 92, p. 195107. , [CrossRef]; Bender, C.M., Making sense of non-Hermitian Hamiltonians (2007) Rep. Prog. Phys, 70, p. 947. , [CrossRef]; Bender, C.M., Boettcher, S., Real Spectra in Non-Hermitian Hamiltonians Having PT Symmetry (1998) Phys. Rev. Lett, 80, p. 5243. , [CrossRef]; Bender, C.M., Boettcher, S., Meisinger, P.N., PT-symmetric quantum mechanics (1999) J. Math. Phys, 40, p. 2201. , [CrossRef]; Marinello, G., Pato, M.P., Random non-Hermitian tight-binding models (2016) J. Phys. Conf. Ser, 738, p. 012040. , [CrossRef]; Burke, P.C., Wiersig, J., Haque, M., Non-Hermitian scattering on a tight-binding lattice (2020) Phys. Rev. A, 102, p. 012212. , [CrossRef]; Liu, T., Cheng, S., Guo, H., Gao, X., Fate of Majorana zero modes, exact location of critical states, and unconventional real-complex transition in non-Hermitian quasiperiodic lattices (2021) Phys. Rev. B, 103, p. 104203. , [CrossRef]; Ramezani, H., Kottos, T., El-Ganainy, R., Christodoulides, D.N., Unidirectional nonlinear PT-symmetric optical structures (2010) Phys. Rev. A, 82, p. 043803. , [CrossRef]; Rüter, C.E., Makris, K.G., El-Ganainy, R., Christodoulides, D.N., Segev, M., Kip, D., Observation of parity–time symmetry in optics (2010) Nat. Phys, 6, p. 192. , [CrossRef]; Bendix, O., Fleischmann, R., Kottos, T., Shapiro, B., Exponentially Fragile PT-Symmetry in Lattices with Localized Eigenmodes (2009) Phys. Rev. Lett, 103, p. 030402. , [CrossRef]; Graefe, E.M., Korsch, H.J., Niederle, A.E., Mean-Field Dynamics of a Non-Hermitian Bose-Hubbard Dimer (2008) Phys. Rev. Lett, 101, p. 150408. , [CrossRef]; West, C.T., Kottos, T., Prosen, T., PT-Symmetric Wave Chaos (2010) Phys. Rev. Lett, 104, p. 054102. , [CrossRef]; Bendix, O., Fleischmann, R., Kottos, T., Shapiro, B., Optical structures with local PT-symmetry (2010) J. Phys. A Math. Theor, 43, p. 265305. , [CrossRef]; Oberthaler, M.K., Abfalterer, R., Bernet, S., Schmiedmayer, J., Zeilinger, A., Atom Waves in Crystals of Light (1996) Phys. Rev. Lett, 77, p. 4980. , [CrossRef] [PubMed]; Luo, X.B., Huang, J.H., Zhong, H.H., Qin, X.Z., Xie, Q.T., Kivshar, Y.S., Lee, C.H., Pseudo-parity-time symmetry in optical systems (2013) Phys. Rev. Lett, 110, p. 243902. , [CrossRef] [PubMed]; Chong, Y.D., Ge, L., Stone, A.D., PT-Symmetry Breaking and Laser-Absorber Modes in Optical Scattering Systems (2011) Phys. Rev. Lett, 106, p. 093902. , [CrossRef] [PubMed]; Sukhorukov, A.A., Xu, Z., Kivshar, Y.S., Nonlinear suppression of time reversals in PT-symmetric optical couplers (2010) Phys. Rev. A, 82, p. 043818. , [CrossRef]; Klaiman, S., Günther, U., Moiseyev, N., Visualization of Branch Points in PT-Symmetric Waveguides (2008) Phys. Rev. Lett, 101, p. 080402. , [CrossRef]; Levi, E., Heyl, M., Lesanovsky, I., Garrahan, J.P., Robustness of Many-Body Localization in the Presence of Dissipation (2016) Phys. Rev. Lett, 116, p. 237203. , [CrossRef]; Zeng, Q.B., Chen, S., Lü, R., Anderson localization in the non-Hermitian Aubry-André-Harper model with physical gain and loss (2017) Phys. Rev. A, 95, p. 062118. , [CrossRef]; Thouless, D.J., Electrons in disordered systems and the theory of localization (1974) Phys. Rep, 13, p. 93. , [CrossRef]; Wegner, F.J., Inverse participation ratio in 2 + ɛ dimensions (1980) Z. Phys. B, 36, p. 209. , [CrossRef]; Ganeshan, S., Pixley, J.H., Sarma, S.D., Nearest Neighbor Tight Binding Models with an Exact Mobility Edge in One Dimension (2015) Phys. Rev. Lett, 114, p. 146601. , [CrossRef]; Biddle, J., Wang, B., Priour, D.J., Sarma, S.D., Localization in one-dimensional incommensurate lattices beyond the Aubry-André model (2009) Phys. Rev. A, 80, p. 021603. , [CrossRef]; Guo, A., Salamo, G.J., Duchesne, D., Morandotti, R., Volatier-Ravat, M., Aimez, V., Siviloglou, G.A., Christodoulides, D.N., Observation of PT-Symmetry Breaking in Complex Optical Potentials (2009) Phys. Rev. Lett, 103, p. 093902. , [CrossRef]; Amir, A., Hatano, N., Nelson, D.R., Non-Hermitian localization in biological networks (2016) Phys. Rev. E, 93, p. 042310. , [CrossRef]; Feng, L., Ayache, M., Huang, J., Xu, Y.-L., Lu, M.-H., Chen, Y.-F., Fainman, Y., Scherer, A., Nonreciprocal light propagation in a silicon photonic circuit (2011) Science, 333, p. 729. , [CrossRef]; Regensburger, A., Bersch, C., Miri, M.-A., Onishchukov, G., Christodoulides, D.N., Peschel, U., Parity-time synthetic photonic lattices (2012) Nature, 488, p. 167. , [CrossRef]; Bender, C.M., Berntson, B.K., Parker, D., Samuel, E., Observation of PT-phase transition in a simple mechanical system (2013) Am. J. Phys, 81, p. 173. , [CrossRef]; Mejia-Cortes, C., Molina, M.I., Interplay of disorder and PT symmetry in one-dimensional optical lattices (2015) Phys. Rev. A, 91, p. 033815. , [CrossRef]; Jovic, D.M., Denz, C., Belic, M.R., Anderson localization of light in PT-symmetric optical lattices (2012) Opt. Lett, 37, p. 4455. , [CrossRef]; Schindler, J., Li, A., Zheng, M.C., Ellis, F.M., Kottos, T., Experimental study of active LRC circuits with PT symmetries (2011) Phys. Rev. A, 84, p. 040101. , [CrossRef]; Hofmann, T., Helbig, T., Schindler, F., Salgo, N., Brzezinska, M., Greiter, M., Kiessling, T., Kabasi, A., Reciprocal skin effect and its realization in a topolectrical circuit (2020) Phys. Rev. Res, 2, p. 023265. , [CrossRef]; Zeng, Q., Yang, Y., Xu, Y., Topological phases in non-Hermitian Aubry-André-Harper models (2020) Phys. Rev. B, 101, p. 020201R. , [CrossRef]; Yahyavi, M., Hetényi, B., Tanatar, B., Generalized Aubry-André-Harper model with modulated hopping and p-wave pairing (2019) Phys. Rev. B, 100, p. 064202. , [CrossRef]; Patra, M., Maiti, S.K., Controlled charge and spin current rectifications in a spin polarized device (2019) J. Magn. Magn. Mater, 484, p. 408. , [CrossRef]; Patra, M., Maiti, S.K., Externally controlled high degree of spin polarization and spin inversion in a conducting junction: Two new approaches (2017) Sci. Rep, 7, p. 14313. , [CrossRef]</t>
  </si>
  <si>
    <t>Maiti, S.K.; Physics and Applied Mathematics Unit, 203 Barrackpore Trunk Road, India; email: santanu.maiti@isical.ac.in</t>
  </si>
  <si>
    <t>Mater.</t>
  </si>
  <si>
    <t>2-s2.0-85122962327</t>
  </si>
  <si>
    <t>Becerra M.L., Lizarazo L.M., Rojas H.A., Prieto G.A., Martinez J.J.</t>
  </si>
  <si>
    <t>57415215800;57414893000;23025604300;57414575700;7404312604;</t>
  </si>
  <si>
    <t>Biocatalysis and Agricultural Biotechnology</t>
  </si>
  <si>
    <t>https://www.scopus.com/inward/record.uri?eid=2-s2.0-85122918009&amp;doi=10.1016%2fj.bcab.2022.102281&amp;partnerID=40&amp;md5=a71d993533b9d45da21b2540a3e638ba</t>
  </si>
  <si>
    <t>Doctorado en Ciencias Químicas, Escuela de Posgrados, Facultad de Ciencias, Universidad Pedagógica y Tecnológica de Colombia, Avenida Central del Norte, Boyacá, Tunja, Colombia; Escuela de Ciencias Biológicas, Facultad de Ciencias, Grupo de Investigación Biología Ambiental, Universidad Pedagógica y Tecnológica de Colombia, Avenida Central del Norte, Boyacá, Tunja, Colombia; Escuela de Ciencias Químicas, Facultad de Ciencias, Grupo Catálisis (GC-UPTC), Universidad Pedagógica y Tecnológica de Colombia UPTC Avenida Central del Norte, Boyacá, Tunja, Colombia; Escuela de Ciencias Químicas, Facultad de Ciencias, Grupo de Investigación en Química y Tecnología de Alimentos (GIQTA-UPTC), Universidad Pedagógica y Tecnológica de Colombia UPTC, Avenida Central del Norte, Boyacá, Tunja, Colombia</t>
  </si>
  <si>
    <t>Becerra, M.L., Doctorado en Ciencias Químicas, Escuela de Posgrados, Facultad de Ciencias, Universidad Pedagógica y Tecnológica de Colombia, Avenida Central del Norte, Boyacá, Tunja, Colombia, Escuela de Ciencias Químicas, Facultad de Ciencias, Grupo Catálisis (GC-UPTC), Universidad Pedagógica y Tecnológica de Colombia UPTC Avenida Central del Norte, Boyacá, Tunja, Colombia; Lizarazo, L.M., Escuela de Ciencias Biológicas, Facultad de Ciencias, Grupo de Investigación Biología Ambiental, Universidad Pedagógica y Tecnológica de Colombia, Avenida Central del Norte, Boyacá, Tunja, Colombia; Rojas, H.A., Escuela de Ciencias Químicas, Facultad de Ciencias, Grupo Catálisis (GC-UPTC), Universidad Pedagógica y Tecnológica de Colombia UPTC Avenida Central del Norte, Boyacá, Tunja, Colombia; Prieto, G.A., Doctorado en Ciencias Químicas, Escuela de Posgrados, Facultad de Ciencias, Universidad Pedagógica y Tecnológica de Colombia, Avenida Central del Norte, Boyacá, Tunja, Colombia, Escuela de Ciencias Químicas, Facultad de Ciencias, Grupo de Investigación en Química y Tecnología de Alimentos (GIQTA-UPTC), Universidad Pedagógica y Tecnológica de Colombia UPTC, Avenida Central del Norte, Boyacá, Tunja, Colombia; Martinez, J.J., Escuela de Ciencias Químicas, Facultad de Ciencias, Grupo Catálisis (GC-UPTC), Universidad Pedagógica y Tecnológica de Colombia UPTC Avenida Central del Norte, Boyacá, Tunja, Colombia</t>
  </si>
  <si>
    <t>Furfural and 5-hydroxymethylfurfural (5-HMF) are considered to be the most toxic compounds among fermentation inhibitors in lignocellulosic hydrolysates. These compounds raise severe problems for the bioproduction of fuels and chemicals. In this study, we describe the detoxification of furfural and 5-HMF using bacterial isolates from residues of sugarcane bagasse, identified as Bacillus pasteuri, Bacillus toyonensis, Bacillus megaterium, Bacillus cereus, Bacillus subtilis, and Bacillus spp. by 16S rDNA sequencing. Under aerobic culture conditions, 2-furoic acid and 5-hydroxymethyl-2-furancarboxylic acid (HMFCA) were produced as the main degradation product in the detoxification of furfural and 5-HMF, respectively. In both cases these acids were produced in greater concentrations when bacteria were incubated in nutrient broth. B. toyonensis in nutrient broth with 20 mM of furfural after 120 h produced the highest amount of 2-furoic acid. A concentration of 15.2 mM was achieved using B. toyonensis followed by B. cereus with a concentration of 13.1 mM 2-Furoic acid production for other strains did not exceed 6.8 mM. B. toyonensis was the strain with highest degradation capacity of 5-HMF, following the oxidation pathway to obtain HMFCA and 2,5-furan dicarboxylic acid (FDCA) which rose to a final concentration of 21.3 mM and 1.5 mM, respectively, in a nutrient broth with 25 mM of 5-HMF at 120 h of fermentation. B. toyonensis is a useful strain to detoxify lignocellulosic residues and to produce furans with a high added value. © 2022 Elsevier Ltd</t>
  </si>
  <si>
    <t>2-Furoic acid; Biodegradation; Biomass; Furans oxidation; HMFCA; Inhibitors</t>
  </si>
  <si>
    <t>The authors would like to acknowledge the Gobernación de Boyacá and Departamento Administrativo de Ciencia, Tecnología e Innovación de Colombia (Colciencias) - Convocatoria 733 de 2015 for their financial support and to Corpogen Research Center for the identification of the bacterial strains.</t>
  </si>
  <si>
    <t>Agamennone, V., van Straalen, J., Brouwer, A., de Boer, T.E., Hensbergen, P.J., Zaagman, N., Braster, M., Janssens, T.K.S., Genome annotation and antimicrobial properties of Bacillus toyonensis VU-DES13, isolated from the Folsomia candida gut (2019) Entomol. Exp. Appl., 167, pp. 269-285; Andersen, R.L., Karen, M., Mikkelsen, M.J., Continuous ethanol fermentation of pretreated lignocellulosic biomasses, waste biomasses, molasses and syrup using the anaerobic, thermophilic bacterium thermoanaerobacter italicus pentocrobe 411 (2015) PLoS One, pp. 1-16; Bischoff, K.M., Liu, S., Hughes, S.R., Rich, J.O., Fermentation of corn fiber hydrolysate to lactic acid by the moderate thermophile Bacillus coagulans (2010) Biotechnol. Lett., 32, pp. 823-828; Bozell, J.J., Petersen, G.R., Technology development for the production of biobased products from biorefinery carbohydrates—the US Department of Energy's “Top 10” revisited (2010) Green Chem., 12, p. 539; Bu, C.Y., Yan, Y.X., Zou, L.H., Zheng, Z.J., Ouyang, J., One-pot biosynthesis of furfuryl alcohol and lactic acid via a glucose coupled biphasic system using single Bacillus coagulans NL01 (2020) Bioresour. Technol., 313; Bukhari, N.A., Bakar, N.A., Loh, S.K., Zairun, M.A., Isolation and identification of novel bioflocculant-producing bacteria from palm oil mill effluent (2015) J. Pure Appl. Microbiol., 9, pp. 1-12; Carro, J., Ferreira, P., Rodríguez, L., Prieto, A., Serrano, A., Balcells, B., Ardá, A., Martínez, A.T., 5-hydroxymethylfurfural conversion by fungal aryl-alcohol oxidase and unspecific peroxygenase (2015) FEBS J., 282; Cerny, C., Schlichtherle-Cerny, H., Gibe, R., Yuan, Y., Furfuryl alcohol is a precursor for furfurylthiol in coffee (2021) Food Chem., 337; Chang, S., He, X., Wang, X., Li, B., Liu, L., Qin, J., Yao, Z., Pan, X., Exploring the optimized strategy for 5-hydroxymethyl-2-furancarboxylic acid production from agriculture wastes using Pseudomonas aeruginosa PC-1 (2021) Process Biochem., 102, pp. 417-422; Choi, S.Y., Gong, G., Park, H.S., Um, Y., Sim, S.J., Woo, H.M., Extreme furfural tolerance of a soil bacterium Enterobacter cloacae GGT036 (2015) J. Biotechnol., 193, pp. 11-13; Cissé, H., Kagambèga, B., Sawadogo, A., Tankoano, A., Sangaré, G., Traoré, Y., Ouoba, I.I.L., Savadogo, A., Molecular characterization of Bacillus, lactic acid bacteria and yeast as potential probiotic isolated from fermented food (2019) Sci. African, 6; Clarkson, S.M., Hamilton-brehm, S.D., Giannone, R.J., Engle, N.L., Tschaplinski, T.J., Hettich, R.L., Elkins, J.G., A comparative multidimensional LC-MS proteomic analysis reveals mechanisms for furan aldehyde detoxification in Thermoanaerobacter pseudethanolicus 39E (2014) Biotechnol. Biofuels, 7, pp. 1-14; Crigler, J., Eiteman, M.A., Altman, E., Characterization of the furfural and 5-hydroxymethylfurfural (HMF) metabolic pathway in the novel isolate Pseudomonas putida ALS1267 (2020) Appl. Biochem. Biotechnol., 190, pp. 918-930; Daou, M., Yassine, B., Wikee, S., Record, E., Duprat, F., Bertrand, E., Faulds, C.B., Pycnoporus cinnabarinus glyoxal oxidases display differential catalytic efficiencies on 5-hydroxymethylfurfural and its oxidized derivatives (2019) Fungal Biol. Biotechnol, 6, pp. 1-15; Davis, S.E., Benavidez, A.D., Gosselink, R.W., Bitter, J.H., De Jong, K.P., Datye, A.K., Davis, R.J., Kinetics and mechanism of 5-hydroxymethylfurfural oxidation and their implications for catalyst development (2014) J. Mol. Catal. Chem.; Davis, S.E., Houk, L.R., Tamargo, E.C., Datye, A.K., Davis, R.J., Oxidation of 5-hydroxymethylfurfural over supported Pt, Pd and Au catalysts (2011) Catal. Today, 160, pp. 55-60; Deka, D., Das, S.P., Sahoo, N., Das, D., Jawed, M., Goyal, D., Goyal, A., Enhanced cellulase production from Bacillus subtilis by optimizing physical parameters for bioethanol production (2013) ISRN Biotechnol, pp. 1-11. , 2013; Donoso, R.A., González-Toro, F., Pérez-Pantoja, D., Widespread distribution of hmf genes in Proteobacteria reveals key enzymes for 5-hydroxymethylfurfural conversion (2021) Comput. Struct. Biotechnol. J., 19, pp. 2160-2169; Duhan, P., Bansal, P., Rani, S., Isolation, identification and characterization of endophytic bacteria from medicinal plant Tinospora cordifolia (2020) South Afr. J. Bot., pp. 1-7. , 000; Fazelinejad, S., Brandberg, T., Lennartsson, P.R., Taherzadeh, M.J., Inhibitor tolerance: a comparison between rhizopus sp. and Saccharomyces cerevisiae (2013) Bioresources.com, 8, pp. 5524-5535; Feldman, D., Kowbel, D.J., Glass, N.L., Yarden, O., Hadar, Y., Detoxification of 5-hydroxymethylfurfural by the Pleurotus ostreatus lignolytic enzymes aryl alcohol oxidase and dehydrogenase (2015) Biotechnol. Biofuels, 8, pp. 3-11; Gaur, R., Tiwari, S., Isolation, production, purification and characterization of an organic-solvent-thermostable alkalophilic cellulase from Bacillus vallismortis RG-07 (2015) BMC Biotechnol., 15, pp. 1-12; Gorbanev, Y.Y., Klitgaard, S.K., Woodley, J.M., Christensen, C.H., Riisager, A., Gold-catalyzed aerobic oxidation of 5-hydroxymethyl- furfural in water at ambient temperature (2009) ChemSusChem, pp. 672-675; Guarnieri, M.T., Franden, M.A., Johnson, C.W., Beckham, G.T., Conversion and assimilation of furfural and 5-(hydroxymethyl)furfural by Pseudomonas putida KT2440 (2017) Metab. Eng. Commun, 4, pp. 22-28; Haronikova, A., Liden, G., Marova, I., Monitoring of growth and production characteristics of red yeasts cultivated on hydrothermally pretreated lignocellulosic pine material (2017) Chem. Biochem. Eng. Q., 31, pp. 527-535; Hartmans, S., Smits, J.P., Van der Werf, M.J., Volkering, F., de Bont, J.A.M., Metabolism of styrene oxide and 2-phenylethanol (1989) Appl. Environ. Microbiol., 55, pp. 2850-2855; He, Y., Jiang, C., Chong, G., Di, J., Ma, C., Biological synthesis of 2, 5-bis (hydroxymethyl) furan from biomass-derived 5-hydroxymethylfurfural by E. coli CCZU-K14 whole cells (2018) Bioresour. Technol., 247, pp. 1215-1220; Henson, W.R., Meyers, A.W., Jayakody, L.N., DeCapite, A., Black, B.A., Michener, W.E., Johnson, C.W., Beckham, G.T., Biological upgrading of pyrolysis-derived wastewater: engineering Pseudomonas putida for alkylphenol, furfural, and acetone catabolism and (methyl)muconic acid production (2021) Metab. Eng., 68, pp. 14-25; Hsu, C.T., Kuo, Y.C., Liu, Y.C., Tsai, S.L., Green conversion of 5-hydroxymethylfurfural to furan-2,5-dicarboxylic acid by heterogeneous expression of 5-hydroxymethylfurfural oxidase in Pseudomonas putida S12 (2020) Microb. Biotechnol.; Huang, C., Jiang, Y., Guo, G., Hwang, W., Development of a yeast strain for xylitol production without hydrolysate detoxification as part of the integration of co-product generation within the lignocellulosic ethanol process (2011) Bioresour. Technol., 102, pp. 3322-3329; Igeño, M.I., Macias, D., Blasco, R., A case of adaptive laboratory evolution (ALE): biodegradation of furfural by pseudomonas pseudoalcaligenes CECT 5344 (2019) Genes, 10; Knaus, T., Knaus, T., Tseliou, V., Humphreys, L.D., Scruttonc, N.S., Mutti, F.G., A biocatalytic method for the chemoselective aerobic oxidation of aldehydes to carboxylic acids (2018) Green Chem., 20, pp. 3931-3943; Koopman, F., Wierckx, N., de Winde, J.H., Ruijssenaars, H.J., Efficient whole-cell biotransformation of 5-(hydroxymethyl)furfural into FDCA, 2,5-furandicarboxylic acid (2010) Bioresour. Technol., 101, pp. 6291-6296; Koopman, F., Wierckx, N., de Winde, J.H., Ruijssenaars, H.J., Lonnie, O., Ingram, N., Identification and characterization of the furfural and 5-(hydroxymethyl)furfural degradation pathways of Cupriavidus basilensis HMF14 (2010) Proc. Natl. Acad. Sci. Unit. States Am., 107. , 4919–1927; Ladeira, S.A., Cruz, E., Delatorre, A.B., Barbosa, J.B., Martins, M.L.L., Cellulase production by thermophilic Bacillus sp. SMIA-2 and its detergent compatibility (2015) Electron. J. Biotechnol., 18, pp. 110-115; Lalanne, L., Nyanhongo, G.S., Guebitz, G.M., Pellis, A., Biotechnological production and high potential of furan-based renewable monomers and polymers (2021) Biotechnol. Adv., 48; Lee, S.A., Wrona, L.J., Cahoon, A.B., Crigler, J., Eiteman, M.A., Altman, E., Isolation and characterization of bacteria that use furans as the sole carbon source (2015) Appl. Biochem. Biotechnol., 178, pp. 76-90; Li, J., Yang, Z., Zhang, K., Liu, M., Liu, D., Yan, X., Si, M., Shi, Y., Valorizing waste liquor from dilute acid pretreatment of lignocellulosic biomass by Bacillus megaterium B-10 (2021) Ind. Crop. Prod., 161; Li, Y.Y., Li, Q., Zhang, P.Q., Ma, C.L., Xu, J.H., He, Y.C., Catalytic conversion of corncob to furfuryl alcohol in tandem reaction with tin-loaded sulfonated zeolite and NADPH-dependent reductase biocatalyst (2021) Bioresour. Technol., 320; Lilga, M.A., Hallen, R.T., Gray, M., Production of oxidized derivatives of 5-Hydroxymethylfurfural (HMF) (2010) Top. Catal., 53, pp. 1264-1269; Liu, J., Zhao, L., Ma, D., Sun, X., Liu, X.L., Optimization of solid fermentation process of Bacillus megaterium and its application in crop growth (2018) Lect. Notes Electr. Eng, 444, pp. 329-338; Liu, Z.L., Slininger, P.J., Dien, B.S., Berhow, M.A., Kurtzman, C.P., Gorsich, S.W., Adaptive response of yeasts to furfural and 5-hydroxymethylfurfural and new chemical evidence for HMF conversion (2004) J. Ind. Microbiol. Biotechnol., 31, pp. 345-352; Logan, N.A., De Vos, P., Bacillus, in: bergey's manual of systematics of archaea and bacteria (2015), pp. 1-163; López, A.C., Alippi, A.M., Feasibility of using RFLP of PCR-amplified 16S rRNA gene(s) for rapid differentiation of isolates of aerobic spore-forming bacteria from honey (2019) J. Microbiol. Methods, 165; López, M.J., Moreno, J., Nichols, N.N., Dien, B.S., Bothast, R.J., Isolation of microorganisms for biological detoxification of lignocellulosic hydrolysates (2004) Appl. Microbiol. Biotechnol., 64, pp. 125-131; Luna, H., Manjarrez, N., Pérez, H., Solís, A., Sánchez, R., Furoic acid preparation by microbial oxidation (1997) Rev. Mex. Ciencias Farm., 28, pp. 17-19; Ma, Z., Liao, Z., Ma, C., He, Y.C., Gong, C., Yu, X., Chemoenzymatic conversion of Sorghum durra stalk into furoic acid by a sequential microwave-assisted solid acid conversion and immobilized whole-cells biocatalysis (2020) Bioresour. Technol., 311; Maes, S., Props, R., Fitts, J.P., De Smet, R., Vanhaecke, F., Boon, N., Hennebel, T., Biological recovery of platinum complexes from diluted aqueous streams by axenic cultures (2017) PLoS One, 12, pp. 1-17; Masmoudi, F., Abdelmalek, N., Tounsi, S., Dunlap, C.A., Trigui, M., Abiotic stress resistance, plant growth promotion and antifungal potential of halotolerant bacteria from a Tunisian solar saltern (2019) Microbiol. Res., 229; Mertens, A., Kelly, A., Hector, R.E., Screening for inhibitor tolerant Saccharomyces cerevisiae strains from diverse environments for use as platform strains for production of fuels and chemicals from biomass (2018) Bioresour. Technol. Reports, 3, pp. 154-161; Mitsukura, K., Sato, Y., Yoshida, T., Nagasawa, T., Oxidation of heterocyclic and aromatic aldehydes to the corresponding carboxylic acids by Acetobacter and Serratia strains (2004) Biotechnol. Lett., 26, pp. 1643-1648; Muñoz, T., Rache, L.Y., Rojas, H.A., Romanelli, G.P., Martinez, J.J., Luque, R., Production of 5-hydroxymethyl-2-furan carboxylic acid by Serratia marcescens from crude 5-hydroxymethylfurfural (2020) Biochem. Eng. J., 154; Nichols, N.N., Mertens, J.A., Identification and transcriptional profiling of Pseudomonas putida genes involved in furoic acid metabolism (2008) FEMS Microbiol. Lett., 284, pp. 52-57; Okonkwo, C.C., Ujor, V., Ezeji, T.C., Production of 2,3-Butanediol from non-detoxified wheat straw hydrolysate: impact of microbial inhibitors on Paenibacillus polymyxa DSM 365 (2021) Ind. Crop. Prod., 159; Omana, R., Krishnan, T., Kumar, A., Biosynthesis of 2, 5-furan dicarboxylic acid by Aspergillus flavus APLS-1: process optimization and intermediate product analysis (2019) Bioresour. Technol., 284, pp. 155-160; Palmqvist, E., Hahn-Hägerdal, B., Fermentation of lignocellulosic hydrolysates. II: inhibitors and mechanisms of inhibition (2000) Bioresour. Technol., 74, pp. 25-33; Pan, X., Wu, S., Yao, D., Liu, L., Zhang, L., Yao, Z., Pan, Y., Li, B., Efficient biotransformation of 5-hydroxymethylfurfural to 5-hydroxymethyl-2-furancarboxylic acid by a new whole-cell biocatalyst: Pseudomonas aeruginosa PC-1 (2020) React. Chem. Eng, 5, pp. 1397-1404; Parpot, P., Bettencourt, A.P., Chamoulaud, G., Kokoh, K.B., Belgsir, E.M., Electrochemical investigations of the oxidation-reduction of furfural in aqueous medium - application to electrosynthesis (2004) Electrochim. Acta, 49, pp. 397-403; Peng, B., Ma, C.L., Zhang, P.Q., Wu, C.Q., Wang, Z.W., Li, A.T., He, Y.C., Yang, B., An effective hybrid strategy for converting rice straw to furoic acid by tandem catalysis via Sn-sepiolite combined with recombinant E. coli whole cells harboring horse liver alcohol dehydrogenase (2019) Green Chem., 21, pp. 5914-5923; Peng, L., Wang, L., Che, C., Yang, G., Yu, B., Ma, Y., Bacillus sp. strain P38: an efficient producer of l-lactate from cellulosic hydrolysate, with high tolerance for 2-furfural (2013) Bioresour. Technol., 149, pp. 169-176; Pérez, H.I., Manjarrez, N., Solís, A., Luna, H., Ramírez, M.A., Cassani, J., Microbial biocatalytic preparation of 2-furoic acid by oxidation of 2-furfuryl alcohol and 2-furanaldehyde with Nocardia corallina (2009) Afr. J. Biotechnol., 8, pp. 2279-2282; Pick, A., Schmid, J., Sieber, V., Characterization of uronate dehydrogenases catalysing the initial step in an oxidative pathway (2015) Microb. Biotechnol, 8, pp. 633-643; Ra, C.H., Jeong, G.T., Shin, M.K., Kim, S.K., Biotransformation of 5-hydroxymethylfurfural (HMF) by Scheffersomyces stipitis during ethanol fermentation of hydrolysate of the seaweed Gelidium amansii (2013) Bioresour. Technol., 140, pp. 421-425; Rajesh, R.O., Krishnan, T., Ashok, G., Binod, P., Whole cell based biocatalytic production of 2,5-furandicarboxylic acid (2018) Indian J. Exp. Biol., 56, pp. 493-497; Ran, H., Zhang, J., Gao, Q., Lin, Z., Bao, J., Analysis of biodegradation performance of furfural and 5-hydroxymethylfurfural by Amorphotheca resinae ZN1 (2014) Biotechnol. Biofuels, 7, pp. 2-12; Rodríguez, M.A., Rache, L.Y., Brijaldo, M.H., Romanelli, G.P., Luque, R., Martinez, J.J., Biocatalytic transformation of furfural into furfuryl alcohol using resting cells of Bacillus cereus (2021) Catal. Today, 372, pp. 220-225; Sadhu, S., Ghosh, P.K., De, T.K., Maiti, T.K., Optimization of cultural condition and synergistic effect of lactose with carboxymethyl cellulose on cellulase production by Bacillus sp. isolated from fecal matter of elephant (Elephas maximus) (2013) Adv. Microbiol., 3, pp. 280-288; Suriyamongkol, P., Weselake, R., Narine, S., Moloney, M., Shah, S., Biotechnological approaches for the production of polyhydroxyalkanoates in microorganisms and plants - a review (2007) Biotechnol. Adv., 25, pp. 148-175; Tan, H., Zhou, F., Liao, D., Ouyang, J., Zheng, Z., Improved biosynthesis of 2,5-Furandicarboxylic acid through coupling of heterologous pathways in Escherichia coli and native pathways in Pseudomonas putida (2020) Biochem. Eng. J., 161; Troiano, D., Orsat, V., Dumont, M.-J., Use of filamentous fungi as biocatalysts in the oxidation of 5-(hydroxymethyl)furfural (HMF) (2022) Bioresour. Technol., 344; Trudgill, P.W., The metabolism of 2-furoic acid by Pseudomanas F2 (1969) Biochem. J., 113, pp. 577-587; Van der Pol, E., Springer, J., Vriesendorp, B., Weusthuis, R., Eggink, G., Precultivation of Bacillus coagulans DSM2314 in the presence of furfural decreases inhibitory effects of lignocellulosic by-products during l(+)-lactic acid fermentation (2016) Appl. Microbiol. Biotechnol., 100, pp. 10307-10319; Van der Pol, E.C., Eggink, G., Weusthuis, R.A., Production of L(+)-lactic acid from acid pretreated sugarcane bagasse using Bacillus coagulans DSM2314 in a simultaneous saccharification and fermentation strategy (2016) Biotechnol. Biofuels, 9, pp. 1-12; Wang, F., Zhang, Z., Cs-substituted tungstophosphate-supported ruthenium nanoparticles: an effective catalyst for the aerobic oxidation of 5-hydroxymethylfurfural into 5-hydroxymethyl-2-furancarboxylic acid (2017) J. Taiwan Inst. Chem. Eng., 70, pp. 1-6; Wang, H., Ouyang, Y., Zhou, C., Xiao, D., Guo, Y., Wu, L., YKL071W from Saccharomyces cerevisiae encodes a novel aldehyde reductase for detoxification of glycolaldehyde and furfural derived from lignocellulose (2017) Appl. Microbiol. Biotechnol., 101, pp. 8405-8418; Wang, X., Zhang, X.Y., Zong, M.H., Li, N., Sacrificial substrate-free whole-cell biocatalysis for the synthesis of 2,5-furandicarboxylic acid by engineered Escherichia coli (2020) ACS Sustain. Chem. Eng., 8, pp. 4341-4345; Wang, Z.W., Gong, C.J., He, Y.C., Improved biosynthesis of 5-hydroxymethyl-2-furancarboxylic acid and furoic acid from biomass-derived furans with high substrate tolerance of recombinant Escherichia coli HMFOMUT whole-cells (2020) Bioresour. Technol., 303; Werpy, T., Petersen, G., Op value added chemicals from biomass: volume I – results of screening for potential candidates from sugars and synthesis gas (2004) U.S. Dep. energy, 1 (76); Wierckx, N., Koopman, F., Bandounas, L., De Winde, J.H., Ruijssenaars, H.J., Isolation and characterization of Cupriavidus basilensis HMF14 for biological removal of inhibitors from lignocellulosic hydrolysate (2010) Microb. Biotechnol, 3, pp. 336-343; Wierckx, N., Koopman, F., Ruijssenaars, H.J., De Winde, J.H., Microbial degradation of furanic compounds: biochemistry, genetics, and impact (2011) Appl. Microbiol. Biotechnol., 92, pp. 1095-1105; Wilson, C.M., Yang, S., Rodriguez, M., Jr., Ma, Q., Johnson, C.M., Dice, L., Xu, Y., Brown, S.D., Clostridium thermocellum transcriptomic profiles after exposure to furfural or heat stress (2013) Biotechnol. Biofuels, 6, pp. 131-144; Wordofa, G.G., Kristensen, M., Tolerance and metabolic response of Pseudomonas taiwanensis VLB120 towards biomass hydrolysate - derived inhibitors (2018) Biotechnol. Biofuels, 11, pp. 1-11; Yan, Y., Bu, C., He, Q., Zheng, Z., Ouyang, J., Efficient bioconversion of furfural to furfuryl alcohol by Bacillus coagulans NL01 (2018) RSC Adv., 8, pp. 26720-26727; Yang, C.-F., Huang, C.-R., Biotransformation of 5-hydroxy-methylfurfural into 2,5-furan-dicarboxylic acid by bacterial isolate using thermal acid algal hydrolysate (2016) Bioresour. Technol., 214, pp. 311-318; Yang, C., Huang, C., Isolation of 5-hydroxymethylfurfural biotransforming bacteria to produce 2, 5-furan dicarboxylic acid in algal acid hydrolysate (2018) J. Biosci. Bioeng., 125, pp. 1-6; Yang, D., Ma, C., Peng, B., Xu, J., He, Y.C., Synthesis of furoic acid from biomass via tandem pretreatment and biocatalysis (2020) Ind. Crop. Prod., 153; Ye, L., Hudari, M.S.B., Li, Z., Wu, J.C., Simultaneous detoxification, saccharification and co-fermentation of oil palm empty fruit bunch hydrolysate for l-lactic acid production by Bacillus coagulans JI12 (2014) Biochem. Eng. J., 83, pp. 16-21; Zhang, S., Winestrand, S., Chen, L., Li, D., Hong, F., Tolerance of the nanocellulose-producing bacterium gluconacetobacter xylinus to lignocellulose-derived acids and aldehydes (2014) J. Agric. Food Chem., 64, pp. 9792-9799; Zhang, T., Zhu, M.-J., Enhanced bioethanol production by fed-batch simultaneous saccharification and co-fermentation at high solid loading of Fenton reaction and sodium hydroxide sequentially pretreated sugarcane bagasse (2017) Bioresour. Technol., 229; Zhang, Y., Han, B., Ezeji, T.C., Biotransformation of furfural and 5-hydroxymethyl furfural (HMF) by Clostridium acetobutylicum ATCC 824 during butanol fermentation (2012) N. Biotech., 29, pp. 345-351; Zheng, D., Bao, J., Lu, J., Gao, C., Isolation and characterization of a furfural-degrading bacterium Bacillus cereus sp. strain DS1 (2015) Curr. Microbiol., 70, pp. 199-205; Zhu, X., Ma, C., Jiaxing, X., Jianhe, X., He, Y.C., Sulfonated vermiculite-mediated catalysis of reed (phragmites communis) into furfural for enhancing the biosynthesis of 2-furoic acid with a dehydrogenase biocatalyst in a one-pot manner (2020) Energy Fuel., 34, pp. 14573-14580</t>
  </si>
  <si>
    <t>Becerra, M.L.Tv. 3 # 60A-41, Boyacá, Colombia; email: monica.becerra@uptc.edu.co</t>
  </si>
  <si>
    <t>2-s2.0-85122918009</t>
  </si>
  <si>
    <t>Quintero-Castellanos J.M., Hernández Á., Parra T.</t>
  </si>
  <si>
    <t>57406446600;55321877000;57406794500;</t>
  </si>
  <si>
    <t>Pain prevalence in infants and preschool children in a Colombian hospital</t>
  </si>
  <si>
    <t>Colombian Journal of Anesthesiology</t>
  </si>
  <si>
    <t>e1000</t>
  </si>
  <si>
    <t>https://www.scopus.com/inward/record.uri?eid=2-s2.0-85122586794&amp;doi=10.5554%2f22562087.e1000&amp;partnerID=40&amp;md5=f7e7549f1efb98c0c67b9585c8edba63</t>
  </si>
  <si>
    <t>Pain Unit, Hospital San Rafael de Tunja, Tunja, Colombia; Research Postgraduate Program, Universidad Pedagógica y Tecnológica de Colombia, Tunja, Colombia</t>
  </si>
  <si>
    <t>Quintero-Castellanos, J.M., Pain Unit, Hospital San Rafael de Tunja, Tunja, Colombia, Research Postgraduate Program, Universidad Pedagógica y Tecnológica de Colombia, Tunja, Colombia; Hernández, Á., Pain Unit, Hospital San Rafael de Tunja, Tunja, Colombia; Parra, T., Research Postgraduate Program, Universidad Pedagógica y Tecnológica de Colombia, Tunja, Colombia</t>
  </si>
  <si>
    <t>Introduction The pain prevalence in hospitalized infants and preschool children has not been accurately identified in high-income countries, and in low and medium-income countries it has not been extensively studied. The assessment instruments are limited. Objective To describe the prevalence and management of pain in infants and preschool children during the first 24 hours of hospitalization in a third level institution in Colombia, using the LLANTO scale. Methods An observational study was conducted during the first 24 hours of hospitalization. Demographic information was recorded, pain was assessed at admission, after 4, and 24 hours using the LLANTO scale. Pharmacological therapy was also documented. Results 250 children between one month and 5 years old were studied. The pain prevalence at admission was 12 %. The pain prevalence per subgroups was higher among the surgical patients, as compared to the clinical patients (35.9 % vs. 7.6 %). The pharmacological analysis revealed that 70.8 % of patients received treatment; the most widely used medications were oral acetaminophen and intravenous dipyrone. Conclusions: Pain prevalence was lower than the levels described for the general pediatric population. This result may be due to the sensitivity of the LLANTO instrument, or to a particular pain behavior. Further studies are needed to identify the sensitivity of the assessment instruments in early life and to accurately investigate any associated phenomena. © 2022 Lippincott Williams and Wilkins. All rights reserved.</t>
  </si>
  <si>
    <t>Child; Infant; Pain; Pain Measurement; Preschool; Prevalence</t>
  </si>
  <si>
    <t>analgesic agent; diclofenac; dipyrone; paracetamol; adult; analgesia; Article; child; child hospitalization; clinical assessment; clinical evaluation; Colombian; comparative study; controlled study; demographics; female; hospital admission; hospital care; hospitalized infant; human; infant; major clinical study; male; managed care; maxillofacial surgery; neurosurgery; newborn; nociception; observational study; orthopedics; pain; pain measurement; pediatric hospital; pediatric surgery; pediatrics; plastic surgery; preschool child; prevalence; prospective study; surgical patient; teaching hospital; traumatology</t>
  </si>
  <si>
    <t>diclofenac, 15307-79-6, 15307-86-5; dipyrone, 50567-35-6, 5907-38-0, 68-89-3; paracetamol, 103-90-2</t>
  </si>
  <si>
    <t>Pain terms a current list with definitions and notes on usage (1986) Pain, 24, pp. S215-S221. , http://www.doi.org/10.1016/0304-3959(86)90113-2, IASP; Aydede, M., Does the IASP definition of pain need updating? (2019) Pain Reports, 4 (5), pp. 1-7. , http://www.doi.org/10.1097/PR9.0000000000000777; Friedrichsdorf, SJ, Goubert, L., Pediatric pain treatment and prevention for hospitalized children (2020) PAIN Reports, 5 (1), p. e804. , http://www.doi.org/10.1097/pr9.0000000000000804; Shomaker, K, Dutton, S, Mark, M., Pain prevalence and treatment patterns in a us children's hospital (2015) Hosp Pediatr, 5 (7), pp. 363-370. , http://www.doi.org/10.1542/hpeds.2014-0195; Twycross, A, Collis, S., How well is acute pain in children managed? A snapshot in one english hospital (2013) Pain Manag Nurs, 14 (4), pp. e204-e215. , http://www.doi.org/10.1016/j.pmn.2012.01.003; Walther-Larsen, S, Pedersen, MT, Friis, SM, Pain prevalence in hospitalized children: A prospective cross-sectional survey in four Danish university hospitals (2017) Acta Anaesthesiol Scand, 61 (3), pp. 328-337. , http://www.doi.org/10.1111/aas.12846; Vejzovic, V, Bozic, J, Panova, G, Babajic, M, Bramhagen, AC., Children still experience pain during hospital stay: A cross-sectional study from four countries in Europe (2020) BMC Pediatr, 20 (1), pp. 4-9. , http://www.doi.org/10.1186/s12887-020-1937-1; Friedrichsdorf, SJ, Postier, A, Eull, D, Pain outcomes in a US children's hospital: A prospective cross-sectional survey (2015) Hosp Pediatr, 5 (1), pp. 18-26. , http://www.doi.org/10.1542/hpeds.2014-0084; Taylor, EM, Boyer, K, Campbell, FA., Pain in hospitalized children: A prospective cross-sectional survey of pain prevalence, intensity, assessment and management in a Canadian pediatric teaching hospital (2008) Pain Res Manag, 13 (1), pp. 25-32. , http://www.doi.org/10.1155/2008/478102; Birnie, KA, Chambers, CT, Fernandez, CV., Hospitalized children continue to report undertreated and preventable pain (2014) Pain Res Manag, 19 (4), pp. 198-204. , http://www.doi.org/10.1155/2014/614784; Cummings, EA, Reid, GJ, Finley, GA, McGrath, PJ, Ritchie, JA., Prevalence and source of pain in pediatric inpatients (1996) Pain, 68 (1), pp. 25-31. , http://www.doi.org/10.1016/S0304-3959(96)03163-6; Merkel, SI, Voepel-Lewis, TSJ, Malviya, S., The FLACC: A behavioral scale for scoring postoperative pain in young children (1997) Pediatr Nurs, 23 (3), pp. 293-297; Reinoso-Barbero, F, Lahoz Ramn, AI, Durn Fuente, MP, Campo Garca, G, Castro Parga, LE., Escala LLANTO: Instrumento español de medición del dolor agudo en la edad preescolar (2011) An Pediatr, 74 (1), pp. 10-14. , http://www.doi.org/10.1016/j.anpedi.2010.08.005; Tibaduiza, D, Ulloa, LC, López, CA, Rodríguez Torres, V., Evaluación de la validez de la escala llanto para dolor en neonatos y menores de cinco años, , http://repository.urosario.edu.co/handle/10336/10696, [Internt]. [Citado 17 Nov 2020]. Disponible en; Goodman, JE, McGrath, P., The epidemiology of pain in children and adolescents: A review (1991) Pain, 46 (3), pp. 247-264. , http://www.doi.org/10.1016/0304-3959(91)90108-a; The assessment and management of acute pain in infants, children, and adolescents (2001) Pediatrics, 108 (3), pp. 793-797. , http://www.doi.org/10.1542/peds.108.3.793; Ellis, JA, O'Connor, BV, Cappelli, M, Goodman, JT, Blouin, R, Reid, CW., Pain in hospitalized pediatric patients: How are we doing? (2002) Clin J Pain, 18 (4), pp. 262-269. , http://www.doi.org/10.1097/00002508-200207000-00007; Manworren, RC, Stinson, J., Seminars in pediatric neurology pediatric pain measurement, assessment and evaluation (2017) Nurs Chair Child Heal Nurse Pract, 23 (3), pp. 189-200. , http://www.doi.org/10.1016/j.spen.2016.10.001; Snidvongs, S, Nagaratnam, M, Stephens, R., Assessment and treatment of pain in children (2008) Br J Hosp Med, 69 (4), pp. 211-213. , http://www.doi.org/10.12968/hmed.2008.69.4.28975; Ghai, B, Makkar, JK, Wig, J., Postoperative pain assessment in preverbal children and children with cognitive impairment (2008) Paediatr Anaesth, 18 (6), pp. 462-477. , http://www.doi.org/10.1111/j.1460-9592.2008.02433.x; Brattberg, G., Do pain problems in young school children persist into early adulthood? A 13-year follow-up (2004) Eur J Pain, 8 (3), pp. 187-199. , http://www.doi.org/10.1016/j.ejpain.2003.08.001; Victoria, NC, Murphy, AZ., Exposure to early life pain: Long term consequences and contributing mechanisms (2016) Curr Opin Behav Sci, 7 (2015), pp. 61-68. , http://www.doi.org/10.1016/j.cobeha.2015.11.015; Williams, MD, Lascelles, BDX., Early neonatal pain-a review of clinical and experimental implications on painful conditions later in life (2020) Front Pediatr, 8, p. 30. , http://www.doi.org/10.3389/fped.2020.00030; Bawa, M, Mahajan, JK, Aggerwal, N, Sundaram, J, Rao, KLN., Barriers to pediatric pain management in children undergoing surgery: A survey of health care providers (2015) J Pain Palliat Care Pharmacother, 29 (4), pp. 353-358. , http://www.doi.org/10.3109/15360288.2015.1082010; Schlegelmilch, M, Punja, S, Jou, H, Observational study of pediatric inpatient pain, nausea/vomiting and anxiety (2019) Children, 6 (5), p. 65. , http://www.doi.org/10.3390/children6050065; Torio, C., Paediatric pain-related conditions impact healthcare expenditures (2015) Evid Based Med, 20 (6), p. 229. , http://www.doi.org/10.1136/ebmed-2015-110207; Estimaciones de Población 2005-2017 Departamentos [internet]. 2017 [citado 2020 jun. 20]. Disponible en: https://www.dane.gov. co/index.php/estadisticas-por-tema/demografia-y-poblacion/proyecciones-de-poblacion 28.Doca FNP, Costa ÁL, Finley GA, Linhares MBM. Pain in pediatric inpatients: Prevalence, characteristics, and management (2017), 10 (4), pp. 394-403. , Psychol Neurosci. http://www.doi. org; Wong, DL, Baker, C., Pain in children: Comparison of assessment scales (1988) Pediatr Nurs, 14 (1), pp. 9-17. , http://www.doi.org/10.1016/j.ijporl.2015.11.003; Harrison, D, Joly, C, Chretien, C, Pain prevalence in a pediatric hospital: Raising awareness during Pain Awareness Week (2014) Pain Res Manag, 19 (1), pp. 24-30. , http://www.doi.org/10.1155/2014/737692; Crellin, DJ, Harrison, D, Santamaria, N, Babl, FE., Systematic review of the face, legs, activity, cry and consolability scale for assessing pain in infants and children: Is it reliable, valid, and feasible for use? (2015) Pain, 156 (11), pp. 2132-2151. , http://www.doi.org/10.1097/j.pain.0000000000000305; Suraseranivongse, S, Santawat, U, Kraiprasit, K, Petcharatana, S, Prakkamodom, S, Muntraporn, N., Cross-validation of a composite pain scale for preschool children within 24 hours of surgery (2001) Br J Anaesth, 87 (3), pp. 400-405. , http://www.doi.org/10.1093/bja/87.3.400; Thrane, SE, Wanless, S, Cohen, SM, Danford, CA., The assessment and non-pharmacologic treatment of procedural pain from infancy to school age through a developmental lens: A synthesis of evidence with recommendations (2016) J Pediatr Nurs, 31 (1), pp. e23-e32. , http://www.doi.org/10.1016/j.pedn.2015.09.002; Velázquez, C, Rajah, C, Nosisi, Y, Joerg, S., An audit of paediatric pain prevalence, intensity, and treatment at a South African tertiary hospital (2019) Pain Reports, 4 (6), pp. 1-7. , http://www.doi.org/10.1097/PR9.0000000000000789; Kozlowski, LJ, Kost-Byerly, S, Colantuoni, E, Pain prevalence, intensity, assessment and management in a hospitalized pediatric population (2014) Pain Manag Nurs, 15 (1), pp. 22-35. , http://www.doi.org/10.1016/j.pmn.2012.04.003; Linhares, MBM, Doca, FNP, Martínez, FE, Pediatric pain: Prevalence, assessment, and management in a teaching hospital (2012) Brazilian J Med Biol Res, 45 (12), pp. 1287-1294. , http://www.doi.org/10.1590/S0100-879X2012007500147; Stevens, BJ, Harrison, D, Rashotte, J, Pain assessment and intensity in hospitalized children in Canada (2012) J Pain, 13 (9), pp. 857-865. , http://www.doi.org/10.1016/j.jpain.2012.05.010; Stevens, BJ, Abbott, LK, Yamada, J, Epidemiology and management of painful procedures in children in Canadian hospitals (2011) CMAJ, 183 (7), pp. 403-410. , http://www.doi.org/10.1503/cmaj.101341; Stinson, J, Yamada, J, Dickson, A, Lamba, J, Stevens, B., Review of systematic reviews on acute procedural pain in children in the hospital setting (2008) Pain Res Manag, 13 (1), pp. 51-57. , http://www.doi.org/10.1155/2008/465891; King, S, Chambers, CT, Huguet, A, The epidemiology of chronic pain in children and adolescents revisited: A systematic review (2011) Pain, 152 (12), pp. 2729-2738. , http://www.doi.org/10.1016/j.pain.2011.07.016; Lynch, AM, Kashikar-Zuck, S, Goldschneider, KR, Jones, BA., Sex and age differences in coping styles among children with chronic pain (2007) J Pain Symptom Manage, 33 (2), pp. 208-216. , http://www.doi.org/10.1016/j.jpainsymman.2006.07.014; Batoz, H, Semjen, F, Bordes-Demolis, M, Bnard, A, Nouette-Gaulain, K., Chronic postsurgical pain in children: Prevalence and risk factors. A prospective observational study (2016) Br J Anaesth, 117 (4), pp. 489-496. , http://www.doi.org/10.1093/bja/aew260; Shah, P, Siu, A., Considerations for neonatal and pediatric pain management (2019) Am J Heal Pharm, 76 (19), pp. 1511-1520. , http://www.doi.org/10.1093/ajhp/zxz166; de Leeuw, TG, Dirckx, M, González Candel, A, Scoones, GP, Huygen, FJPM, de Wildt, SN., The use of dipyrone (metamizol) as an analgesic in children: What is the evidence? A review (2017) Paediatr Anaesth, 27 (12), pp. 1193-1201. , http://www.doi.org/10.1111/pan.13257; Fieler, M, Eich, C, Becke, K, Metamizole for postoperative pain therapy in 1177 children: A prospective, multicentre, observational, postauthorisation safety study (2015) Eur J Anaesthesiol, 32 (12), pp. 839-843. , http://www.doi.org/10.1097/EJA.0000000000000272; Stamer, UM, Stammschulte, T, Erlenwein, J, Recommendations for the perioperative use of dipyrone: Expert recommendation of the working group on acute pain of the German Pain Society, the scientific working group on pain medicine of the German Society for Anesthesiology and Intensive Care Medicine (2019) Schmerz, 33 (4), pp. 287-294. , http://www.doi.org/10.1007/s00482-019-0389-8; Souki, M., Metamizole for postoperative pain therapy (2016) Eur J Anaesthesiol, 33 (10), pp. 785-786. , http://www.doi.org/10.1097/EJA.0000000000000498; Messerer, B, Grögl, G, Stromer, W, Jaksch, W., Perioperative systemische schmerztherapie bei kindern. Österreichische interdisziplinäre handlungsempfehlungen zum perioperativen schmerzmanagement bei kindern (2014) Schmerz, 28 (1), pp. 43-64. , http://www.doi.org/10.1007/s00482-013-1384-0; García, M, Funes, R, Vidal, A., Manejo del dolor en Atención Primaria (2016) Curso Actual Pediatría, 3, pp. 379-390. , AEPap (ed); Carlson, J, Youngblood, R, Dalton, JA, Blau, W, Lindley, C., Is patient satisfaction a legitimate outcome of pain management? (2003) J Pain Symptom Manage, 25 (3), pp. 264-275. , http://www.doi.org/10.1016/S0885-3924(02)00677-2; Schwenkglenks, M, Gerbershagen, HJ, Taylor, RS, Correlates of satisfaction with pain treatment in the acute postoperative period : Results from the international PAIN OUT registry (2014) Pain, 155 (7), pp. 1401-1411. , http://www.doi.org/10.1016/j.pain.2014.04.021; Andrews, RM, Browne, AL, Wood, F, Schug, SA., Predictors of patient satisfaction with pain management and improvement 3 months after burn injury (2012) J Burn Care Res, 33 (3), pp. 442-452. , http://www.doi.org/10.1097/BCR.0b013e31823359ee</t>
  </si>
  <si>
    <t>Quintero-Castellanos, J.M.Avenida Norte 47-18, Colombia; email: manuel.quintero@uptc.edu.co</t>
  </si>
  <si>
    <t>Sociedad Colombiana de Anestesiologia y Reanimacion</t>
  </si>
  <si>
    <t>Colombian J. Anesthesiol.</t>
  </si>
  <si>
    <t>2-s2.0-85122586794</t>
  </si>
  <si>
    <t>Chinome Torres J.D., Rodríguez Barreto L.C.</t>
  </si>
  <si>
    <t>57401935900;57192962569;</t>
  </si>
  <si>
    <t>Comparison of the CUMANIN and CUMANES Scales: A psychometric experience [Comparaison des échelles CUMANIN et CUMANES: une expérience psychométrique] [Comparação das escalas CUMANIN e CUMANES: uma experiência psicométrica] [Comparación de los baremos del CUMANIN y CUMANES: una experiencia psicométrica]</t>
  </si>
  <si>
    <t>Revista de Psicologia (Peru)</t>
  </si>
  <si>
    <t>https://www.scopus.com/inward/record.uri?eid=2-s2.0-85122365247&amp;doi=10.18800%2fpsico.202201.013&amp;partnerID=40&amp;md5=af9f80d297e0b9880036af2b5902f53b</t>
  </si>
  <si>
    <t>Universidad Pedagógica y Tecnológica de Colombia, Sede Central Tunja–Boyacá–Colombia Avenida Central del Norte 39-115, Colombia</t>
  </si>
  <si>
    <t>Chinome Torres, J.D., Universidad Pedagógica y Tecnológica de Colombia, Sede Central Tunja–Boyacá–Colombia Avenida Central del Norte 39-115, Colombia; Rodríguez Barreto, L.C., Universidad Pedagógica y Tecnológica de Colombia, Sede Central Tunja–Boyacá–Colombia Avenida Central del Norte 39-115, Colombia</t>
  </si>
  <si>
    <t>Se hizo una valoración neuropsicológica con los cuestionarios CUMANIN y CUMANES usando los baremos colombianos, haciendo una comparación con los baremos originales. El estudio es descriptivo-no experimental, en total, participaron 400 niños de colegios públicos y privados de 6 municipios del departamento de Boyacá-Colombia, Los participantes tenían edades entre los 3 y 11 años (M=6,69; DE=2,632 años). Se realizó un análisis de desempeño a partir de frecuencias en cada una de las subescalas que contaban con baremo, se hizo un análisis comparativo con la prueba t-student. Se identificaron diferencias estadísticas en el uso de los baremos en el CUMANIN y CUMANES. Se encontraron diferencias en lenguaje articulatorio en el CUMANIN en las variables sexo y tipo de institución. En el CUMANES se encontraron diferencias en el tipo de institución. Se sugiere hacer uso de los baremos de acuerdo a lo sugerido por la APA, se recomienda tener precauciones en el uso de pruebas no baremadas. El uso de los baremos permitiría la elaboración de algunas políticas públicas en la infancia a partir de una aproximación diagnóstica válida. © 2022 Pontificia Universidad Catolica del Peru. All rights reserved.</t>
  </si>
  <si>
    <t>Child development; Neuropsychological assessment; Psychometry</t>
  </si>
  <si>
    <t>article; child development; Colombia; human; neuropsychological test; psychometry</t>
  </si>
  <si>
    <t>Abad, F., Garrido, J., Olea, J., Ponsoda, V., (2016) Introducción a la psicometría: teoría clásica de los test y teoría de la respuesta al ítem, , Universidad Autónoma de Madrid; Ackerman, B. P., Brown, E. D., Income poverty, poverty co-factors, and the adjustment of children in elementary school (2006) Advances in Child Development and Behavior, 34, pp. 91-129. , http://doi.org/10.1016/S0065-2407(06)80005-4; Alonso-Nanclares, L., Gonzalez-Soriano, J., Rodriguez, J. R., DeFelipe, J., Gender differences in human cortical synaptic density (2008) Proceedings of the National Academy of Sciences of the United States of America, 105 (38), pp. 14615-14619. , http://doi.org/10.1073/pnas.0803652105; Ethical Principles of Psychologists and Code of Conduct (1992) American Psychologist, 47 (12), pp. 1597-1611. , http://doi.org/10.1037/0003066X.47.12.1597, American Psychological Association, E. C; 2010 Amendments to the 2002 “Ethical principles of psychologists and code of conduct” (2010) American Psychologist, , http://doi.org/10.1037/a0020168, American Psychological Association; Arango-Lasprilla, J., Rivera, D, (2015) Neuropsicología en Colombia: Datos normativos, estado actual y retos a futuro, , Editorial Autónoma de Manizales; Ávila, A. M., Adaptacion del cuestionario de madurez Neuropsicológica Infantil Cumanin de Portellano (2012) Revista Iberoamericana de Psicología: Ciencia y Tecnología, 5 (1), pp. 91-99; Bando, R., López-Boo, F., Li, X., (2016) Sex-differences in language and socio-emotional skills in early childhood, , http://www.iadb.org, Office of Strategic Planning and Development Effectiveness Social Protection and Health Division Inter-American Development Bank. Recuperado de; Benítez, Y. R., Bringas, M. D., Jiménez-Morales, R. M., Macías, V. E. F., Normas cubanas del instrumento neuropsicológico Luria Inicial para niños preescolares 4-6 años (2015) Cuadernos de Neuropsicología Panamerican Journal of Neuropshychology, 9 (2), pp. 49-70. , http://10.0.30.34/cnps/9.2.203, Recuperado de; Black, M. M., Walker, S. P., Fernald, L. C. H., Andersen, C. T., DiGirolamo, A. M., Lu, C., McCoy, D., GranthamMcGregor, S., Early childhood development coming of age: science through the life course (2016) The Lancet, 380 (10064), pp. 1-14. , http://doi.org/10.1016/S0140-6736(16)31389-7; Bryck, R. L., Fisher, P. A., Training the brain: Practical applications of neural plasticity from the intersection of cognitive neuroscience, developmental psychology, and prevention science (2012) American Psychologist, 67 (2), pp. 87-100. , http://doi.org/10.1037/a0024657; Castro, G., Díaz, A. M., Jairo, R., Bedoya, T., (2016) Documentos de Trabajo Fcea Departamento de Economía, p. 26. , https://www.javerianacali.edu.co/sites/ujc/files/node/fielddocuments/field_document_file/ddtn262016.pdf, Recuperado de; Cermakova, P., Formanek, T., Kagstrom, A., Winkler, P., Socioeconomic position in childhood and cognitive aging in Europe (2018) Neurology, 91 (17), pp. e1602-e1610. , http://doi.org/10.1212/WNL.0000000000006390; Chinome Torres, J. D., Barreto, R., Carlota, L., Parra Pulido, J. H., Implementación y evaluación de un programa de estimulación cognitiva en preescolares rurales (2017) Psicología desde el Caribe, 34 (3), pp. 184-203; Colmenero, F. B., Robles Bello, M. A., Utilidad del cuestionario CUMANIN para detectar diferencias, en dos grupos de preescolares, dentro de un programa de Atención Temprana. (Spanish). Utility of the CUMANIN Questionnaire for Detecting Differences in Two Groups of Preschool Aged Children in an Early Care Program. (English) (2012) Electronic Journal of Research in Educational Psychology, 10 (1), pp. 311-332; Fritze, T., Doblhammer, G., van den Berg, G. J., Can individual conditions during childhood mediate or moderate the long-term cognitive effects of poor economic environments at birth? (2014) Social Science and Medicine, 119 (2014), pp. 240-248. , http://doi.org/10.1016/j.socscimed.2014.07.011; Gilman, S. E., Hornig, M., Ghassabian, A., Hahn, J., Cherkerzian, S., Albert, P. S., Buka, L., Goldstein, J. M., Socioeconomic disadvantage, gestational immune activity, and neurodevelopment in early childhood (2017) Proceedings of the National Academy of Sciences of the United States of America, 114 (26), pp. 6728-6733. , http://doi.org/10.1073/pnas.1617698114; González-Pérez, P. A., Hernández, S., Martín-González, R., Verche, E., Quintero, I., Bravo, J., García-Marco, E., Memoria Visual (Dcs): Neurodesarrollo de la Memoria Figurativa [Adaptation in Children Population of the Visual Learning and Memory Test for Neuropsychological Assessment (DCS): Neurodevelopment of the Figurative Memory] (2014) Acción Psicológica, 10 (2), pp. 115-126. , http://doi.org/10.5944/ap.10.2.12215; Guamani Toapanta, G. M., (2016) La estimulación kinestésica y su influencia en el desarrollo cognitivo en niños de 4 a 5 años del Centro Educativo Nueva Era, , http://repo.uta.edu.ec/handle/123456789/23165, Recuperado de; Guerrero-leiva, M. K., Adaptación del Cuestionario de Madurez Neuropsicológica Infantil-CUMANIN en una población urbana de Lima (2006) Herediana, 1 (1), pp. 66-75. , http://biblio.uarm.edu.pe/cgi-bin/koha/opac-detail.pl?biblionumber=61542%5Cnhttps://www.researchgate.net/publication/237356921_Adaptacion_del_Cuestionario_de_Madurez_Neuropsicologica_Infantil-CUMANIN_en_una_Poblacion_Urbana_de_Lima, Recuperado de; Heckman, J. J., Masterov, D. V., The productivity argument for investinginyoungchildren (2007) ReviewofAgriculturalEconomics, (29), pp. 446-493. , http://doi.org/10.1111/j.1467-9353.2007.00359.x; Hernandez Sampieri, R., Fernandez Collado, C., Baptista Lucio, M., del, P., (2010) Metodología de la investigación, , http://doi.org/-ISBN978-92-75-32913-9, (10th ed). McGrawHill; Ingalhalikar, M., Smith, A., Parker, D., Satterthwaite, T. D., Elliott, M. A., Ruparel, K., Hakonarson, H., Verma, R., Sex differences in the structural connectome of the human brain (2014) Proceedings of the National Academy of Sciences of the United States of America, 111 (2), pp. 823-828. , http://doi.org/10.1073/pnas.1316909110; John, C. C., Black, M. M., Nelson, C. A., Neurodevelopment: The impact of nutrition and inflammation during early to middle childhood in low-resource settings (2017) Pediatrics, , http://doi.org/10.1542/peds.2016-2828H; Johnson, S. B., Riis, J. L., Noble, K. G., State of the art review: poverty and the developing brain (2016) Pediatrics, 137 (4), pp. 1-16. , http://doi.org/10.1542/peds.2015-3075; Knickmeyer, R. C., Gouttard, S., Kang, C., Evans, D., Wilber, K., Smith, J. K., Hamer, RM., Gilmore, J. H., A structural MRI study of human brain development from birth to 2 years (2008) J Neurosci, 28 (47), pp. 12176-12182. , http://doi.org/10.1523/JNEUROSCI.3479-08.2008\r28/47/12176, [pii]; Lenroot, R. K., Giedd, J. N., Brain development in children and adolescents: Insights from anatomical magnetic resonance imaging (2006) Neuroscience and Biobehavioral Reviews, 30 (6), pp. 18-29. , http://doi.org/10.1016/j.neubiorev.2006.06.001; Martín-Casas, P., Ballestero-Pérez, R., Meneses-Monroy, A., Beneit-Montesinos, J. V., Atínn-Arratibel, M. A., Portellano-Pérez, J. A., Neurodevelopment in preschool idiopathic toe-walkers (2015) Neurologia, 32 (7), pp. 446-454. , http://doi.org/10.1016/j.nrl.2016.02.012; Martín Casari, L., Oros Cabrini, M. P., Una experiencia de evaluación psicológica en una zona rural (2013) PSIENCIA: Revista Latinoamericana de Ciencia Psicológica, 5 (2), pp. 150-158. , https://www.redalyc.org/pdf/3331/333129928014.pdf, Recuperado de; Martin-Casas, P., Meneses-Monroy, A., Atín-Arratibel, M., Beneit-Montesinos, J. V., Decision trees: linking biomechanical and developmental characteristics of preschool idiopathic toe walkers: A cross-sectional study (2016) Austin Pediatrycs, 3 (3), p. 1036. , https://austinpublishinggroup.com/pediatrics/fulltext/ajp-v3-id1036.php, Recuperado de; McDermott, C. L., Seidlitz, J., Nadig, A., Liu, S., Clasen, L. S., Blumenthal, J. D., Raznahan, A., Longitudinally mapping childhood socioeconomic status associations with cortical and subcortical morphology (2018) Journal of Neuroscience, 39 (8), pp. 1365-1373. , http://doi.org/10.1101/352187; Messick, S., Test validity and the ethics of assessment (1980) American Psychologist, 35 (11), pp. 1012-1027. , http://doi.org/10.1037/0003066X.35.11.1012; Millana-Cuevas, Portellano, M.-A., Alteraciones neuropsicológicas en niños infectados por el virus de inmunodeficiencia humana (2007) Revue Neurologique, 44 (6), pp. 366-374. , https://doi.org/10.33588/rn.4406.2005612; Moreno-Gómez, A.-J., Cejudo, J., Effectiveness of a Mindfulness-Based Social-Emotional Learning Program on psychosocial adjustment and neuropsychological maturity in kindergarten children (2016) Mindfulness, 10, pp. 111-121. , http://doi.org/10.1007/s12671-018-0956-6; Nell, V., (2000) Cross-cultural neuropsychological assessment: Theory and practice, , Mahwah, NJ: Lawrence Erlbaum Associates Publishers; Nelson, C. A., Furtado, E. A., Fox, N. A., Zeanah, C. H., The deprived human brain (2009) American Scientist, 97 (3), pp. 222-229. , http://doi.org/10.1511/2009.78.222; Nelson, C. A., Zeanah, C. H., Fox, N. A., Marshall, P. J., Smyke, A. T., Guthrie, D., Cognitive recovery in socially deprived young children: the Bucharest Early Intervention Project (2007) Science (New York, N.Y.), 318 (5858), pp. 1937-1940. , http://doi.org/10.1126/science.1143921; Noble, K. G., Houston, S. M., Brito, N. H., Bartsch, H., Kan, E., Kuperman, J. M., Akshoomoff, N., Sowell, E. R., Family income, parental education and brain structure in children and adolescents (2015) Nature Neuroscience, 18, pp. 773-778. , http://doi.org/10.1038/nn.3983; Parra-Pulido, J. H., Rodríguez-Barreto, L. C., Chinome-Torres, J. D., Evaluación de la madurez neuropsicológica infantil en preescolares (2016) Revista Universidad y Salud, 18 (1), pp. 126-137. , http://www.scielo.org.co/pdf/reus/v18n1/v18n1a13.pdf, Recuperado de; Parra Pulido, J. H., Rodríguez Barreto, L. C., Chinome Torres, J. D., Relación entre peso al nacer y madurez neuropsicológica en preescolares de Tunja (Colombia) (2015) Pensamiento Psicológico, 13 (2), pp. 65-77. , http://doi.org/10.11144/Javerianacali.PPSI13-2.rpnm; Peng, L.-N., Cheng, Y., Chen, L.-K., Tung, H.-H., Chu, K.-H., Liang, S.-Y., Cognition and social-physiological factors associated with malnutrition in hospitalized older adults in Taiwan (2015) Journal of Nursing Research, 23 (1), pp. 1-5. , http://doi.org/10.1097/jnr.0000000000000074; Pérez-Escamilla, R., Rizzoli Córdoba, A., Alonso Cuevas, A., Reyes Morales, H., Advances in early childhood development: from neurons to large scale programs (2017) Boletín Médico del Hospital Infantil de México (English Edition), 74 (2), pp. 86-97. , http://doi.org/10.1016/j.bmhime.2017.11.022; Portellano, J. A., Mateos, R., Martínez-Arias, R., (2012) Cuestionario de Madurez Neuropsicológica Escolar (CUMANES), , TEA Ediciones; Portellano Pérez, J. A., Mateos Mateos, R., Martínez Arias, R., Tapia Pavón, A., Granados García-Tenorio, M. J., Cuestionario de madurez neuropsicológica infantil: CUMANIN (2000), https://dialnet.unirioja.es/servlet/libro?codigo=219925, TEA. Recuperado de; Rees, P., Booth, R., Jones, A., The emergence of neuroscientific evidence on brain plasticity: Implications for educational practice (2016) Educational &amp; Child Psychology, 33 (1), pp. 8-19; Richter, L. M., Daelmans, B., Lombardi, J., Heymann, J., Boo, F. L., Behrman, J. R., Lu, C., Darmstadt, G. L., Investing in the foundation of sustainable development: pathways to scale up for early childhood development (2017) The Lancet, 389 (10024), pp. 103-118. , http://doi.org/10.1016/S0140-6736(16)31698-1; Savanur, M. S., Purandare, M., Ghugre, P. S., Influence of birth weight and stunting on selected cognitive functions of young children in low socioeconomic areas of Mumbai City (2015) Journal of Psychosocial Research; Schoenmaker, C., Juffer, F., van IJzendoorn, M. H., van den Dries, L., Linting, M., van der Voort, A., Bakermans-Kranenburg, M. J., Cognitive and health-related outcomes after exposure to early malnutrition: The Leiden longitudinal study of international adoptees (2015) Children and Youth Services, 48, pp. 80-86. , http://doi.org/10.1016/j.childyouth.2014.12.010; Shawar, Y. R., Shiffman, J., Generation of global political priority for early childhood development: the challenges of framing and governance (2017) The Lancet, 389, pp. 119-124. , http://doi.org/10.1016/S0140-6736(16)31574-4, (10064); Shonkoff, J. P., Protecting Brains, Not Simply Stimulating Minds (2011) Science, 333 (6045), pp. 982-983. , http://doi.org/10.1126/science.1206014; Smyke, A. T., Koga, S. F., Johnson, D. E., Fox, N. A., Marshall, P. J., Nelson, C. A., Zeanah, C. H., The caregiving context in institution-reared and family-reared infants and toddlers in Romania (2007) Journal of Child Psychology and Psychiatry and Allied Disciplines, 48 (2), pp. 210-218. , http://doi.org/10.1111/j.1469-7610.2006.01694.x; Solís-Rodríguez, A. A., Morales-Sadaña, A., González-Bocaranda, J., Champsaur-Gómez, D., Rodríguez-Ashby, A., Utilidad de una evaluación neuropsicológica informatizada de la memoria verbal, el Cogval-Verbal, para la detección del deterioro cognitivo (2018) Datos preliminares. Invest. Pens. Crit, 6 (1), pp. 5-16. , https://doi.org/10.37387/ipc.v6i1.77; Sun, X., McHale, S. M., Updegraff, K. A., Maternal and paternal resources across childhood and adolescence as predictors of young adult achievement (2017) Journal of Vocational Behavior, 100, pp. 111-123. , http://doi.org/10.1016/j.jvb.2017.03.003; Ternera, C. C., Molina, R. T., Ternera, L. C., Relación entre el grado de madurez neuropsicológica infantil y el índice de talla y peso en niños de 3 a 7 años escolarizados de estratos socioeconómicos dos y tres de la ciudad de barranquilla (Colombia) (2012) Salud Uninorte, 28 (1), pp. 88-98. , http://www.scielo.org.co/scielo.php?script=sci_arttext&amp;pid=S0120-55522012000100009&amp;lng=en&amp;nrm=iso, Recuperado de; Waber, D. P., Bryce, C. P., Girard, J. M., Fischer, L. K., Fitzmaurice, G. M., Galler, J. R., Parental history of moderate to severe infantile malnutrition is associated with cognitive deficits in their adult offspring (2018) Nutritional Neuroscience, 21 (3), pp. 195-201. , http://doi.org/10.1080/1028415X.2016.1258379; Walhovd, K. B., Krogsrud, S. K., Amlien, I. K., Bartsch, H., Bjørnerud, A., Due-Tønnessen, P., Donald, G., Fjell, A. M., Neurodevelopmental origins of lifespan changes in brain and cognition (2016) Proceedings of the National Academy of Sciences of the United States of America, 113 (33), pp. 9357-9362. , http://doi.org/10.1073/pnas.1524259113; Walker, S. P., Wachs, T. D., Grantham-Mcgregor, S., Black, M. M., Nelson, C. A., Huffman, S. L., Richter, L., Inequality in early childhood: Risk and protective factors for early child development (2011) The Lancet, 378 (9799), pp. 1325-1338. , http://doi.org/10.1016/S0140-6736(11)60555-2; Walker, S. P., Wachs, T. D., Grantham-Mcgregor, S., Black, M. M., Nelson, C. A., Huffman, S. L., Baker-Henningham, H., Richter, L., Inequality in early childhood: Risk and protective factors for early child development (2011) The Lancet, 378 (9799), pp. 1325-1338. , http://doi.org/10.1016/S0140-6736(11)60555-2; Walker, S. P., Wachs, T. D., Meeks Gardner, J., Lozoff, B., Wasserman, G. A., Pollitt, E., Carter, J. A., Child development: risk factors for adverse outcomes in developing countries (2007) The Lancet, 369 (9556), pp. 145-157. , http://doi.org/10.1016/S0140-6736(07)60076-2; Zamora Crespo, B., García-Navarro, C., Pruebas neuropsicológicas en pediatría (2014) Anales de Pediatría Continuada, 12, pp. 191-197. , http://www.apcontinuada.com/es/pruebas-neuropsicologicas-pediatria/articulo/90339622/, (04), Recuperado de</t>
  </si>
  <si>
    <t>Pontificia Universidad Catolica del Peru</t>
  </si>
  <si>
    <t>Rev. Psicol.</t>
  </si>
  <si>
    <t>2-s2.0-85122365247</t>
  </si>
  <si>
    <t>Ruiz J.I., Castro-Abril P., López-López W., Páez D., Méndez L., Castro-Molinares S., Yadira-Cepeda Z., Caicedo-Bucheli M.A., del Carmen Amaris M., Moncayo J.E., Camelo-Mendoza R., Orduz-Gualdron F.S., Beltrán-Espitia M., Mongui Z.L., Domínguez E., Alejo-Riveros A., Pérez-Cervantes L., Castillo C.O., Alvarado-Pinzón L., Jaime A.R.-S., Alejo-Castillo E., Orejuela J., Rocha A., Arizabaleta M.P.</t>
  </si>
  <si>
    <t>23493468400;57221124290;57215221073;7003627634;57221115894;57401952800;57402094600;57402665100;57226855701;57194437556;57224072866;57402522000;57402381200;57402234300;57223851529;57196299211;57402665200;57402522100;57219125878;57401811600;57402665300;57214591182;57200387066;57401953000;</t>
  </si>
  <si>
    <t>Colombian Truth Commission: Knowledge, perception, efficacy, and associated emotions [Commission de la vérité colombienne: Connaissance, perception, efficacité et émotions associées] [Comissão colombiana da Verdade: Conhecimento, percepção, eficácia e emoções associadas] [La Comisión de la Verdad en Colombia: conocimiento, percepción, eficacia y emociones asociadas]</t>
  </si>
  <si>
    <t>https://www.scopus.com/inward/record.uri?eid=2-s2.0-85122360135&amp;doi=10.18800%2fpsico.202201.005&amp;partnerID=40&amp;md5=c7713a14b1623e02ff439050aaf03d07</t>
  </si>
  <si>
    <t>Universidad Nacional de Colombia, Carrera 30 # 45-03, Edificio 212, Of 220, Colombia; Universidad del País Vasco, Departamento de Psicología, Oficina 230. Carrera 30 – 45, Spain; Ciudad Universitaria, Bogotá, Colombia; Pontificia Universidad Javeriana, Cra 5ta # 39-00, Segundo Piso, Colombia; Universidad del País Vasco, Av de Tolosa 70, Guipuzcoa20011, Spain; Universidad del País Vasco, Av. Tolosa, 70, San Sebastián, Donostia, 20018, Spain; Universidad Nacional Abierta y a Distancia, Carrera 45B No. 18-15, Sur Villavencio, Colombia; Universidad Surcolombiana, Carrera 12 B No. 2-27 barrio surinama, Tunja (Boyacá), Colombia; Fundación Universitaria de Popayán, Colombia; Universidad del Norte, Colombia080020, Colombia; Universidad Antonio Nariño, Sede Cali, Colombia; Universidad Popular del César200001, Colombia; Universidad Simón Bolívar, Colombia; Fundación Universitaria Clateriana, Universidad Clateriana, 20 #5-66 Barrio Yesquita27001, Colombia; Universidad Pedagógica y Tecnológica de Colombia, Cr 7 23-50, Boyocá, Tunja, CP 15001, Colombia; Universidad Tecnológica de Bolívar, Colombia; Universidad de Ibague, Colombia; Corporación Universitaria Antonio José de Sucre, Urbanización castillete manzana C casa 11, Bolivar, Cartagena, Colombia; Universidad EAFIT, Colombia055460, Colombia; Universidad del País Vasco, Av. Tolosa, 7020013, Spain; Universidad de Manizales, Calle64B N°20ª55, apartamento 303, Manizales, Colombia; Universidad de San Buenaventura, Colombia050022, Colombia; Departamento de Psicología, Universidad EAFIT, Calle 27 D sur 28-50, Colombia; Universidad del Norte083005, Colombia; Universidad Antonio, Nariño, Colombia</t>
  </si>
  <si>
    <t>Ruiz, J.I., Universidad Nacional de Colombia, Carrera 30 # 45-03, Edificio 212, Of 220, Colombia; Castro-Abril, P., Universidad del País Vasco, Departamento de Psicología, Oficina 230. Carrera 30 – 45, Spain, Ciudad Universitaria, Bogotá, Colombia; López-López, W., Pontificia Universidad Javeriana, Cra 5ta # 39-00, Segundo Piso, Colombia; Páez, D., Universidad del País Vasco, Av de Tolosa 70, Guipuzcoa20011, Spain; Méndez, L., Universidad del País Vasco, Av. Tolosa, 70, San Sebastián, Donostia, 20018, Spain; Castro-Molinares, S., Universidad Nacional Abierta y a Distancia, Carrera 45B No. 18-15, Sur Villavencio, Colombia; Yadira-Cepeda, Z., Universidad Surcolombiana, Carrera 12 B No. 2-27 barrio surinama, Tunja (Boyacá), Colombia; Caicedo-Bucheli, M.A., Fundación Universitaria de Popayán, Colombia; del Carmen Amaris, M., Universidad del Norte, Colombia080020, Colombia; Moncayo, J.E., Universidad Antonio Nariño, Sede Cali, Colombia; Camelo-Mendoza, R., Universidad Popular del César200001, Colombia; Orduz-Gualdron, F.S., Universidad Simón Bolívar, Colombia; Beltrán-Espitia, M., Fundación Universitaria Clateriana, Universidad Clateriana, 20 #5-66 Barrio Yesquita27001, Colombia; Mongui, Z.L., Universidad Pedagógica y Tecnológica de Colombia, Cr 7 23-50, Boyocá, Tunja, CP 15001, Colombia; Domínguez, E., Universidad Tecnológica de Bolívar, Colombia; Alejo-Riveros, A., Universidad de Ibague, Colombia; Pérez-Cervantes, L., Corporación Universitaria Antonio José de Sucre, Urbanización castillete manzana C casa 11, Bolivar, Cartagena, Colombia; Castillo, C.O., Universidad EAFIT, Colombia055460, Colombia; Alvarado-Pinzón, L., Universidad del País Vasco, Av. Tolosa, 7020013, Spain; Jaime, A.R.-S., Universidad de Manizales, Calle64B N°20ª55, apartamento 303, Manizales, Colombia; Alejo-Castillo, E., Universidad de San Buenaventura, Colombia050022, Colombia; Orejuela, J., Departamento de Psicología, Universidad EAFIT, Calle 27 D sur 28-50, Colombia; Rocha, A., Universidad del Norte083005, Colombia; Arizabaleta, M.P., Universidad Antonio, Nariño, Colombia</t>
  </si>
  <si>
    <t>The Truth Commission in Colombia was established based on the transitional justice model. Its function is to serve as a measure of recognition of the violent events during the armed conflict, which has left more than nine million victims. In this scenario, a descriptive correlational study (N=1166) was conducted with a sample of 22 provinces of the country to evaluate the knowledge, approval, and perceived effectiveness of the first years of the Commission from psychosocial aspects: victimization, collective emotions, reconciliation, collective memory. 58% were direct victims. The results indicate high levels of approval and disposition to participate in the Commission’s activities, as well as some skepticism about its usefulness and low confidence in the official apologies of the groups in conflict. A high index of positive emotions related to the commission and low trust in government institutions is also found. The findings of this study coincide with previous experiences of truth commissions in Latin America and open the debate on the specificities of the Colombian context in the search for peace and the implications of the commission’s work in the reparation process. © 2022 Pontificia Universidad Catolica del Peru. All rights reserved.</t>
  </si>
  <si>
    <t>Colombia`s truth commission; Psychosocial impact; Reparation to victims; Social reconciliation; Transitional justice</t>
  </si>
  <si>
    <t>article; Colombia; correlational study; drug efficacy; emotion; government; human; human experiment; justice; major clinical study; memory; perception; trust; victim</t>
  </si>
  <si>
    <t>Arnoso, M., Cárdenas, M., Páez, D., Martín-Beristain, C., Paraguay: De las violaciones a los derechos humanos a la justicia transicional (2014) Salud y Sociedad, 5 (1), pp. 098-114. , https://doi.org/ISSN0718-7475; Arnoso-Martínez, M., Páez, D., Cárdenas, M., Zubieta, E., Espinosa, A., Bilbao, M., Representaciones sociales del pasado y rituales de justicia transicional en América Latina (2015) Cuadernos de Pesquisa, 45 (156), pp. 276-298. , https://doi.org/10.1590/198053143134; Blanca, M. J., Alarcón, R., Arnau, J., Bono, R., Bendayan, R., Non-normal data: Is ANOVA still a valid option? (2017) Psicothema, 29 (4), pp. 552-557. , https://doi.org/10.7334/psicothema2016.383; Beristain, C. M., Una comisión de la verdad para Colombia (2016) El derecho a la verdad como fundamento de la construcción de paz reflexiones sobre una comisión de la verdad para Colombia, (2), pp. 83-107; Cárdenas, M., Páez, D., Rimé, B., El impacto psicosocial de los procesos transicionales en Chile: Evaluación de los efectos de las comisiones nacional de “verdad y reconciliación” y “prisión política y tortura (2013) Revista de Psicología Social, 28 (2), p. 145. , https://doi.org/10.1174/021347413806196717; Cárdenas-Castro, M., Faúndez-Abarca, X., Arancibia-Martini, H., Y Ceruti-Mahn, C., The Relationship Between Posttraumatic Growth and Psychosocial Variables in Survivors of State Terrorism and Their Relatives (2021) Journal of Interpersonal Violence, 36 (1-2), pp. 428-447. , https://doi.org/10.1177/0886260517727494; Cusi, O., Pizarro, J. J., Alfaro-Beracoechea, L., Paéz, D., Carrera, P., Elevación o inspiración moral: creación y validación de una escala de elevación en castellano. Artículo en preparación (2018) Revista Latinoamericana de Psicología Positiva, 4. , Special; Espinosa, A., Páez, D., Velázquez, T., Cueto, R. M., Seminario, E., Sandoval, S., Reátegui, F., Jave, I., Between remembering and forgetting the years of political violence: Psychosocial impact of the Truth and Reconciliation Commission in Peru (2017) Political Psychology, 38 (5), pp. 849-866. , https://doi.org/10.1111/pops.12364; Hamber, B., Forgiveness and reconciliation: Paradise lost or pragmatism? (2007) Peace and Conflict, 13 (1), pp. 115-125. , https://doi.org/10.1037/h0094027; Hervás, G., Vázquez, C., Construction and validation of a measure of integrative well-being in seven languages: the Pemberton Happiness Index (2013) Health and quality of life outcomes, 11, p. 66. , https://doi.org/10.1186/1477-7525-11-66; (2019) Sistema Integral de Verdad, Justicia, Reparación y No Repetición SIVJRNR, pp. 2-6. , https://www.jep.gov.co/Infografas/SIVJRNR_ES.pdf, Bogotá. Recuperado de; López-López, W., A multidimensional and dynamic perspective of research and intervention in peace psychology (2020) Peace Psychologist, pp. 16-41; López-López, W., Pineda-Marín, C., Correa-Chica, A., Rincón-Unigarro, C., Silva, L. M., Psychology of Peace: Findings and Challenges for the Multidimensional Transformation of Violent Social Practices (2021) Political psychology in Latin America, pp. 131-150. , https://doi.org/10.1037/0000230-000, En C. Zúñiga y W. López-López (Eds); López-López, W., Marín, C. P., León, M. C. M., Garzón, D. C. P., Mullet, E., Colombian lay people’s willingness to forgive different actors of the armed conflict: Results from a pilot study (2012) Psicologica, 33 (3), pp. 655-663; López-López, W., Pineda, C., Murcia, C., Perilla, C., Mullet, E., Colombian lay people’s willingness to forgive different actors of the armed conflict: results from a pilot study (2013) Psicologica: International Journal of Methodology and Experimental Psychology, 33 (3), pp. 655-663; López-López, W., Silva, L. M., Castro Abril, P., Caicedo, A., Actitudes implícitas de estudiantes universitarios frente al perdón en el marco del conflicto armado colombiano (2016) Pensamiento Psicológico, 14 (2), pp. 49-62. , https://doi.org/10.11144/Javerianacali.PPSI14-2.aieu; Martín-Beristain, C., Páez, D., Rimé, B., Kanyangara, P., La superación de la violencia colectiva: impactos y problemas de los rituales de la justicia transicional (2011) Superando la violencia colectiva y construyendo cultura de paz, pp. 475-492. , En D. Páez, C. M. Beristain, J. L. González-Castro, N. Basabe, J. de Rivera (Eds), Fundamentos; Mathias, A., (2019) Who controls the present controls the past? Psychosocial effects of the Truth Commission’s evaluation and the social representations of history in Brazil, , (Doctoral dissertation). University of the Basque Country, Donostia-San Sebastián, Spain; Mathias, A., Páez, D., Espinosa, A., Sandoval, S., Alzugaray, C., Arnoso, M., Cárdenas, M., Zubieta, E., The association between Truth Commissions evaluation, emotional climate and institutional trust: comparison and meta-analysis of surveys in six South American countries (La relación entre la evaluación de las Comisiones de la Verdad, el clima emocional y la confianza institucional: comparación y metaanálisis de encuestas en seis países de América del Sur) (2020) Revista de Psicologia Social, 35 (2), pp. 203-245. , https://doi.org/10.1080/02134748.2020.1721053; Mullet, E., Pinto, M-C., Nann, S., Kadiangandu, J., Neto, F., Hacia una política positiva: el caso del perdón en el contexto intergrupal en Asia y Africa (2011) Superando la violencia colectiva y construyendo cultura de paz, pp. 377-398. , En D. Páez, C.M. Beristain, J.L. González-Castro, N. Basabe, J. de Rivera (Eds), Fundamentos; Noor, M., Shnabel, N., Halabi, S., Doosje, B., Peace vision and its socio-emotional antecedents: The role of forgiveness, trust, and inclusive victim perceptions (2015) Group Processes &amp; Intergroup Relations, 18 (5), pp. 644-654. , https://doi.org/10.1177/1368430215586604; Páez, D., Ruiz, J. I., Gally, O., Kornblit, A. L., Wiesenfeld, E., Vidal, C.M., Climaemocional:suconceptoymediciónmediante una investigación transcultural (1997) Revista de Psicología Social, 12 (1), pp. 79-98. , https://doi.org/10.1174/02347497320892045; Paez, D. R., Liu, J. H.-F., Collective memory of conflicts (2011) Frontiers of social psychology. Intergroup conflicts and their resolution: A social psychological perspective, pp. 105-124. , En D. Bar-Tal (Ed), Psychology Press; Paez, D., Bienestar, emociones positivas grupales, de trascendencia, espiritualidad y conductas sociales: correlatos y efectos (2018) Revista Latinoamericana de Psicología Política, 4, pp. 1-10; (2020) Unidad de Víctimas Gobierno Nacional; Reyes, C., Grondona, G., Rodriguez, M., Evaluación del impacto de la Comisión de la Verdad en Ecuador: aportes psicosociales en la actual discusión sobre la reparación a las víctimas (2015) Psicología Politica, 15 (32), pp. 119-136; Reyes, C., Grondona, G., Rodriguez, M., Páez, D., Post traumatic Growth of Victims informed by the Truth Commission of Ecuador (2018) Revista Interamericana de Psicología/Interamerican Journal of Psychology, 52 (3), pp. 379-388; Rimé, Bernard, (2012) La compartición social de las emociones, , Bilbao: Desclée de Brouwer, S.A; Ruiz, J. I., Actitudes sociales hacia ex reclusos: Un estudio exploratorio (2010) Suma Psicologica, 17 (2), pp. 169-177; Ruiz Pérez, J. I., Resiliencia comunitaria: propuesta de una escala y su relación con indicadores de violencia criminal (2015) Pensamiento Psicológico, 13 (1). , https://doi.org/10.11144/javerianacali.ppsi13-1.rcpe; Staub, E., Genocide, Mass Killing, and Violent Conflict: Prevention and Reconciliation (2012) The Oxford Handbook of Intergroup Conflict, pp. 309-327. , En L.R. Tropp (Ed), University Press; Trejos, L. F., Colombia: Una revisión teórica de su conflicto armado (2013) Revista Enfoques: Ciencia Política y Administración Pública, XI (18), pp. 55-75; Wohl., M. J. A., Branscombe, N. R., Forgiveness and collective guilt assignment to historical perpetrator groups depend on level of social category inclusiveness (2005) Journal of Personality and Social Psychology, 88, pp. 288-303. , https://doi.org/10.1037/0022-3514.88.2.288, Y</t>
  </si>
  <si>
    <t>2-s2.0-85122360135</t>
  </si>
  <si>
    <t>Páez Moreno D.F., Hamón Caicedo J.</t>
  </si>
  <si>
    <t>57388493700;57388890500;</t>
  </si>
  <si>
    <t>Traction Resistance in Chemical Anchors Resistencia a Tracción En Anclajes Químicos</t>
  </si>
  <si>
    <t>Lecture Notes in Civil Engineering</t>
  </si>
  <si>
    <t>209 LNCE</t>
  </si>
  <si>
    <t>10.1007/978-3-030-90788-4_58</t>
  </si>
  <si>
    <t>https://www.scopus.com/inward/record.uri?eid=2-s2.0-85121898099&amp;doi=10.1007%2f978-3-030-90788-4_58&amp;partnerID=40&amp;md5=ad8ce1bf5acfe90479d91ad95ab6c57d</t>
  </si>
  <si>
    <t>Universidad Nacional de Colombia, Bogotá, Colombia; Ingeniería Civil, Universidad de los Andes, Bogotá, Colombia; Universidad Pedagógica y Tecnológica de Colombia, Tunja, Colombia; Ingeniería Civil, Pontificia Universidad Javeriana, Bogotá, Colombia</t>
  </si>
  <si>
    <t>Páez Moreno, D.F., Universidad Nacional de Colombia, Bogotá, Colombia, Ingeniería Civil, Universidad de los Andes, Bogotá, Colombia, Universidad Pedagógica y Tecnológica de Colombia, Tunja, Colombia; Hamón Caicedo, J., Universidad Pedagógica y Tecnológica de Colombia, Tunja, Colombia, Ingeniería Civil, Pontificia Universidad Javeriana, Bogotá, Colombia</t>
  </si>
  <si>
    <t>In researches done on chemical anchors, also known as post installed structural anchors, they have shown a link between embedded depth and diameter of drilling with maximum resistance to traction. The present article shows the results of an investigation that analyzed the link from the traction resistance variation and type of failure in prototypes of structural anchors with changes in the embedded depth and drilling diameter. The prototypes were made in concrete with different compressive strengths, epoxy adhesive, and various types of reinforcement bars, subjected to pure tensile in universal machine. The results showed that tensile strength and type of failure are on function of a greater embedded depth and the diameter of the reinforcement bar anchored. © 2022, The Author(s), under exclusive license to Springer Nature Switzerland AG.</t>
  </si>
  <si>
    <t>Chemical anchors; Traction</t>
  </si>
  <si>
    <t>Adhesives; Compressive strength; Infill drilling; Reinforcement; Tensile strength; Chemical anchor; Embedded depth; Epoxy adhesives; Maximum resistances; Reinforcement bar; Resistance variations; Traction; Traction resistance; Universal machines; Anchors</t>
  </si>
  <si>
    <t>Report on Anchorage to Concrete (1997) ACI 355 1R-91 (Reapproved, 1997. , American Concrete Institute, Michigan; Use of epoxy compounds with concrete, ACI 503 R-93. ACI (1998) Michigan; Building Code Requirements for Structural Concrete and Commentary (2014) ACI, 318-14. , ACI, Michigan; (2014) ASTM E488/488M –, 10. , Standard Test Methods for Strength of Anchors in Concrete Elements. ASTM International, West Conshohocken; Çalışkan, Ö., Yılmaz, S., Kaplan, H., Kıraç, N., Shear strength of epoxy anchors embedded into low strength concrete (2013) Constr. Build. Mater., 38, pp. 723-730; Çolak, A., Parametric study of factors affecting the pull-out strength of steel rods bonded into precast concrete panels (2001) Int. J. Adhes. Adhes., 21 (6), pp. 487-493; Contrafatto, L., Cosenza, R., Behaviour of post-installed adhesive anchors in natural stone (2014) Constr. Build. Mater., 68, pp. 355-369; Gerber, B., Ekenel, M., Building code requirements for inspection of adhesive anchors in concrete (2013) J. Constr. Eng. Manag., 139 (10); Gesoğlu, M., Güneyisi, E., Güneyisi, E., Mermerdaş, M.Y., Modeling and analysis of the shear capacity of adhesive anchors post-installed into uncracked concrete (2014) Compos. B Eng., 60, pp. 716-724; (2016), Schaan; NTC 2, SIDERURGIA. ENSAYO DE TRACCIÓN PARA MATERIALES METÁLI-COS. MÉTODO DE ENSAYO A TEMPERATURA AMBIENTE. Instituto Colombiano de Normas Técnicas y Certificación (1995) Bogotá D.C; (2012) NTC, 673. , CONCRETOS. ENSAYO RESISTENCIA A LA COMPRESIÓN DE ESPECIMENES CILÍNDRICOS DE CONCRETO. Instituto Colombiano de Normas Técnicas y Certificación, Bogotá; McVay, M., Cook, R., Krishnamurthy, K., Pullout simulation of postinstalled chemically bonded anchors (1996) J. Struct. Eng., 122 (9), pp. 1016-1102; Ministerio de ambiente, vivienda y desarrollo territorial. (2010). REGLAMENTO COLOM-BIANO DE CONSTRUCCIÓN SISMO RESISTENTE DEL 2010, NSR-10. Colombia: Asociación Colombiana de Ingeniería Sísmica; Obata, M., Goto, M.I., The failure mechanism and the pull-out strength of a bond-type anchor near a free edge (1998) Mech. Mater., 28 (1-4), pp. 113-122; Puigvert, F., Crocombe, A., Gil, L., Static analysis of adhesively bonded anchorages for CFRP tendons (2014) Constr. Build. Mater., 61, pp. 206-215; Rendón, J., Los anclajes adhesivos en la construcción (2014) Noticreto, 126, pp. 43-47; Sika Colombia, S.A., (2014) Hoja técnica Sikadur Anchorfix-4. Sika Colombia, , Bogotá D.C; Upadhyaya, P., Kumar, S., Pull-out capacity of adhesive anchors: An analytical solution (2015) |. Int. J. Adhes. Adhes., 60, pp. 54-62; Yang, S., Wu, Z., Hu, X., Zheng, J., Theoretical analysis on pullout of anchor from anchor–mortar– concrete anchorage system (2008) Eng. Fract. Mech., 75 (5), pp. 961-985</t>
  </si>
  <si>
    <t>Páez Moreno, D.F.; Universidad Nacional de ColombiaColombia; email: diego.paez@uptc.edu.co</t>
  </si>
  <si>
    <t>Vayas I.Mazzolani F.M.</t>
  </si>
  <si>
    <t>4th International Conference on Protection of Historical Constructions, PROHITECH 2021</t>
  </si>
  <si>
    <t>25 October 2021 through 27 October 2021</t>
  </si>
  <si>
    <t>Lect. Notes Civ. Eng.</t>
  </si>
  <si>
    <t>2-s2.0-85121898099</t>
  </si>
  <si>
    <t>Jiménez A.-F., Cárdenas P.-F., Jiménez F.</t>
  </si>
  <si>
    <t>57196912179;35226211600;57188759922;</t>
  </si>
  <si>
    <t>Intelligent IoT-multiagent precision irrigation approach for improving water use efficiency in irrigation systems at farm and district scales</t>
  </si>
  <si>
    <t>Computers and Electronics in Agriculture</t>
  </si>
  <si>
    <t>10.1016/j.compag.2021.106635</t>
  </si>
  <si>
    <t>https://www.scopus.com/inward/record.uri?eid=2-s2.0-85121511874&amp;doi=10.1016%2fj.compag.2021.106635&amp;partnerID=40&amp;md5=5abccdf30ccddc515cb96e359b35f3a5</t>
  </si>
  <si>
    <t>Universidad Nacional de Colombia – Sede Bogotá. School of Engineering. Department of Mechanical and Mechatronics Engineering, un-Robot, Carrera 45 N° 26-85 - Uriel Gutiérrez Building, Bogotá D.C., 111321, Colombia; Universidad de los Llanos. School of Basic Sciences and Engineering, Macrypt Research Group, Km. 12 Vía Puerto López, Villavicencio, Colombia; Universidad Pedagógica y Tecnológica de Colombia, Avenida Central del Norte 39-115, Tunja, Boyacá, Colombia</t>
  </si>
  <si>
    <t>Jiménez, A.-F., Universidad Nacional de Colombia – Sede Bogotá. School of Engineering. Department of Mechanical and Mechatronics Engineering, un-Robot, Carrera 45 N° 26-85 - Uriel Gutiérrez Building, Bogotá D.C., 111321, Colombia, Universidad de los Llanos. School of Basic Sciences and Engineering, Macrypt Research Group, Km. 12 Vía Puerto López, Villavicencio, Colombia; Cárdenas, P.-F., Universidad Nacional de Colombia – Sede Bogotá. School of Engineering. Department of Mechanical and Mechatronics Engineering, un-Robot, Carrera 45 N° 26-85 - Uriel Gutiérrez Building, Bogotá D.C., 111321, Colombia; Jiménez, F., Universidad Pedagógica y Tecnológica de Colombia, Avenida Central del Norte 39-115, Tunja, Boyacá, Colombia</t>
  </si>
  <si>
    <t>The fourth industrial revolution in agriculture seeks the automation of traditional practices, using modern smart technologies. Advances in electronics, computation and the internet of things are integrated for improving field inputs management. The aim of this paper is to present the design and implementation of an intelligent IoT-multiagent precision irrigation approach for improving water use efficiency in irrigation systems. The study site was the large-scale irrigation and drainage district of Chicamocha and Firavitoba (Usochicamocha) located in Boyacá - Colombia, where water is distributed from the Chicamocha riverbed. In the proposed system, irrigation is supervised and controlled in each field by an intelligent irrigation agent that autonomously prescribes and applies water amounts with agronomical criteria. The methodology was applied with real (cyber-physical) and virtual (simulated) intelligent agents and was extended to eleven pump stations that supply water to 5911 fields. Using a MQTT protocol, hundreds of irrigation intelligent agents report water prescriptions and crop characteristics to a master agent in each pump station, who creates a regional irrigation map to manage georeferenced field information and performs negotiation of water resources between agents according to supply availability. Field maps and intelligent irrigation agents can be visualized using devices with internet access. Results demonstrated that irrigation amounts were correctly applied on the fields, thus improving the water use efficiency. This technology is a novel support to decision-making in water resources management applications at field and district scales. © 2021 Elsevier B.V.</t>
  </si>
  <si>
    <t>Artificial intelligence; Internet of things; Irrigation scheduling; Multi-agent; Precision irrigation</t>
  </si>
  <si>
    <t>Autonomous agents; Decision making; Efficiency; Information management; Intelligent agents; Irrigation; Multi agent systems; Water resources; Design and implementations; Intelligent irrigations; Irrigation scheduling; Irrigation systems; Multi agent; Precision irrigation; Pump station; Smart technology; Study sites; Water use efficiency; Internet of things; agriculture; Internet; irrigation; resource management; water use efficiency</t>
  </si>
  <si>
    <t>C09-F02-010–2020; 733 - 2015; Universidad de los Llanos, UNILLANOS</t>
  </si>
  <si>
    <t>A.F. Jiménez expresses his gratitude to the Department of Boyacá and Minciencias – Colombia for the support through the scholarship program No. 733 - 2015 for the Ph.D. program at Universidad Nacional de Colombia and to Universidad de los Llanos. Pedro Cardenas expesses his gratitude to MinCiencias - Colombia for the abroad Ph.D. scholarship – 2007. F.R. Jiménez expresses his gratitude to Universidad Pedagogica y Tecnologica de Colombia for allowing the development of this work as a result of a research proposal for the teaching promotion.</t>
  </si>
  <si>
    <t>This research was funded by Minciencias and the Department of Boyacá - Colombia through the PhD scholarship program No. 733 – 2015. Thesis name: Intelligent Agent-Based model to support irrigation management in agricultural crops – Cod: 46620 – Universidad Nacional de Colombia. This research also was funded by the Universidad de los Llanos (DGI) - Colombia, with the project: Intelligent system for data acquisition and irrigation prescription in agricultural crops through wireless sensor networks, IoT and artificial intelligence – Cod: C09-F02-010–2020.</t>
  </si>
  <si>
    <t>Abioye, E.A., Abidin, M.S.Z., Mahmud, M.S.A., Buyamin, S., Ishak, M.H.I., Rahman, M.K.I.A., Otuoze, A.O., Ramli, M.S.A., A review on monitoring and advanced control strategies for precision irrigation (2020) Comp. Electr. Agric., 173, p. 105441; Adeyemi, O., Grove, I., Peets, S., Norton, T., Advanced monitoring and management systems for improving sustainability in precision irrigation (2017) Sustainability, 9 (3), p. 353; Adeyemi, O., Grove, I., Peets, S., Domun, Y., Norton, T., Dynamic neural network modelling of soil moisture content for predictive irrigation scheduling (2018) Sensors, 18 (10), p. 3408; Akhbari, M., Grigg, N., A framework for an agent-based model to manage water resources conflicts (2013) Water Resour. Manage., 27 (11), pp. 4039-4052; Allen, R.G., Pereira, L.S., Raes, D., Smith, M., Crop evapotranspiration-Guidelines for computing crop water requirements-FAO Irrigation and drainage paper 56 (1998) Fao, Rome, 300 (9), p. D05109; Allen, R.G., Evapotranspiración del cultivo: guías para la determinación de los requerimientos de agua de los cultivos (2006) Food &amp; Agriculture Org, 56; Ashrafzadeh, A., Kişi, O., Aghelpour, P., Biazar, S., Masouleh, M., Comparative study of time series models, support vector machines, and GMDH in forecasting long-term evapotranspiration rates in northern Iran (2020) J. Irrig. and Drain. Eng., 146 (6), p. 04020010; Alsukni, E., Arabeyyat, O., Awadallah, M., Alsamarraie, L., Abu-Doush, I., Al-Betar, M., Multiple-reservoir scheduling using β-hill climbing algorithm (2019) J. Int. Sys., 28 (4), pp. 559-570; Barreteau, O., Bousquet, F., Millier, C., Weber, J., Suitability of Multi-Agent Simulations to study irrigated system viability: application to case studies in the Senegal River Valley (2004) Agric. Syst., 80 (3), pp. 255-275; Beddington, J., Food security: contributions from science to a new and greener revolution (2010) Philosophical T. Roy. Soc. Biol. Sci., 365 (1537), pp. 61-71; Belaqziz, S., Mangiarotti, S., Le Page, M., Khabba, S., Er-Raki, S., Agouti, T., Drapeau, L., Jarlan, L., Irrigation scheduling of a classical gravity network based on the Covariance Matrix Adaptation-Evolutionary Strategy algorithm (2014) Comput. Electron. Agric., 102, pp. 64-72; Bratman, M., (1987) Intention, plans, and practical reason, 10. , Harvard University Press Cambridge, MA; Capraro, F., Tosetti, S., Rossomando, F., Mut, V., Vita Serman, F., Web-based system for the remote monitoring and management of precision irrigation: A case study in an arid region of Argentina (2018) Sensors, 18 (11), p. 3847; Cervenka, R., Trencansky, I., Calisti, M., (2005) Modeling social aspects of multi-agent systems: The AML approach, pp. 28-39. , Springer Berlin, Heidelberg; Cely, G., Determinación de parametros de riego para el cultivo cebolla de bulbo en el distrito de riego del alto chicamocha (2010), Universidad Nacional de Colombia Bogotá M.Phil. thesis; Cong, D., Nguyen, H., Ascough, J., Maier, H., Dandy, G., Andales, A., Optimization of irrigation scheduling using ant colony algorithms and an advanced cropping system model (2017) Environ. Modell. Software, 97, pp. 32-45; Datta, S., Taghvaeian, S., Stivers, J., (2017), Understanding soil water content and thresholds for irrigation management. Oklahoma Cooperative Extension Service. BAE-1537; https://djangoproject.com, Django Software Foundation. 2019. Django. Retrieved from; Edwards, M., Ferrand, N., Goreaud, F., Huet, S., The relevance of aggregating a water consumption model cannot be disconnected from the choice of information available on the resource (2005) Simul. Model Pract. Th., 13 (4), pp. 287-307; Farooq, M., Riaz, S., Abid, A., Umer, T., Zikria, Y., Role of IoT technology in agriculture: A systematic literature review (2020) Electronics, 9 (2), p. 319; Garcia, M., Raes, D., Jacobsen, S., Evapotranspiration analysis and irrigation requirements of quinoa (Chenopodium quinoa) in the Bolivian highlands (2003) Agric. Water Manag., 60 (2), pp. 119-134; Gonçalves, J.M., Ferreira, S., Nunes, M., Eugénio, R., Amador, P., Filipe, O., Duarte, I.M., Damásio, H., Developing Irrigation Management at District Scale Based on Water Monitoring: Study on Lis Valley, Portugal (2020) AgriEngineering, 2 (1), pp. 78-95; Han, S., Yang, Y., Li, H., Yang, Y., Wang, J., Cao, J., Determination of crop water use and coefficient in drip-irrigated cotton fields in arid regions (2019) Field Crops Res., 236, pp. 85-95; Huber, L., Bahro, N., Leitinger, G., Tappeiner, U., Strasser, U., Agent-Based Modelling of a Coupled Water Demand and Supply System at the Catchment Scale (2019) Sustainability, 11 (21), p. 6178; Jimenez, A.-F., Cardenas, P.-F., Canales, A., Jimenez, F., Portacio, A., A survey on intelligent agents and multi-agents for irrigation scheduling (2020) Comput. Electron. Agric., 176, p. 105474; Jimenez, A.-F., Cardenas, P.-F., Jimenez, F., Ruiz-Canales, A., López, A., A cyber-physical intelligent agent for irrigation scheduling in horticultural crops (2020) Comput. Electron. Agric., 178, p. 105777; Jimenez, A.F., Ortiz, B.V., Bondesan, L., Morata, G., Damianidis, D., Long Short-Term Memory Neural Network for irrigation management: a case study from Southern Alabama, USA (2020) Precis. Agric., pp. 1-18; Jiménez, A.-F., Cárdenas, P.-F., Jiménez, F., Smart water management approach for resource allocation in High-Scale irrigation systems (2021) Agric. Water Manag., 256, p. 107088; Kang, S., Hao, X., Du, T., Tong, L., Su, X., Lu, H., Li, X., Ding, R., Improving agricultural water productivity to ensure food security in China under changing environment: From research to practice (2017) Agric. Water Manag., 179, pp. 5-17; Kelly, T.D., Foster, T., AquaCrop-OSPy: Bridging the gap between research and practice in crop-water modeling (2021) Agric. Water Manage., Elsevier, 254, p. 106976; Koech, R., Langat, P., Improving irrigation water use efficiency: A review of advances, challenges and opportunities in the Australian context (2018) Water, 10 (12), p. 1771; Kovalchuk, V., Demchuk, O., Demchuk, D., Voitovich, O., Data mining for a model of irrigation control using weather web-services (2018) International Conference on Computer Science, Engineering and Education Applications, pp. 133-143. , Springer Cham; Levidow, L., Zaccaria, D., Maia, R., Vivas, E., Todorovic, M., Scardigno, A., Improving water-efficient irrigation: Prospects and difficulties of innovative practices (2014) Agric. Water Manage., 146, pp. 84-94; Li, X., Yeh, A.G., Multitemporal SAR images for monitoring cultivation systems using case-based reasoning (2004) Remote Sens. Environ., 90 (4), pp. 524-534; Liang, Z., Liu, X., Xiong, J., Xiao, J., Water Allocation and Integrative Management of Precision Irrigation: A Systematic Review (2020) Water, 12 (11), p. 3135; Martínez, E., Rodríguez, L., Medina, N., Estudio de factibilidad de una planta empacadora (packing house) para cebolla de bulbo (Allium cepa L.) en el Distrito de Riego del Alto Chicamocha (Boyacá) (2014) Revista Colombiana de Ciencias Hortícolas, 8 (2), pp. 287-301; Mccarthy, A., Hancock, N., Raine, S., Simulation of irrigation control strategies for cotton using model predictive control within the VARIwise simulation framework (2014) Comput. Electron. Agric., 101, pp. 135-147; Mishra, B., Kertesz, A., The use of MQTT in M2M and IoT systems: A survey (2020) IEEE Access, 8, pp. 201071-201086; Wilensky, U., NetLogo (1999), Center for Connected Learning and Computer-Based Modeling Northwestern University. Evanston, IL; Nižetić, S., Šolić, P., López-de-Ipiña González-de-Artaza, D., Patrono, L., Internet of Things (IoT): Opportunities, issues and challenges towards a smart and sustainable future (2020) J. Clean. Prod., 274, p. 122877; Perea, R., Poyato, E., Díaz, J., Forecasting of applied irrigation depths at farm level for energy tariff periods using Coactive neuro-genetic fuzzy system (2021) Agric. Water Manage., 256, p. 107068; Perez, M., (2013), http://dspace.lib.cranfield.ac.uk/handle/1826/8588, Modelling the impacts of in-field soil and irrigation variability on onion yield. [Master dissertation, Cranfield University]. URI:; Qureshi, M., Grafton, R., Kirby, M., Hanjra, M., Understanding irrigation water use efficiency at different scales for better policy reform: A case study of the Murray-Darling Basin (2011) Australia. Water Policy, 2011 (13), pp. 1-17; Raes, D., Steduto, P., Hsiao, T.C., Fereres, E., Aquacrop reference manual (2009), p. 218. , FAO Rome, Italy; Raes, D., Steduto, P., HSIAO, T.C., Fereres, E., (2018), Chapter 1: Fao crop-water productivity model to simulate yield response to water: Aquacrop: version 6.0-6.1: reference manual. Rome: Fao, 2018b. 19p; Rafea, A., Hassen, H., Hazman, M., Automatic knowledge acquisition tool for irrigation and fertilization expert systems (2003) Expert Syst. Appl., 24 (1), pp. 49-57; Shafi, U., Mumtaz, R., García-Nieto, J., Hassan, S., Zaidi, S., Iqbal, N., (2020), https://doi.org/10.3390/s19173796, Precision agriculture techniques and practices: from considerations to applications. Sensors 17, 1; Sinclair, T.R., Tanner, C.B., Bennett, J.M., Water-use efficiency in crop production (1984) Bioscience, 34 (1), pp. 36-40; Smith, M., Steduto, P., (2012), pp. 6-13. , Yield response to water: the original FAO water production function. FAO Irrigation and Drainage Paper, 66; Smith, R., Baillie, J., Mc Carthy, A., Raine, S., Baillie, C., Review of Precision Irrigation Technologies and Their Application (2010), Australia. Publication 1003017/1 NCEA. University of Southern Queensland. Toowoomba; Summerfield, M., Rapid GUI programming with Python and Qt: the definitive guide to PyQt programming (2008), Prentice Hall Upper Saddle River, NJ; Steduto, P., Hsiao, T.C., Raes, D., Fereres, E., AquaCrop—The FAO Crop Model to Simulate Yield Response to Water: I. Concepts and Underlying Principles (2009) Agron.j., 101 (3), pp. 426-437; Steduto, P., Hsiao, T.C., Fereres, E., Raes, D., Crop yield response to water (2012), Irrigation and Drainage Paper Nr. 66, FAO, Rome, Italy. 500 pages; Tamburino, L., Di Baldassarre, G., Vico, G., Water management for irrigation, crop yield and social attitudes: a socio-agricultural agent-based model to explore a collective action problem (2020) Hydrol. Sci. J., 65 (11), pp. 1815-1829; Talavera, J.M., Tobón, L.E., Gómez, J.A., Culman, M.A., Aranda, J.M., Parra, D.T., Quiroz, L.A., Garreta, L.E., Review of IoT applications in agro-industrial and environmental fields (2017) Comp. Electron. Agric., 142, pp. 283-297; Talaviya, T., Shah, D., Patel, N., Yagnik, H., Shah, M., Implementation of artificial intelligence in agriculture for optimisation of irrigation and application of pesticides and herbicides (2020) Artif. Intell. Agric., 4, pp. 58-73; Van Rossum, G., &amp; Drake, F. L. 2009. Python 3 Reference Manual. Scotts Valley, CA: CreateSpace; (2015), Von Rosing, M., White, S., Cummins, F., &amp; de Man, H. Business Process Model and Notation-BPMN; (2021), https://weatherspark.com/y/25267/Average-Weather-in-Nobsa-Colombia-Year-Round, Weather Spark. Average Weather in Nobsa, Colombia States. (last accessed 01/12/2021); Weiss, G., (Ed.). 2013. Multiagent systems. MIT press. Weller, U., Leuther, F., Schlüter, S., Vogel, H.J. Quantitative analysis of water infiltration in soil cores using x-ray. Vadose Zone J., 17; Wilensky, U., Rand, W., (2015), An introduction to agent-based modeling: modeling natural, social, and engineered complex systems with NetLogo. Mit Press; Zacepins, A., Stalidzans, E., Meitalovs, J., (2012), Application of information technologies in precision agriculture. In: Proceedings of the 13th International Conference on Precision Agriculture (ICPA 2012); Zamora-Izquierdo, M., Santa, J., Martínez, J., Martínez, V., Skarmeta, A., (2019), https://doi.org/10.1016/j.biosystemseng.2018.10.014, Smart farming IoT platform based on edge and cloud computing. Biosyst. Eng., 177, 4–17; Zhang, C., Guo, P., FLFP: A fuzzy linear fractional programming approach with double-sided fuzziness for optimal irrigation water allocation (2018) Agric. Water Manage., 199, pp. 105-119</t>
  </si>
  <si>
    <t>Jiménez, A.-F.; Universidad de los Llanos, Km 12 vía Puerto López, Colombia; email: ajimenez@unillanos.edu.co</t>
  </si>
  <si>
    <t>CEAGE</t>
  </si>
  <si>
    <t>Comput. Electron. Agric.</t>
  </si>
  <si>
    <t>2-s2.0-85121511874</t>
  </si>
  <si>
    <t>Valderrama F., Ruiz F.</t>
  </si>
  <si>
    <t>56315551300;7103107325;</t>
  </si>
  <si>
    <t>A Youla–Kucera formulation of the controller design from data problem</t>
  </si>
  <si>
    <t>Journal of Process Control</t>
  </si>
  <si>
    <t>10.1016/j.jprocont.2021.11.012</t>
  </si>
  <si>
    <t>https://www.scopus.com/inward/record.uri?eid=2-s2.0-85121246272&amp;doi=10.1016%2fj.jprocont.2021.11.012&amp;partnerID=40&amp;md5=3892152a9e5c1eed1ca1a340966176d0</t>
  </si>
  <si>
    <t>Escuela de Educación Industrial, Universidad Pedagógica y Tecnológica de Colombia, Duitama, Colombia; Dipartimento di Elettronica, Informazione e Bioingegneria, Politecnico di Milano, Via Ponzio 34/5, Milan, 20133, Italy</t>
  </si>
  <si>
    <t>Valderrama, F., Escuela de Educación Industrial, Universidad Pedagógica y Tecnológica de Colombia, Duitama, Colombia; Ruiz, F., Dipartimento di Elettronica, Informazione e Bioingegneria, Politecnico di Milano, Via Ponzio 34/5, Milan, 20133, Italy</t>
  </si>
  <si>
    <t>The Youla–Kucera parametrization is a fundamental result in system theory, very useful when designing model-based controllers. In this paper, this formulation is employed to solve the controller design from data problem, without requiring a process model. It is shown that, given a set of input–output data generated by the plant and a desired closed-loop reference model, it is possible to estimate an stable filter that parametrizes the controller that minimizes the norm between the closed-loop dynamics and the requested behavior. The employed parametrization gives more degrees of freedom in the controller design than previous works in literature, allowing to achieve more stringent closed-loop performances. The proposed design methodology does not imply a plant identification step and it provides an estimate of the model-matching error between the requested and the resulting model as indicator of stability and performance of the derived control loop. The proposed solution is evaluated in regulation problems for non-minimum phase systems through Monte Carlo simulations and in experimental conditions for the regulation of temperature in an ohmic assisted hydrodistillation process. © 2021 Elsevier Ltd</t>
  </si>
  <si>
    <t>Controller parametrization; Data-driven control; Identification for control; Uncertain systems; Youla–Kucera parametrization</t>
  </si>
  <si>
    <t>Controllers; Degrees of freedom (mechanics); Design; Intelligent systems; Closed-loop; Controller designs; Controller parametrization; Data problems; Data-driven control; Identification for control; Input/output datum; Model-based controller; Process-models; Youla-Kucera parametrization; Monte Carlo methods</t>
  </si>
  <si>
    <t>The work of F. Valderrama was supported by a doctoral scholarship from Gobernación de Boyacá-Colombia, call 733- Colciencias. The authors thank Pontificia Universidad Javeriana, Bogotá, Colombia, were F. Valderrama was Ph.D. student while part of this work was developed.</t>
  </si>
  <si>
    <t>Formentin, S., van Heusden, K., Karimi, A., A comparison of model-based and data-driven controller tuning (2014) Internat. J. Adapt. Control Signal Process., 28 (10), pp. 882-897. , https://onlinelibrary.wiley.com/doi/abs/10.1002/acs.2415, URL; Van Heusden, K., Karimi, A., Söderström, T., On identification methods for direct data-driven controller tuning (2011) Internat. J. Adapt. Control Signal Process., 25 (5), pp. 448-465; Hou, Z.-S., Wang, Z., From model-based control to data-driven control: Survey, classification and perspective (2013) Inf. Sci. (Ny)., 235, pp. 3-35; Valderrama, F., Ruiz, F., Controller design from data under UBB noise (2014) Proc. Am. Control Conf., pp. 5103-5108; Valderrama, F., Ruiz, F., A comparative study of VRFT and set membership data-driven controller design techniques: Active suspension tuning case (2019) Data-Driven Modeling, Filtering and Control: Methods and Applications, pp. 266-290. , IET; Cerone, V., Regruto, D., Abuabiah, M., Direct data-driven control design through set-membership errors-in-variables identification techniques (2017) Proc. Am. Control Conf., pp. 388-393; Kergus, P., Olivi, M., Poussot-Vassal, C., Demourant, F., From reference model selection to controller validation: Application to loewner data-driven control (2019) IEEE Control Syst. Lett., 3 (4), pp. 1008-1013; Valderrama, F., Ruiz, F., Limited-complexity controller tuning: A set membership data-driven approach (2020) Eur. J. Control; Valderrama, F., Ruiz, F., Patino, D., Evaluation of set-membership approaches for data-driven tuning of two-degree-of-freedom controllers (2019) 2019 American Control Conference (ACC), pp. 5668-5673; van Heusden, K., Karimi, A., Bonvin, D., Data-driven controller validation (2009) IFAC Proc. Vol., 42 (10), pp. 1050-1055. , 15th IFAC Symposium on System Identification; Kammer, L.C., Bitmead, R.R., Bartlett, P.L., Direct iterative tuning via spectral analysis (2000) Automatica, 36 (9), pp. 1301-1307; Sala, A., Esparza, A., Extensions to “virtual reference feedback tuning: A direct method for the design of feedback controllers” (2005) Automatica, 41 (8), pp. 1473-1476; Lanzon, A., Lecchini, A., Dehghani, A., Anderson, B.D.O., Checking if controllers are stabilizing using closed-loop data (2006) Proceedings of the 45th IEEE Conference on Decision and Control, pp. 3660-3665; van Heusden, K., Karimi, A., Bonvin, D., Data-driven model reference control with asymptotically guaranteed stability (2011) Internat. J. Adapt. Control Signal Process., 25 (4), pp. 331-351; Battistelli, G., Mari, D., Selvi, D., Tesi, P., Direct control design via controller unfalsification (2018) Internat. J. Robust Nonlinear Control, 28 (12), pp. 3694-3712; Kučera, V., A method to teach the parameterization of all stabilizing controllers (2011) IFAC Proc. Vol., 44 (1), pp. 6355-6360. , 18th IFAC World Congress; Blanchini, F., Colaneri, P., Fujisaki, Y., Miani, S., Pellegrino, F.A., A Youla–Kučera parameterization approach to output feedback relatively optimal control (2015) Systems Control Lett., 81, pp. 14-23; Ljung, L., System identification: theory for the user (1987) Automatica, , Prentice Hall; Doyle, J.C., Francis, B.A., Tannenbaum, A.R., Feedback Control Theory (1991), Prentice Hall Professional Technical Reference; Soderstrom, T., Stoica, P., Instrumental Variable Methods for System Identification. (1983), Springer Berlin; Campi, M.C., Savaresi, S.M., Direct nonlinear control design: the virtual reference feedback tuning (VRFT) approach (2006) IEEE Trans. Automat. Control, 51 (1), pp. 14-27; Ljung, L., Chen, T., Convexity issues in system identification (2013) 2013 10th IEEE International Conference on Control and Automation (ICCA), pp. 1-9; van Heusden, K., Karimi, A., Bonvin, D., Data-driven estimation of the infinity norm of a dynamical system (2007) 2007 46th IEEE Conference on Decision and Control, pp. 4889-4894; Karimi, A., van Heusden, K., Bonvin, D., Non-iterative data-driven controller tuning using the correlation approach (2007) 2007 European Control Conference (ECC), pp. 5189-5195; van Heusden, K., Karimi, A., Bonvin, D., Data-driven controller validation (2009) IFAC Proc. Vol., 42 (10), pp. 1050-1055. , 15th IFAC Symposium on System Identification; Seidi Damyeh, M., Niakousari, M., Golmakani, M.T., Saharkhiz, M.J., Microwave and ohmic heating impact on the in situ hydrodistillation and selective extraction of satureja macrosiphonia essential oil (2016) J. Food Process. Preservation, 40 (4), pp. 647-656; Seidi Damyeh, M., Niakousari, M., Impact of ohmic-assisted hydrodistillation on kinetics data, physicochemical and biological properties of prangos ferulacea lindle. essential oil: Comparison with conventional hydrodistillation (2016) Innov. Food Sci. Emerg. Technol., 33, pp. 387-396</t>
  </si>
  <si>
    <t>Ruiz, F.; Dipartimento di Elettronica, Via Ponzio 34/5, Italy; email: fredy.ruiz@polimi.it</t>
  </si>
  <si>
    <t>JPCOE</t>
  </si>
  <si>
    <t>J Process Control</t>
  </si>
  <si>
    <t>2-s2.0-85121246272</t>
  </si>
  <si>
    <t>Miseres V.</t>
  </si>
  <si>
    <t>55225989400;</t>
  </si>
  <si>
    <t>Female sociability and archive: A study on three women’s albums in nineteenth-century colombia [Sociabilidade feminina e arquivo: Leitura de três álbuns de mulheres na Colômbia do século xix] [Sociabilidad femenina y archivo: Lectura de tres álbumes de mujeres en el siglo xix colombiano]</t>
  </si>
  <si>
    <t>Anuario Colombiano de Historia Social y de la Cultura</t>
  </si>
  <si>
    <t>10.15446/achsc.v49n1.98747</t>
  </si>
  <si>
    <t>https://www.scopus.com/inward/record.uri?eid=2-s2.0-85120849389&amp;doi=10.15446%2fachsc.v49n1.98747&amp;partnerID=40&amp;md5=4f5dd260e87b8910bcf3a8a9130bbd98</t>
  </si>
  <si>
    <t>University of Notre Dame, Estados Unidos, United States</t>
  </si>
  <si>
    <t>Miseres, V., University of Notre Dame, Estados Unidos, United States</t>
  </si>
  <si>
    <t>Objective: This article analyzes the friendship albums of three nineteenth-century women in Colombia: Agripina Samper, Lastenia Soffía and María Gregoria de Haro. Methodology: The analysis is carried out from the primary sources indicated, adopting a gender perspective and with a cultural and a social history approach, considering also studies on material culture and women’s sociability. Originality: This work contributes to the historical knowledge of nineteenth-century Colombia. The analysis of the albums, which until now have not been studied in-depth, proposes a new line of study that allows us to understand the functions that women played in the social life of the time. Conclusions: The albums present support for women’s social networks at the same time that they allow the study of different forms of knowledge and information on the local and global culture, and discuss education, literature and history, gender roles, among other aspects. In the albums we can hear the voices of the three women who shaped and kept these albums, and that were silenced by the hegemonic historical archive. Their albums, as well as the objects and texts included in them, are material and discursive evidence of the strength and importance of women’s networks, as well as their role in the political and cultural scene of nineteenth-century Colombia. © 2022 Universidad Nacional de Colombia. All rights reserved.</t>
  </si>
  <si>
    <t>19th century; Albums; Archive; Colombia; Feminism; Friendship; Gender; History; Society; Women</t>
  </si>
  <si>
    <t>Archivo Central e Histórico de la Universidad Nacional de Colombia (achun), , Bogotá, Colombia Colección Familia Röthlisberger; Biblioteca Luis Ángel Arango (blaa), Bogotá, Colombia Libros Raros y Manuscritos; Ponce de Portocarrero, Rosa, (1905) Retrato de señora, , https://www.banrepcultural.org/coleccion-de-arte/obra/retrato-de-senora-ap5315.AP5315, Acuarela. Museo del Banco de la República, Bogotá; Alzate, Carolina, Disciplinando cuerpos y escritura. Agripina Samper sobre George Sand, las mujeres y la literatura (1871) (2017) Anclajes, 21 (3), pp. 7-24; Anderson, Benedict, (1983) Imagined Communities. Reflection on the Origins and Spread of Nationalism, , Londres-Nueva York: Verso; Bachman, Laurence, Female Friendship and Gender Transformation (2014) European Journal of Women’s Studies, 21 (2), pp. 165-179. , https://doi.org/10.1177/1350506813515856; Monroy, Martha Lucía, La educación musical de la mujer en Bogotá de 1880 a 1920 (2012) Revista Historia de la Educación Latinoamericana, 4. , https://revistas.uptc.edu.co/index.php/historia_educacion_latinamerican/article/view/1472, Barriga; Bourdieu, Pierre, (1984) Distinction: Social Critique of the Judgement of Taste, , Londres: Routledge &amp; Kegan Paul; Chambers, Sarah, Republican Friendship: Manuela Sáenz Writes Women into the Nation, 1835-1856 (2001) Hispanic American Historical Review, 81 (2), pp. 225-257. , https://doi.org/10.1215/00182168-81-2-225; Del Castillo, Nicolás, (1972) El primer Núñez, , Bogotá: Tercer Mundo; Di Bello, Patrizia, (2007) Women’s Albums and Photography in Victorian England: Ladies, Mothers and Flirts, , Farnham: Ashgate; Elogio del arte de José Asunción Silva (2016) Semana, , https://www.semana.com/arte/articulo/jose-asuncion-silva-carta-abierta-pintora-rosa-ponce-de-portocarrero-prosa/48936/?fbclid=IwAR2nv-LcWE0YQ9htiIyyYCdzyAjQDQOZbGp7wQE8j8lhZmEF3j8qdtqW-p0; Foucault, Michel, (1972) The Archaeology of Knowledge, , Nueva York: Harper and Row; Garvey, Ellen Gruber, (2013) Writing with Scissors: American Scrapbooks from the Civil War to the Harlem Renaissance, , Oxford: Oxford University Press; Camargo, Lisa Cristina, (2019) Construcción de la ciudadanía de las mujeres en Colombia: cuatro acontecimientos históricos, , Gómez Bogotá: Universidad Externado de Colombia; Lasser, Carole, ‘Let Us Be Sisters Forever’: The Sororal Model of Nineteenth-Century Female Friendship (1988) Signs, 14, pp. 158-181; Miseres, Vanesa, Las últimas de la fila: representación de las rabonas en la literatura y cultura visual decimonónica (2014) Revista de Crítica Literaria Latinoamericana, 40 (80), pp. 187-206; Miseres, Vanesa, Solicitudes de amistad: el uso del álbum como red de sociabilidad y práctica de escritura femeninas (2018) Arizona Journal of Hispanic Cultural Studies, 22, pp. 9-27. , http://doi.org/10.1353/hcs.2018.0002; Sandoval, Murillo, David, Juan, Estrategias culturales al servicio de la diplomacia chilena: La misión de José Antonio Soffia en Bogotá, 1881-1886 (2017) Araucaria, 19 (38), pp. 495-517; Pedraza Gómez, Zandra, La educación de las mujeres’: el avance de las formas modernasdefeminidadenColombia (2011) RevistadeEstudiosSociales41, pp. 72-83; Pikielny, Astrid, Rita Segato. ‘Es un equívoco pensar que la distancia física no es una distancia social (2020) La Nación, 2. , https://www.lanacion.com.ar/opinion/biografiarita-segato-es-un-equivoco-pensar-quela-distancia-fisica-no-es-una-distancia-social-nid2360208/, [Buenos Aires] may; Pratt, Mary Louise, Women, Literature, and National Brotherhood (1990) Women, Culture, and Politics in Latin America, pp. 48-72. , Eds. Emilie Bergmann et al. Los Ángeles: University of California Press; Rojas, Cristina, La construcción de la ciudadanía en Colombia durante el gran siglo diecinueve 1810-1929 (2008) Poligramas, 29, pp. 295-333; Siegel, Elizabeth, Di Bello, P., Weiss, Marta, Hofelt, Miranda, (2010) Playing with Pictures: The Art of Victorian Photocollage, , New Haven: Yale University Press; Scott, Joan Wallach, (2012) The Fantasy of Feminist History, , Durham: Duke University Press; Shrumm, Regan, Meet Jenny Lind, One of America’s First Female Celebrities (2016) NationalMuseumofAmericanHistory, , https://americanhistory.si.edu/blog/jenny-lind, Mar.16; Smith-Rosenberg, Carroll, The Female World of Love and Ritual: Relations Between Women in Nineteenth-Century America (1975) Signs, 1 (1), pp. 1-29; Sourdis Nájera, Adelaida, Mujeres que amaron a Núñez (2013) Revista credencial, , http://www.revistacredencial.com/credencial/historia/temas/mujeres-queamaron-nunez; Uribe, Verónica, El Álbum de Antigüedades neogranadinas de Liborio Zerda (2017) Boletín de Historia y Antiguedades, 864, pp. 73-113</t>
  </si>
  <si>
    <t>Miseres, V.; University of Notre Dame, United States</t>
  </si>
  <si>
    <t>Anu. Colomb. Hist. Soc. Cult.</t>
  </si>
  <si>
    <t>2-s2.0-85120849389</t>
  </si>
  <si>
    <t>Gonzalez-Diaz R., Acevedo-Duque Á., Martin-Fiorino V., Cachicatari-Vargas E.</t>
  </si>
  <si>
    <t>57218127258;57212151243;55711536500;57224137923;</t>
  </si>
  <si>
    <t>Latin American professors' research culture in the digital age [Cultura investigativa del docente en Latinoamérica en la era digital]</t>
  </si>
  <si>
    <t>Comunicar</t>
  </si>
  <si>
    <t>10.3916/C70-2022-06</t>
  </si>
  <si>
    <t>https://www.scopus.com/inward/record.uri?eid=2-s2.0-85120329804&amp;doi=10.3916%2fC70-2022-06&amp;partnerID=40&amp;md5=308b2434105369c16e72ff40e90e0485</t>
  </si>
  <si>
    <t>Investigador, Centro Internacional de Investigación y Desarrollo (CIID), Montería, Colombia; Investigador, Observatorio de Políticas Públicas, Facultad de Administración y Negocios, Universidad Autónoma de Chile, Chile; Investigador, Facultad de Ingeniería, Universidad El Bosque, Bogotá, Colombia; Investigadora, Facultad de Ciencias de la Salud, Universidad Nacional Jorge Basadre Grohmann, Tacna, Peru</t>
  </si>
  <si>
    <t>Gonzalez-Diaz, R., Investigador, Centro Internacional de Investigación y Desarrollo (CIID), Montería, Colombia; Acevedo-Duque, Á., Investigador, Observatorio de Políticas Públicas, Facultad de Administración y Negocios, Universidad Autónoma de Chile, Chile; Martin-Fiorino, V., Investigador, Facultad de Ingeniería, Universidad El Bosque, Bogotá, Colombia; Cachicatari-Vargas, E., Investigadora, Facultad de Ciencias de la Salud, Universidad Nacional Jorge Basadre Grohmann, Tacna, Peru</t>
  </si>
  <si>
    <t>The processes of social confinement caused by the global health crisis (COVID-19), have forced professors to assume new research competencies that allow them to improve science indicators and contribute to the research culture in the digital era for the Latin American region. This article analyzes the research culture of Latin American professors in 20 countries in the digital era, and their relationship with the production of scientific papers indexed in the Journal Citation Report (JCR) between 1996 and 2019. A questionnaire (with validity and reliability criteria) with a Likert-type scale was applied to 2,215 professors selected from five international scientific events. The main results show that 78% of the professors have less than 15 years of teaching experience, with ages under 44 years of age and 38.9% of them with an undergraduate academic level, 62.5% of whom responded that they have never published in indexed journals, and that they do not know the proper application of paradigms and research designs. On the other hand, 23.86% of the total citations are self-citations. Therefore, the results reflect a significant relationship between the research culture of professors and Latin American scientific production. Finally, Latin American professors have found themselves in economic, political and social circumstances that affect good research and scientific publication practices, leaving a training gap in research competencies in the new digital era. © 2021. COMUNICAR. All Rights Reserved.</t>
  </si>
  <si>
    <t>ciencia; Cultura científica; cultural research; digitalización; digitization; formación de docentes; investigación cultural; pandemia; pandemics; professor education; science; Scientific culture</t>
  </si>
  <si>
    <t>Basso, F.G., Gonçalves-Pereira, C., Porto, G.S., Cooperation and technological areas in the state universities of São Paulo: An analysis from the perspective of the triple helix model (2021) Technology in Society, 65, p. 101566. , https://doi.org/10.1016/j.techsoc.2021.101566; Bagur-Pons, S., Rosselló-Ramon, M.R., Paz-Lourido, B., Verger, S., Integrative approach of mixed methodology in educational research (2021) Relieve, 27 (1), pp. 1-21. , http://doi.org/10.30827/relieve.v27i1.21053; Batista-Mainegra, A., Hernández-García, L., González-Aportela, O., (2017) Gestión integrada de procesos sustantivos en una universidad innovadora: Deber ser de la Extensión Universitaria, , https://bit.ly/3fo1l1l, Congreso Universidad; Biscaro, C., Giupponi, C., Co-authorship and bibliographic coupling network effects on citations (2014) PLoS One, 9 (6), p. e99502. , https://doi.org/10.1371/journal.pone.0099502; Boyack, K.W., Klavans, R., Co-citation analysis, bibliographic coupling, and direct citation: Which citation approach represents the research front most accurately? (2010) Journal of the American Society for Information Science and Technology, 61 (12), pp. 2389-2404. , https://doi.org/10.1002/asi.21419; Bolívar, A., (1995) El conocimiento de la enseñanza: Epistemología de la investigación curricular, , https://bit.ly/3zATcOC, Universidad de Granada; Bonilla, C.A., Merigó, J.M., Torres-Abad, C., Economics in Latin America: A bibliometric analysis (2015) Scientometrics, 105, pp. 1239-1252. , https://doi.org/10.1007/s11192-015-1747-7; Bracho, K., Cultura investigativa y producción científica en universidades privadas del municipio Maracaibo del estado de Zulia (2012) Redhecs, 7 (12), pp. 50-69. , https://bit.ly/3l5rbuo; Briseño-Senosiain, L., Los retos de la historia académica en la era digital (2021) Historia y Memoria, 22, pp. 161-195. , https://doi.org/10.19053/20275137.n22.2021.10907; Cai, X., Han, J., Yang, L., Generative adversarial network based heterogeneous bibliographic network representation for personalized citation recommendation (2018) In IEEE Access, 7, pp. 457-467. , https://doi.org/10.1109/ACCESS.2018.2885507; Carabantes-Alarcón, D., Integridad académica y educación superior: Nuevos retos en la docencia a distancia (2020) Análisis Carolina, 38, pp. 1-13. , https://doi.org/10.33960/AC_38.2020; Castro-Sánchez, F.J., Culture, science and research: About the value of the cultural factors of science for university research managers (2021) Universidad y Sociedad, 13 (1), pp. 131-136. , https://bit.ly/3rG8oXK; Chinchilla-Rodríguez, Z., Zacca-González, G., Vargas-Quesada, B., Moya-Anegón, F., Latin American scientific output in public health: Combined analysis using bibliometric, socioeconomic and health indicators (2015) Scientometrics, 102, pp. 609-628. , https://doi.org/10.1007/s11192-014-1349-9; Criado-Dávila, Y.V., Sánchez-García, T.C., Inga-Arias, M.A., Los semilleros de investigación como elemento de desarrollo de la cultura investigativa universitaria (2020) Conrado, 16 (S1), pp. 67-73. , https://bit.ly/3xaFUqc; Cruz-Rodríguez, E.C., Importancia del manejo de competencias tecnológicas en las prácticas docentes de la Universidad Nacional Experimental de la Seguridad (UNES) (2019) Revista Educación, 43 (1), pp. 196-218. , https://doi.org/10.15517/revedu.v43i1.27120; De-Filippo, D., Sanz-Casado, E., Berteni, F., Barisani, F., Bautista-Puig, N., Grossi, G., Assessing citizen science methods in IWRM for a new science shop: a bibliometric approach (2021) Hydrological Sciences Journal, 66 (2), pp. 179-192. , https://doi.org/10.1080/02626667.2020.1851691; Espinach-Rueda, M., Agenda 2030 del desarrollo sostenible promulgada por la Organización de las Naciones Unidas (2017) Ágora De Heterodoxias, 3 (2), pp. 50-67. , https://bit.ly/3rCKb4G; Espinoza-Freire, E.E., El plagio un flagelo en el ámbito académico ecuatoriano (2020) Revista Universidad y Sociedad, 12 (3), pp. 407-415. , https://bit.ly/3rEWRIf; Fu, Y.C., Baker, D.P., Zhang, L., Engineering a world class university? The impact of Taiwan's world class university project on scientific productivity (2020) Higher Education Policy, 33 (3), pp. 555-570. , https://doi.org/10.1057/s41307-018-0110-z; Guedes-Farias, M.G., de-Andrade-Maia, F.C., Proposition of scientific observatory for popularization of science (2020) Informação e Sociedade, 30 (3), pp. 1-19. , https://doi.org/10.22478/ufpb.1809-4783.2020v30n3.53866; González-Díaz, R.R, Acevedo-Duque, Á., Salazar-Sepúlveda, G., Castillo, D., Contributions of subjective wellbeing and good living to the contemporary development of the notion of sustainable human development (2021) Sustainability, 13 (6). , https://doi.org/1o.3390/su13063298; González-Díaz, R.R., Guanillo-Gómez, S.L., Vegas-Ochoa, J.C., Cachitari-Vargas, E., Teaching accompaniment in Colombia's official educational institutions (2021) Education, 10 (1), pp. 376-383. , https://doi.org/10.18421/TEM101-47; González-Díaz, R.R., Vásquez-Llamo, C.E., Hurtado-Tiza, D.R., Menacho-Rivera, A.S., Plataformas interactivas y estrategias de gestión del conocimiento durante el Covid-19 (2020) Revista Venezolana de Gerencia, 25 (4), pp. 68-81. , https://bit.ly/3x0IPBP; Guerrero-Casado, J., Producción científica latinoamericana indexada en Scopus en el área de las ciencias agropecuarias: Análisis del período 1996-2016 (2017) Idesia, 35 (4), pp. 27-33. , https://doi.org/10.4067/S0718-34292017000400027; Guerrero-Sosa, J.D.T., Menéndez-Domínguez, V.H., Castellanos-Bolaños, M.E., An indexing system for the relevance of academic production and research from digital repositories and metadata (2021) Electronic Library, 39 (1), p. 3358. , https://doi.org/10.1108/EL-06-2020-0160; Hermes-Lima, M., Santos, N.C.F., Alencastro, A.C.R., Ferreira, S.T., Whither Latin America? Trends and challenges of science in Latin America [Conference Paper] (2007) IUBMB Life, 59 (4-5), pp. 199-210. , https://doi.org/10.1080/15216540701258751; Hernandez, R., Fernandez, C., Baptista, P., (2014) Metodología de la investigación, , Editorial Mc Graw Hill; Hernández, R.M., Marino-Jiménez, M., Forton, Y.R., Sánchez, N., Research in university students: Real needs for the implementation of a formative research program (2020) Academia, pp. 154-176. , https://doi.org/10.26220/aca.3445; Kalhor, B., Mehrparvar, F., (2020) Rankings of countries based on rankings of universities, , https://doi.org/10.2139/ssrn.3585226; Kumar, S., Pandey, N., Tomar, S., Veinte años de Latin American business review: Una visión bibliométrica (2020) Latin American Business Review, 21 (2), pp. 197-222. , https://doi.org/10.1080/10978526.2020.1722683; Limaymanta, C.H., Zulueta-Rafael, H., Restrepo-Arango, C., Álvarez-Muñoz, P., Bibliometric and scientometric analysis of the scientific production of Peru and Ecuador from Web of Science (2009-2018) (2020) Informacion, Cultura y Sociedad, 43, pp. 31-52. , https://doi.org/10.34096/ICS.I43.7926; Olaya, E., Efecto del gasto en investigación y desarrollo en el ingreso de los establecimientos de Ecuador (2017) Revista Vista Económica, 3 (1), pp. 7-18. , https://bit.ly/3j0FbTP; Oliveira-Filho, J.D.S., A bibliometric analysis of soil research in Brazil 1989-2018 (2020) Geoderma Regional, 23, p. e00345. , https://doi.org/10.1016/j.geodrs.2020.e00345; Powell, J.J.W., Comparative education in an age of competition and collaboration (2020) Comparative Education, 56 (1), pp. 57-78. , https://doi.org/10.1080/03050068.2019.1701248; Pozos, K.V., Tejada, J., Competencias digitales en docentes de Educación Superior: Niveles de dominio y necesidades formativas (2018) RIDU, 12 (2), pp. 59-87. , https://doi.org/10.19083/ridu.2018.712; Rodríguez, R., Espinoza, L.A., Trabajo colaborativo y estrategias de aprendizaje en entornos virtuales en jóvenes universitarios (2017) RIDE, 7 (14), pp. 103-126. , https://doi.org/10.23913/ride.v7i14.274; Rojas, M.M., Moreno, G.A., Rosero, C.A., Plataformas y herramientas educativas como parte del PLE del Docente. Caso asistente digital para planeación curricular ConTIC (2016) INGE CUC, 12 (1), pp. 99-106. , https://doi.org/10.17981/ingecuc.12.1.2016.11; Strauka, O., The Impact of constitutional replacements on the quality of democracy in Latin America (2020) Politologija, 99 (3), pp. 93-128. , https://doi.org/10.15388/Polit.2020.99.4; Torres-Samuel, M., Stanescu, C.L.V., Luna-Cardozo, M., Viloria, A., Crissien, T., Eficiencia técnica de la investigación y desarrollo, ciencia y tecnología, educación e innovación en países Latinoamericanos (2020) Revista Ibérica de Sistemas e Tecnologias de Informação, 29, pp. 582-594; Torres-Samuel, M., Torres, M.E., Hurtado, J., Vargas Lugo, A.L., Solano, D., Contribution of research and development to the efficiency of social progress in Latin America (2021) International Conference on Marketing and Technologies, ICMarkTech 2020, pp. 71-79. , https://doi.org/10.1007/978-981-33-4183-8_7, Springer; Trabadela-Robles, J., Nuño-Moral, M.V., Guerrero-Bote, V.P., De-Moya-Anegón, F., Análisis de dominios científicos nacionales en Comunicación (Scopus, 2003-2018) (2020) Profesional de la Información, 29 (4). , https://doi.org/10.3145/epi.2020.jul.18; Valdés-Pérez, M.G., Visibilidad de la producción de conocimiento (2020) Controversias y Concurrencias Latinoamericanas, 11 (20), pp. 353-363. , https://bit.ly/3yc6vEH; Vázquez-Miraz, P., Posada-Llorente, M.R., Implementación de un plan anual de metas para la mejora de la producción científica en una universidad colombiana. Aspectos positivos y negativos (2020) Revista General de Informacion y Documentacion, 30 (2), pp. 457-471. , https://doi.org/10.5209/rgid.72821; Vázquez-Stanescu, C.L., Luna-Cardozo, M.L., Torres-Samuel, M., Bucci, N., Silva, A.V., Crissien, T., Scientific production and positioning of universities according to SIR IBER ranking 2013 to 2019, Latin American case (2020) Revista Ibérica de Sistemas e Tecnologias de Informação, pp. 570-581. , https://bit.ly/374hYKH; Vega-Muñoz, A., Gónzalez-Gómez-del-Miño, P., Espinosa-Cristia, J.F., Recognizing new trends in brain drain studies in the framework of global sustainability (2021) Sustainability, 13 (6), p. 3195. , https://doi.org/10.3390/su13063195; Velandia-Mesa, C., Serrano-Pastor, F.J., Martínez-Segura, M.J., Assessing education research training: Scale design and validation (2021) Revista Electrónica Educare, 25 (1), pp. 35-54. , https://doi.org/10.15359/ree.25-1.3; Villacorta, S.P., Sellés-Martínez, J., Greco, R., Oliveira, A.M., Castillo, A.M., Arias-Regalía, D., Laigeo and its contribution to the improvement and spreading of geosciences education in Latin america and the caribbean: Accomplishments and goals (2020) Serie Correlacion Geologica, 35 (2), pp. 67-76; Wouters, O.J., McKee, M., Luyten, J., Inversión estimada en investigación y desarrollo necesaria para llevar un nuevo medicamento al mercado (2020) JAMA, 323 (9), pp. 844-853. , https://doi.org/10.1001/jama.2020.1166</t>
  </si>
  <si>
    <t>Gonzalez-Diaz, R.; Investigador, Colombia</t>
  </si>
  <si>
    <t>Grupo Comunicar Ediciones</t>
  </si>
  <si>
    <t>2-s2.0-85120329804</t>
  </si>
  <si>
    <t>Geraily G., Elmtalab S., Mohammadi N., Alirezaei Z., Martinez-Ovalle S.A., Jabbari I., Vega-Carrillo H.R., Karimi A.H.</t>
  </si>
  <si>
    <t>23134673800;57219612130;56400546100;36657035200;54583883900;34971162600;6604070532;57203718558;</t>
  </si>
  <si>
    <t>Biomedical Physics and Engineering Express</t>
  </si>
  <si>
    <t>https://www.scopus.com/inward/record.uri?eid=2-s2.0-85119439033&amp;doi=10.1088%2f2057-1976%2fac35a1&amp;partnerID=40&amp;md5=4cd44a596ab5a837e0fafbe0d7e7607d</t>
  </si>
  <si>
    <t>Department of Medical Physics and Biomedical Engineering, School of Medicine, Tehran University of Medical Sciences, Tehran, Iran; Department of Medical Physics, School of Medicine, Isfahan University of Medical Sciences, Isfahan, Iran; Department of Physics, Faculty of Science, Sahand University of Technology, Tabriz, Iran; School of Paramedicine, Bushehr University of Medical Sciences, Bushehr, Iran; Universidad Pedagógica y Tecnológica de Colombia, Boyacá, Tunja, Colombia; Department of Nuclear Engineering, Faculty of Physics, University of Isfahan, Isfahan, Iran; Academic Unit of Nuclear Studies, University Autonomous of Zacatecas, 10 Cipres St., Zac, Zacatecas, 98068, Mexico</t>
  </si>
  <si>
    <t>Geraily, G., Department of Medical Physics and Biomedical Engineering, School of Medicine, Tehran University of Medical Sciences, Tehran, Iran; Elmtalab, S., Department of Medical Physics, School of Medicine, Isfahan University of Medical Sciences, Isfahan, Iran; Mohammadi, N., Department of Physics, Faculty of Science, Sahand University of Technology, Tabriz, Iran; Alirezaei, Z., School of Paramedicine, Bushehr University of Medical Sciences, Bushehr, Iran; Martinez-Ovalle, S.A., Universidad Pedagógica y Tecnológica de Colombia, Boyacá, Tunja, Colombia; Jabbari, I., Department of Nuclear Engineering, Faculty of Physics, University of Isfahan, Isfahan, Iran; Vega-Carrillo, H.R., Academic Unit of Nuclear Studies, University Autonomous of Zacatecas, 10 Cipres St., Zac, Zacatecas, 98068, Mexico; Karimi, A.H., Department of Medical Physics and Biomedical Engineering, School of Medicine, Tehran University of Medical Sciences, Tehran, Iran</t>
  </si>
  <si>
    <t>This study was devoted to determining the unwanted dose due to scattered photons to the out-of-field organs and subsequently estimate the risk of secondary cancers in the patients undergoing pelvic radiotherapy. A typical 18 MV Medical Linear Accelerator (Varian Clinac 2100 C/D) was modeled using MCNPX® code to simulate pelvic radiotherapy with four treatment fields: anterior-posterior, posterior-anterior, right lateral, left lateral. Dose evaluation was performed inside Medical Internal Radiation Dose (MIRD) revised female phantom. The average photon equivalent dose in out-of-field organs is 8.53 mSv Gy−1, ranging from 0.17 to 72.11 mSv Gy−1, respectively, for the organs far from the Planning Treatment Volume (Brain) and those close to the treatment field (Colon). Evidence showed that colon with 4.3049% and thyroid with 0.0020% have the highest and lowest risk of secondary cancer, respectively. Accordingly, this study introduced the colon as an organ with a high risk of secondary cancer which should be paid more attention in the follow-up of patients undergoing pelvic radiotherapy. The authors believe that this simple Monte Carlo (MC) model can be also used in other radiotherapy plans and mathematical phantoms with different ages (from childhood to adults) to estimate the out-of-field dose. The extractable information by this simple MC model can be also employed for providing libraries for user-friendly applications (e.g. ‘.apk’) which in turn increase the public knowledge about fatal cancer risk after radiotherapy and subsequently decrease the concerns in this regard among the public. © 2021 IOP Publishing Ltd</t>
  </si>
  <si>
    <t>MCNPX®; Monte Carlo; Out-of-field dose; Radiotherapy; Secondary cancer</t>
  </si>
  <si>
    <t>C (programming language); Diseases; Estimation; Phantoms; Photons; Radiotherapy; Risk perception; Internal radiation dose; MCNPX code; MCNPX®; Monte Carlo model; Out-of-field dose; Pelvic radiotherapy; Phantoms; Scattered photons; Secondary cancer; Simple++; Monte Carlo methods; anterior posterior axis; Article; cancer radiotherapy; controlled study; female; follow up; human; metastasis; Monte Carlo method; out of field dose; pelvic radiotherapy; radiation dose distribution; radiation field; radiotherapy dosage; uterus cancer; adult; child; drug therapy; imaging phantom; magnetic and electromagnetic equipment; Monte Carlo method; photon; radiotherapy dosage; Adult; Child; Female; Humans; Monte Carlo Method; Particle Accelerators; Phantoms, Imaging; Photons; Radiotherapy Dosage</t>
  </si>
  <si>
    <t>Clinac 2100 C/D, Varian, United States; MCNPX</t>
  </si>
  <si>
    <t>Varian, United States</t>
  </si>
  <si>
    <t>Tehran University of Medical Sciences and Health Services, TUMS: 97-02-30-38668</t>
  </si>
  <si>
    <t>Perez, C A, Radiation therapy alone in the treatment of carcinoma of the uterine cervix. II (1984) Analysis of complications Cancer, 54, pp. 235-246; Corn, B W, Impact of improved irradiation technique, age, and lymph node sampling on the severe complication rate of surgically staged endometrial cancer patients: a multivariate analysis (1994) J. Clin. Oncol, 12, pp. 510-515; Roeske, J C, Lujan, A, Rotmensch, J, Waggoner, S E, Yamada, D, Mundt, A J, Intensity-modulated whole pelvic radiation therapy in patients with gynecologic malignancies (2000) Int. J. Radiat. Oncol. Biol. Phys, 48, pp. 1613-1621; Brenner, D J, Curtis, R E, Hall, E J, Ron, E, Second malignancies in prostate carcinoma patients after radiotherapy compared with surgery (2000) Cancer, 88, pp. 398-406; Ron, E, Cancer risks from medical radiation (2003) Health Phys, 85, pp. 47-59; Khabaz, R, Boodaghi, R, Benam, M R, Zanganeh, V, Estimation of photoneutron dosimetric characteristics in tissues/organs using an improved simple model of linac head (2018) Appl. Radiat. Isot, 133, pp. 88-94; Elmtalab, S, Abedi, I, Investigating the out-of-field doses and estimating the risk of secondary thyroid cancer in high-grade gliomas radiation therapy with modulated intensity and 3D-conformal: a phantom study (2021) Int J Radiat Res, 19, pp. 569-574; Sitathanee, C, Secondary cancer risk from modern external-beam radiotherapy of prostate cancer patients: impact of fractionation and dose distribution (2021) J. Radiat. Res, 62, pp. 707-717; Farhood, B, Ghorbani, M, Abdi Goushbolagh, N, Najafi, M, Geraily, G, Different methods of measuring neutron dose/ fluence generated during radiation therapy with megavoltage beams (2020) Health Phys, 118, pp. 65-74; Karimi, A H, Vega-Carrillo, H R, Grid therapy vs. conventional radiotherapy—18 MV treatments: photoneutron contamination along the maze of a linac bunker (2020) Appl. Radiat. Isot, 158, p. 109064; Karimi, A H, Brkić, H, Shahbazi-Gahrouei, D, Haghighi, S B, Jabbari, I, Essential considerations for accurate evaluation of photoneutron contamination in Radiotherapy (2019) Appl. Radiat. Isot, 145, pp. 24-31; Chegeni, N, Karimi, A H, Jabbari, I, Arvandi, S, Photoneutron dose estimation in GRID therapy using an anthropomorphic phantom: a Monte Carlo study (2018) J. Med. Signals Sens, 8, pp. 175-183; Kry, S F, Out-of-field photon and neutron dose equivalents from step-and-shoot intensity-modulated radiation therapy (2005) Int. J. Radiat. Oncol. Biol. Phys, 62, pp. 1204-1216; Howell, R M, Hertel, N E, Wang, Z, Hutchinson, J, Fullerton, G D, Calculation of effective dose from measurements of secondary neutron spectra and scattered photon dose from dynamic MLC IMRT for 6 MV, 15 MV, and 18 MV beam energies (2006) Med. Phys, 33, pp. 360-368; Martinez-Ovalle, S A, Barquero, R, Gomez-Ros, J M, Lallena, A M, Neutron dose equivalent and neutron spectra in tissue for clinical linacs operating at 15, 18 and 20 MV (2011) Radiat. Prot. Dosim, 147, pp. 498-511; Das, I J, Kase, K R, Higher energy: is it necessary, is it worth the cost for radiation oncology? (1992) Med. Phys, 19, pp. 917-925; Greene, D, Chu, G L, Thomas, D W, Dose levels outside radiotherapy beams (1983) Br. J. Radiol, 56, pp. 543-550; Kase, K R, Svensson, G K, Wolbarst, A B, Marks, M A, Measurements of dose from secondary radiation outside a treatment field (1983) Int. J. Radiat. Oncol. Biol. Phys, 9, pp. 1177-1183; Gold, D G, Neglia, J P, Potish, R A, Dusenbery, K E, Second neoplasms following megavoltage radiation for pediatric tumors (2004) Cancer, 100, pp. 212-213; Howell, R M, Scarboro, S B, Kry, S F, Yaldo, D Z, Accuracy of out-of-field dose calculations by a commercial treatment planning system (2010) Phys. Med. Biol, 55, pp. 6999-7008; Sánchez-Nieto, B, Medina-Ascanio, K N, Rodríguez-Mongua, J L, Doerner, E, Espinoza, I, Study of out-of-field dose in photon radiotherapy: a commercial treatment planning system versus measurements and Monte Carlo simulations (2020) Med. Phys, 47, pp. 4616-4625; Khabaz, R, Phantom dosimetry and cancer risks estimation undergoing 6 MV photon beam by an Elekta SL-25 linac (2020) Appl. Radiat. Isot, 163, p. 109232; Ghasemi-Jangjoo, A, Ghiasi, H, Monte Carlo study on the secondary cancer risk estimations for patients undergoing prostate radiotherapy: a humanoid phantom study (2020) Reports Pract Oncol Radiother J Gt Cancer Cent Pozn Polish Soc Radiat Oncol, 25, pp. 187-192; (1993) Limitation of Exposure to Ionizing Radiation, , USAhttps://ncrponline.org/, National Council on Radiation Protection and Measurements NCRP Reprt 116 Bethesda, MD; PelowitzDBetal2011MCNPXversion2.7.0.UserManual (LosAlamos,NM:LosAlamosNationalLab.(LANL)); Karimi, A H, Chegeni, N, Jabbari, I, Hassanvand, M, The effect of neutron contamination on probability of secondary cancer in radiotherapy of pelvic region with 18 MV photons (2019) J Isfahan Med. Sch, 37, pp. 222-227; Karimi, A H, Wang, X, Mirian, S F, Vega-Carrillo, H R, A brief answer to the concerns about neutron contamination in 18 MV spatially fractionated radiation therapy (2019) 105th Sci. Assem. Annu. Meet. Radiol. Soc. North Am, , (Chicago); Karimi, A H, Wang, X, Mirian, S F, Vega-Carrillo, H R, Mohiuddin, M, Feasibility of 18 MV grid therapy from the view of radiation protection (2021) Med. Phys, 48. , (Hoboken, NJ: Wiley); Han, E Y, Bolch, W E, Eckerman, K F, Revisions to the ORNL series of adult and pediatric computational phantoms for use with the MIRD schema (2006) Health Phys, 90, pp. 337-356; (2002) Basic Anatomical and Physiological Data for Use in Radiological Protection Reference Values ICRP, p. 89. , https://www.icrp.org/, International Commission on Radiological Protection; White, D R, Griffith, R V, Wilson, I J, (1992) Report 46 J Int Comm Radiat Units Meas os24 NP–NP; Kry, S F, Salehpour, M, Titt, U, White, R A, Stovall, M, Followill, D, Monte Carlo study shows no significant difference in second cancer risk between 6- and 18 MV intensity-modulated radiation therapy (2009) Radiother Oncol J Eur Soc Ther Radiol Oncol, 91, pp. 132-137; Ruben, J D, Smith, R, Lancaster, C M, Haynes, M, Jones, P, Panettieri, V, Constituent components of out-of-field scatter dose for 18 MV intensity modulated radiation therapy versus 3-dimensional conformal radiation therapy: a comparison with 6 MV and implications for carcinogenesis (2014) Int. J. Radiat. Oncol. Biol. Phys, 90, pp. 645-653</t>
  </si>
  <si>
    <t>Karimi, A.H.; Department of Medical Physics and Biomedical Engineering, Iran; email: amirhosseinkarimi.phd@gmail.com</t>
  </si>
  <si>
    <t>2-s2.0-85119439033</t>
  </si>
  <si>
    <t>Coronado A.C.M., Hernández E.H.M., Coronado Y.M.</t>
  </si>
  <si>
    <t>56382818800;57218772008;56007631200;</t>
  </si>
  <si>
    <t>Phenotypic diversity of agromorphological characteristics of quinoa (Chenopodium quinoa willd.) germplasm in colombia</t>
  </si>
  <si>
    <t>Scientia Agricola</t>
  </si>
  <si>
    <t>https://www.scopus.com/inward/record.uri?eid=2-s2.0-85111623660&amp;doi=10.1590%2f1678-992X-2021-0017&amp;partnerID=40&amp;md5=1e5aa680335c6dad4b828004546bd812</t>
  </si>
  <si>
    <t>Universidad Pedagógica y Tecnológica de Colombia, Facultad de Ciencias Agropecuarias, Avenida Central Norte #, Tunja, 39-115, Colombia; Corporación Colombiana de Investigación Agropecuaria, AGROSAVIA, Cra 36a–23, Palmira Valle del Cauca, Colombia</t>
  </si>
  <si>
    <t>Coronado, A.C.M., Universidad Pedagógica y Tecnológica de Colombia, Facultad de Ciencias Agropecuarias, Avenida Central Norte #, Tunja, 39-115, Colombia; Hernández, E.H.M., Universidad Pedagógica y Tecnológica de Colombia, Facultad de Ciencias Agropecuarias, Avenida Central Norte #, Tunja, 39-115, Colombia; Coronado, Y.M., Corporación Colombiana de Investigación Agropecuaria, AGROSAVIA, Cra 36a–23, Palmira Valle del Cauca, Colombia</t>
  </si>
  <si>
    <t>Chenopodium quinoa Willd. is an Andean crop with great nutritional value, economic potential, and a broad genetic and phenotypic diversity with adaptation to different conditions. In Colombia, C. quinoa is cultivated mainly in Cundinamarca, Nariño and Boyacá, where studies have been conducted to characterize the germplasm and lack of seed materials, some challenges for the quinoa crop. This work assessed agromorphological characteristics of 50 quinoa genotypes from the germplasm collection of Boyacá the using a completely randomized design on the farm in Tunja. The multivariate analysis followed by a clustering approach were conducted on agromorphological descriptors, in which 16 were qualitative descriptors (e.g, panicle shape, episperm color, leaf shape) and five quantitative descriptors (e.g, plant height, panicle number). The results showed that higher coefficients of variation were found in characteristics associated to yield. The principal component analysis (PCA) of the quantitative variables showed that the first two components explained 88 % of the total variation with the characteristics of plant height, length, diameter, and panicle number showing the highest variability. The quantitative characteristic clusters comprised length and diameter panicle, weight 1,000 seeds, and plant height, while the qualitative characteristic clusters comprised stem shape, branching habit, panicle shape, and color of the axils. The factorial analysis of mixed data discriminated the materials with outstanding morphoagronomic characteristics. Agromorphological characterization revealed a broad variability, which should be conserved and used in genetic improvement programs of C. quinoa. © 2022, University of Sao Paolo. All rights reserved.</t>
  </si>
  <si>
    <t>Andean cultivation; Genetic diversity; Phenotypic variability; Yield</t>
  </si>
  <si>
    <t>The authors gratefully acknowledge the: “Patrimonio Autónomo Fondo Nacional de Financiamiento para la Ciencia, la Tecnología y la Innovación Francisco José de Caldas” –MinCiencias. ID. 63924, for the research financial support.</t>
  </si>
  <si>
    <t>Bazile, D., Jacobsen, S.E., Verniau, A., The global expansion of quinoa: trends and limits (2016) Frontiers in Plant Science, 7, pp. 1-6; Chura, E., Mujica, Á., Haussmann, B., Smith, K., Flores, S., Flores, A.L., Agronomic characterization of quinoa (Chenopodium quinoa Willd.) progeny from close and distant self-fertilized s5 simple crosses (2019) Ciencia e Investigacion Agraria, 46, pp. 154-165; Di Rienzo, J, Casanoves, F., Balzarini, M., González, L., Tablada, M., Robledo, C., InfoStat. Version 2012, Windows, , Grupo InfoStat: Universidad Nacional de Córdoba, Argentina; Garcia, M., García, J., Deaquiz, Y., Physiological performance of quinoa (Chenopodium quinoa Willd.) under agricultural climatic conditions in Boyacá, Colombia (2019) Agronomía Colombiana, 37, pp. 144-152; Hirich, A., Choukr, A., Jacobsen, S.E., Quinoa in Morocco-effect of sowing dates on development and yield (2014) Journal of Agronomy and Crop Science, 200, pp. 371-377; Hussain, M., Muscolo, A., Ahmed, M., Ahsan, M., Al-Dakheel, A., Agro-morphological, yield and quality traits and interrelation with yield stability in quinoa (Chenopodium quinoa Willd.) genotypes under saline marginal environment (2020) Plants, 9, p. 1763; Jaikishun, S., Li, W., Yang, Z., Song, S., Quinoa: in perspective of global challenges (2019) Agronomy, 9, pp. 1-15; Kassambara, A., Mundt, F., (2020) Factoextra: Extract and Visualize the Results of Multivariate Data Analyses, , (R package version 1.07); Kir, A.E., Temel, S., Determination of seed yield and some agronomical characteristics of different quinoa (Chenopodium quinoa Willd.) variety and populations under dry conditions of Iğdır Plain (2016) Iğdır University Journal of the Institute of Science and Technology, 4, pp. 145-154; Le, S., Josse, J., Husson, F., FactoMineR: An R package for multivariate analysis (2008) Journal of Statistical Software, 25, pp. 1-18; Lopez, J.P., Timaran, M.F., Betancourth, C., Evaluation of 16 selections of sweet quinoa (Chenopodium quinoa Willd.) in the municipality of Guaitarilla, Nariño (2012) Revista de Ciencias Agrícolas, 25, pp. 130-149. , (in Spanish, with abstract in English); Montes, C., Burbano, G.A., Muñoz, E.F., Calderón, Y., Description of the phenological cycle of four ecotypes of (Chenopodium quinoa Willd.), In Puracé-Cauca, Colombia (2018) Biotecnología en el Sector Agropecuario y Agroindustrial, 16, pp. 26-37. , (in Spanish, with abstract in English); Morillo, A., Manjarres, E., Reyes, W., Morillo, Y., Intrapopulation phenotypic variation in Piartal (Chenopodium quinoa Willd.) from the Departament of Boyacá, Colombia (2020) African Journal of Agricultural Research, 16, pp. 1195-1203; Pinto, K., Cobo de la Peña, T., Ostria, E., Ibánez, C., Briones, V., Vergara, A., Alvarez, R., Castro, P., Seed characterization and early nitrogen metabolism performance of seedlings from Altiplano and coastal ecotypes of quinoa (2020) BMC Plant Biology, 20, p. 343; Salazar, J., Torres, M., Gutierrez, B., Torres, A.F., Molecular characterization of Ecuadorian quinoa (Chenopodium quinoa Willd.) diversity: implications for conservation and breeding (2019) Euphytica, 215 (215), p. 60; Sampaio, S., Fernandes, Á., Pereira, C., Calhelha, R., Sokovic, M., Santos, C., Barros, L., Ferreira, I., Nutritional value, physicochemical characterization and bioactive properties of the Brazilian quinoa BRS Piabiru (2020) Food &amp; Function, 4, pp. 2969-2977; Spehar, C.R., Barros, R.L., Agronomic performance of quinoa selected in the Brazilian Savannah (2005) Pesquisa Agropecuária Brasileira, 40, pp. 609-612; Temel, S., Keskin, B., Effect of morfological componentes on the herbage yield and quality of quinoa (Chenopodium quinoa Willd.) grown at different dates (2020) Turkish Journal of Agriculture and Forestry, 44, pp. 533-542</t>
  </si>
  <si>
    <t>Coronado, A.C.M.; Universidad Pedagógica y Tecnológica de Colombia, Avenida Central Norte #, Colombia; email: ana.morillo@uptc.edu.co</t>
  </si>
  <si>
    <t>University of Sao Paolo</t>
  </si>
  <si>
    <t>2-s2.0-85111623660</t>
  </si>
  <si>
    <t>Strakova N., Shagieva E., Ovesna P., Korena K., Michova H., Demnerova K., Kolackova I., Karpiskova R.</t>
  </si>
  <si>
    <t>8224778300;57220101476;36246420300;57222253195;57242293600;7004222434;57441531000;6603954426;</t>
  </si>
  <si>
    <t>The effect of environmental conditions on the occurrence of Campylobacter jejuni and Campylobacter coli in wastewater and surface waters</t>
  </si>
  <si>
    <t>Journal of Applied Microbiology</t>
  </si>
  <si>
    <t>10.1111/jam.15197</t>
  </si>
  <si>
    <t>https://www.scopus.com/inward/record.uri?eid=2-s2.0-85110374851&amp;doi=10.1111%2fjam.15197&amp;partnerID=40&amp;md5=e72a66456ad4b6dd727635de60b4c0dc</t>
  </si>
  <si>
    <t>Veterinary Research Institute, Brno, Czech Republic; Department of Biochemistry and Microbiology, University of Chemistry and Technology, Prague, Czech Republic; Institute of Biostatistics and Analyses, Masaryk University, Brno, Czech Republic</t>
  </si>
  <si>
    <t>Strakova, N., Veterinary Research Institute, Brno, Czech Republic; Shagieva, E., Department of Biochemistry and Microbiology, University of Chemistry and Technology, Prague, Czech Republic; Ovesna, P., Institute of Biostatistics and Analyses, Masaryk University, Brno, Czech Republic; Korena, K., Veterinary Research Institute, Brno, Czech Republic; Michova, H., Department of Biochemistry and Microbiology, University of Chemistry and Technology, Prague, Czech Republic; Demnerova, K., Department of Biochemistry and Microbiology, University of Chemistry and Technology, Prague, Czech Republic; Kolackova, I., Veterinary Research Institute, Brno, Czech Republic; Karpiskova, R., Veterinary Research Institute, Brno, Czech Republic</t>
  </si>
  <si>
    <t>Aims: The purpose of the study was to evaluate the occurrence of Campylobacter jejuni and Campylobacter coli in the aquatic environment based on the water origin, seasonality and physico-chemical properties. Methods and Results: The occurrence of C. jejuni and C. coli was determined in waste (29) or surface (56) waters in four different seasons. The air and water temperatures were measured during sampling and chemical analyses of water samples for ammonium, chloride, chlorine, nitrite, nitrate, phosphate and iron were performed. The thermotolerant Campylobacter spp. were more frequently detected in wastewater (59%; 17 positive samples) compared to surface water (38%; 21 positive samples), with the highest rate in autumn (67% of samples positive) and with a higher C. coli occurrence than C. jejuni (31% vs. 26%). Ammonium (above 0.2 mg/L) and chloride ion concentrations (above 60 mg/L) favour C. jejuni. Similarly, C. coli occurrence in water was supported by ammonium (above 0.2 mg/L), chloride (above 60 mg/L) and in addition by phosphate ion concentrations (below 0.7 mg/L). Conclusions: Campylobacter presence in water is influenced by physico-chemical parameters such as concentrations of ammonium and chloride ions. Significance and Impact of the Study: Water environment is an alternative source of Campylobacter. The concentration of ammonium and chloride ions can be used as a basis for successful prediction of the potential occurrence of C. jejuni and C. coli in wastewater and surface water in future. © 2021 The Authors. Journal of Applied Microbiology published by John Wiley &amp; Sons Ltd on behalf of Society for Applied Microbiology</t>
  </si>
  <si>
    <t>ammonia; chloride; chlorine; iron; nitrate; nitrite; phosphate; surface water; aquatic environment; concentration (composition); environmental conditions; physicochemical property; seasonality; surface water; wastewater; air temperature; aquatic environment; Article; Campylobacter coli; Campylobacter jejuni; controlled study; heat tolerance; matrix assisted laser desorption ionization time of flight mass spectrometry; multiplex polymerase chain reaction; nonhuman; pH; physical chemistry; seasonal variation; wastewater; water sampling; water temperature; Campylobacter; campylobacteriosis; human; wastewater; Campylobacter; Campylobacter coli; Campylobacter Infections; Campylobacter jejuni; Humans; Waste Water</t>
  </si>
  <si>
    <t>ammonia, 14798-03-9, 51847-23-5, 7664-41-7; chloride, 16887-00-6; chlorine, 13981-72-1, 7782-50-5; iron, 14093-02-8, 53858-86-9, 7439-89-6; nitrate, 14797-55-8; nitrite, 14797-65-0; phosphate, 14066-19-4, 14265-44-2; Waste Water</t>
  </si>
  <si>
    <t>Grantová Agentura České Republiky, GA ČR: GA18‐16549S</t>
  </si>
  <si>
    <t>The authors thank Ludmila Faldikova and Prof. Andrew Miller for the manuscript proofreading. This work was supported by The Czech Science Foundation [grant No. GA18‐16549S].</t>
  </si>
  <si>
    <t>The authors thank Ludmila Faldikova and Prof. Andrew Miller for the manuscript proofreading. This work was supported by The Czech Science Foundation [grant No. GA18-16549S].</t>
  </si>
  <si>
    <t>Bang, D.D., Wedderkopp, A., Pedersen, K., Madsen, M., Rapid PCR using nested primers of the 16s rRNA and the hippuricase (hipO) genes to detect Campylobacter jejuni and Campylobacter coli in environmental samples (2002) Molecular and Cellular Probes, 16, pp. 359-369. , https://doi.org/10.1006/mcpr.2002.0434; Bartholomew, N., Brunton, C., Mitchell, P., Williamson, J., Gilpin, B., A waterborne outbreak of campylobacteriosis in the South Island of New Zealand due to a failure to implement a multi-barrier approach (2014) Journal of Water and Health, 12, pp. 555-563. , https://doi.org/10.2166/wh.2014.155; Berndtson, E., Danielsson-Tham, M.L., Engvall, A., Campylobacter incidence on a chicken farm and the spread of Campylobacter during the slaughter process (1996) International Journal of Food Microbiology, 32, pp. 35-47. , https://doi.org/10.1016/0168-1605(96)01102-6; Braeye, T., De Schrijver, K., Wollants, E., Van Ranst, M., Verhaegen, J., A large community outbreak of gastroenteritis associated with consumption of drinking water contaminated by river water, Belgium, 2010 (2015) Epidemiology and Infection, 143, pp. 711-719. , https://doi.org/10.1017/S0950268814001629; Chmielewski, R.A.N., Frank, J.F., Biofilm formation and control in food processing facilities (2003) Comprehensive Reviews in Food Science and Food Safety, 2, pp. 22-32. , https://doi.org/10.1111/j.1541-4337.2003.tb00012.x; Cook, K.L., Bolster, C.H., Survival of Campylobacter jejuni and Escherichia coli in groundwater during prolonged starvation at low temperatures (2007) Journal of Applied Microbiology, 103, pp. 573-583. , https://doi.org/10.1111/j.1365-2672.2006.03285.x; Donlan, R.M., Costerton, J.W., Biofilms: Survival mechanisms of clinically relevant microorganisms (2002) Clinical Microbiology Reviews, 15, pp. 167-193. , https://doi.org/10.1128/CMR.15.2.167-193.2002; (2019) The European Union One Health 2018 Zoonoses Report, , https://doi.org/10.2903/j.efsa.2019.5926; Epps, S.V.R., Harvey, R.B., Hume, M.E., Phillips, T.D., Anderson, R.C., Nisbet, D.J., Foodborne campylobacter: infections, metabolism, pathogenesis and reservoirs (2013) International Journal of Environmental Research and Public Health, 10, pp. 6292-6304. , https://doi.org/10.3390/ijerph10126292; Gaardbo Kuhn, K., Falkenhorst, G., Emborg, H.-D., Ceper, T., Torpdahl, M., Krogfelt, K.A., Epidemiological and serological investigation of a waterborne Campylobacter jejuni outbreak in a Danish town (2017) Epidemiology and Infection, 145, pp. 701-709. , https://doi.org/10.1017/S0950268816002788; Gilpin, B.J., Walker, T., Paine, S., Sherwood, J., Mackereth, G., Wood, T., A large scale waterborne Campylobacteriosis outbreak, Havelock North, New Zealand (2020) Journal of Infection, 81, pp. 390-395. , https://doi.org/10.1016/j.jinf.2020.06.065; Gölz, G., Rosner, B., Hofreuter, D., Josenhans, C., Kreienbrock, L., Löwenstein, A., Relevance of Campylobacter to public health-The need for a One Health approach (2014) International Journal of Medical Microbiology, 304, pp. 817-823. , https://doi.org/10.1016/j.ijmm.2014.08.015; Hartnett, E., Kelly, L., Newell, D., Wooldridge, M., Gettinby, G., A quantitative risk assessment for the occurrence of campylobacter in chickens at the point of slaughter (2001) Epidemiology and Infection, 127, pp. 195-206. , https://doi.org/10.1017/s0950268801005866; Hyllestad, S., Iversen, A., MacDonald, E., Amato, E., Borge, B.A.S., Boe, A., Large waterborne Campylobacter Outbreak: use of multiple approaches to investigate contamination of the drinking water supply system, Norway, June 2019 (2020) Eurosurveillance, 25, pp. 1-10. , https://doi.org/10.2807/1560-7917.ES.2020.25.35.2000011; Igwaran, A., Okoh, A.I., Human campylobacteriosis: a public health concern of global importance (2019) Heliyon, 5. , https://doi.org/10.1016/j.heliyon.2019.e02814; (2019) Water quality — Detection and enumeration of thermotolerant Campylobacter spp. - ISO 17995:2019, , ISO; Kirk, M.D., Pires, S.M., Black, R.E., Caipo, M., Crump, J.A., Devleesschauwer, B., World Health Organization estimates of the global and regional disease burden of 22 foodborne bacterial, protozoal, and viral diseases, 2010: a data synthesis (2015) PLoS Med, 12, pp. 1-21. , https://doi.org/10.1371/journal.pmed.1001921; Koga, M., Ang, C.W., Yuki, N., Jacobs, C., Herbrink, P., Van Der Meché, G.A., Comparative study of preceding Campylobacter jejuni infection in Guillain-Barré syndrome in Japan and The Netherlands (2001) Journal of Neurology, Neurosurgery and Psychiatry, 70, pp. 693-695. , https://doi.org/10.1136/jnnp.70.5.693; Linton, D., Lawson, A.J., Owen, R.J., Stanley, J., PCR detection, identification to species level, and fingerprinting of Campylobacter jejuni and Campylobacter coli direct from diarrheic samples (1997) Journal of Clinical Microbiology, 35, pp. 2568-2572. , https://doi.org/10.1128/jcm.35.10.2568-2572.1997; Mouly, D., Van Cauteren, D., Vincent, N., Vaissiere, E., Beaudeau, P., Ducrot, C., Description of two waterborne disease outbreaks in France: a comparative study with data from cohort studies and from health administrative databases (2016) Epidemiology and Infection, 144, pp. 591-601. , https://doi.org/10.1017/S0950268815001673; Mughini-Gras, L., Penny, C., Ragimbeau, C., Schets, F.M., Blaak, H., Duim, B., Quantifying potential sources of surface water contamination with Campylobacter jejuni and Campylobacter coli (2016) Water Research, 101, pp. 36-45. , https://doi.org/10.1016/j.watres.2016.05.069; Mulder, A.C., Franz, E., de Rijk, S., Versluis, M.A.J., Coipan, C., Buij, R., Tracing the animal sources of surface water contamination with Campylobacter jejuni and Campylobacter coli (2020) Water Research, 187. , https://doi.org/10.1016/j.watres.2020.116421; Nachamkin, I., Szymanski, C., Blaser, M.J., (2008) Campylobacter, , https://doi.org/10.1128/9781555815554, &amp;, 3, rd Edition., ASM Press; Nygård, K., Andersson, Y., Røttingen, J.A., Svensson, Å., Lindbäck, J., Kistemann, T., Association between environmental risk factors and campylobacter infections in Sweden (2004) Epidemiology and Infection, 132, pp. 317-325. , https://doi.org/10.1017/S0950268803001900; Obiri-Danso, K., Paul, N., Jones, K., The effects of UVB and temperature on the survival of natural populations and pure cultures of Campylobacter jejuni, Camp. coli, Camp. lari and urease-positive thermophilic campylobacters (UPTC) in surface waters (2001) Journal of Applied Microbiology, 90, pp. 256-267. , https://doi.org/10.1046/j.1365-2672.2001.01239.x; Olin, A.C., Aldenbratt, A., Ekman, A., Ljungkvist, G., Jungersten, L., Alving, K., Increased nitric oxide in exhaled air after intake of a nitrate-rich meal (2001) Respiratory Medicine, 95, pp. 153-158. , https://doi.org/10.1053/rmed.2000.1010; Pattis, I., Moriarty, E., Billington, C., Gilpin, B., Hodson, R., Ward, N., Concentrations of Campylobacter spp., Escherichia coli, Enterococci, and Yersinia spp. in the feces of farmed red deer in New Zealand (2017) Journal of Environmental Quality, 46, pp. 819-827. , https://doi.org/10.2134/jeq2017.01.0002; Pittman, M.S., Elvers, K.T., Lee, L., Jones, M.A., Poole, R.K., Park, S.F., Growth of Campylobacter jejuni on nitrate and nitrite: electron transport to NapA and NrfA via NrfH and distinct roles for NrfA and the globin Cgb in protection against nitrosative stress (2007) Molecular Microbiology, 63, pp. 575-590. , https://doi.org/10.1111/j.1365-2958.2006.05532.x; Rollins, D.M., Colwell, R.R., Viable but nonculturable stage of Campylobacter jejuni and its role in survival in the natural aquatic environment (1986) Applied and Environment Microbiology, 52, pp. 531-538. , https://doi.org/10.1128/aem.52.3.531-538.1986; Sales-Ortells, H., Agostini, G., Medema, G., Quantification of waterborne pathogens and associated health risks in urban water (2015) Environmental Science and Technology, 49, pp. 6943-6952. , https://doi.org/10.1021/acs.est.5b00625; Schönberg-Norio, D., Takkinen, J., Hänninen, M.-L., Katila, M.-L., Kaukoranta, S.-S., Mattila, L., Swimming and Campylobacter infections (2004) Emerging Infectious Diseases, 10, pp. 1474-1477. , https://doi.org/10.3201/eid1008.030924; Schullehner, J., Stayner, L., Hansen, B., Nitrate, nitrite, and ammonium variability in drinking water distribution systems (2017) International Journal of Environmental Research and Public Health, 14, pp. 1-9. , https://doi.org/10.3390/ijerph14030276; Shagieva, E., Teren, M., Michova, H., Strakova, N., Karpiskova, R., Demnerova, K., Adhesion, biofilm formation, and luxS sequencing of Campylobacter jejuni isolated from water in the Czech Republic (2020) Frontiers in Cellular and Infection Microbiology, 10, pp. 1-9. , https://doi.org/10.3389/fcimb.2020.596613; Sheppard, S.K., Dallas, J.F., MacRae, M., McCarthy, N.D., Sproston, E.L., Gormley, F.J., Campylobacter genotypes from food animals, environmental sources and clinical disease in Scotland 2005/6 (2009) International Journal of Food Microbiology, 134, pp. 96-103. , https://doi.org/10.1016/j.ijfoodmicro.2009.02.010; Sheppard, S.K., Maiden, M.C.J., The evolution of Campylobacter jejuni and Campylobacter coli (2015) Cold Spring Harbor Perspectives in Biology, 7, pp. 1-13. , https://doi.org/10.1101/cshperspect.a018119; Smith, M.A., Finel, M., Korolik, V., Mendz, G.L., Characteristics of the aerobic respiratory chains of the microaerophiles Campylobacter jejuni and Helicobacter pylori (2000) Archives of Microbiology, 174, pp. 1-10. , https://doi.org/10.1007/s002030000174; Strakova, N., Korena, K., Gelbicova, T., Kulich, P., Karpiskova, R., A rapid culture method for the detection of campylobacter from water environments (2021) International Journal of Environmental Research and Public Health, 18 (11), p. 6098. , https://doi.org/10.3390/ijerph18116098; Teren, M., Turonova Michova, H., Vondrakova, L., Demnerova, K., Molecules autoinducer 2 and cjA and their impact on gene expression in Campylobacter jejuni (2019) Journal of Molecular Microbiology and Biotechnology, 28, pp. 207-215. , https://doi.org/10.1159/000495411; (2019) Zoonoses Report, 2019, , https://doi.org/10.2903/j.efsa.2019.5926; Thomas, C., Hill, D., Mabey, M., Culturability, injury and morphological dynamics of thermophilic Campylobacter spp. within a laboratory-based aquatic model system (2002) Journal of Applied Microbiology, 92, pp. 433-442. , https://doi.org/10.1046/j.1365-2672.2002.01550.x; Tribble, D.R., Baqar, S., Scott, D.A., Oplinger, M.L., Trespalacios, F., Rollins, D., Assessment of the duration of protection in Campylobacter jejuni experimental infection in humans (2010) Infection and Immunity, 78, pp. 1750-1759. , https://doi.org/10.1128/IAI.01021-09; Winters, D.K., O’Leary, A.E., Slavik, M.F., Polymerase chain reaction for rapid detection of Campylobacter jejuni in artificially contaminated foods (1998) Letters in Applied Microbiology, 27, pp. 163-167. , https://doi.org/10.1046/j.1472-765X.1998.00411.x</t>
  </si>
  <si>
    <t>Strakova, N.; Veterinary Research InstituteCzech Republic; email: strakova@vri.cz</t>
  </si>
  <si>
    <t>JAMIF</t>
  </si>
  <si>
    <t>J. Appl. Microbiol.</t>
  </si>
  <si>
    <t>2-s2.0-85110374851</t>
  </si>
  <si>
    <t>Cai Y., Liu J., Li G., Wong P.K., An T.</t>
  </si>
  <si>
    <t>57216500045;57224414040;7407051300;26666389600;7004832388;</t>
  </si>
  <si>
    <t>Formation mechanisms of viable but nonculturable bacteria through induction by light-based disinfection and their antibiotic resistance gene transfer risk: A review</t>
  </si>
  <si>
    <t>Critical Reviews in Environmental Science and Technology</t>
  </si>
  <si>
    <t>10.1080/10643389.2021.1932397</t>
  </si>
  <si>
    <t>https://www.scopus.com/inward/record.uri?eid=2-s2.0-85107498818&amp;doi=10.1080%2f10643389.2021.1932397&amp;partnerID=40&amp;md5=77466950bcdfee66465bdfd39294febb</t>
  </si>
  <si>
    <t>Guangdong-Hong Kong-Macao Joint Laboratory for Contaminants Exposure and Health, Guangdong Key Laboratory of Environmental Catalysis and Health Risk Control, Institute of Environmental Health and Pollution control, Guangdong University of Technology, Guangzhou, China; Guangzhou Key Laboratory of Environmental Catalysis and Pollution Control, Guangdong Technology Research Center for Photocatalytic Technology Integration and Equipment Engineering, School of Environmental Science and Engineering, Guangdong University of Technology, Guangzhou, China</t>
  </si>
  <si>
    <t>Cai, Y., Guangdong-Hong Kong-Macao Joint Laboratory for Contaminants Exposure and Health, Guangdong Key Laboratory of Environmental Catalysis and Health Risk Control, Institute of Environmental Health and Pollution control, Guangdong University of Technology, Guangzhou, China; Liu, J., Guangdong-Hong Kong-Macao Joint Laboratory for Contaminants Exposure and Health, Guangdong Key Laboratory of Environmental Catalysis and Health Risk Control, Institute of Environmental Health and Pollution control, Guangdong University of Technology, Guangzhou, China; Li, G., Guangdong-Hong Kong-Macao Joint Laboratory for Contaminants Exposure and Health, Guangdong Key Laboratory of Environmental Catalysis and Health Risk Control, Institute of Environmental Health and Pollution control, Guangdong University of Technology, Guangzhou, China, Guangzhou Key Laboratory of Environmental Catalysis and Pollution Control, Guangdong Technology Research Center for Photocatalytic Technology Integration and Equipment Engineering, School of Environmental Science and Engineering, Guangdong University of Technology, Guangzhou, China; Wong, P.K., Guangdong-Hong Kong-Macao Joint Laboratory for Contaminants Exposure and Health, Guangdong Key Laboratory of Environmental Catalysis and Health Risk Control, Institute of Environmental Health and Pollution control, Guangdong University of Technology, Guangzhou, China; An, T., Guangdong-Hong Kong-Macao Joint Laboratory for Contaminants Exposure and Health, Guangdong Key Laboratory of Environmental Catalysis and Health Risk Control, Institute of Environmental Health and Pollution control, Guangdong University of Technology, Guangzhou, China, Guangzhou Key Laboratory of Environmental Catalysis and Pollution Control, Guangdong Technology Research Center for Photocatalytic Technology Integration and Equipment Engineering, School of Environmental Science and Engineering, Guangdong University of Technology, Guangzhou, China</t>
  </si>
  <si>
    <t>Disinfection technologies, especially light-based disinfection, have undergone tremendous development and innovation, but this treatment can cause bacteria to enter viable but nonculturable (VBNC) state. Due to their strong tolerance, VBNC bacteria cannot be completely removed by disinfection technologies, thereby posing a potential risk for antibiotic resistance gene (ARG) transfer. Therefore, to better understand VBNC bacteria and interpret potential transfer of ARGs, this article systematically reviewed changes in morphology, physiology and virulence of bacteria after entering VBNC state. In addition, this article reviewed quantitative detection methods of VBNC bacteria, such as cell membrane integrity-mediated LIVE/DEAD Baclight assay, qPCR-based assays, and phage-based detection methods, concluding that there is still a lack of in-situ and real-time detection methods for VBNC bacteria. Health risks and environmental application value of VBNC bacteria were then valuated, with data indicating that VBNC bacteria have great value in the domain of microbial utilization. Furthermore, the induction conditions (especially by light-based disinfection) and formation mechanisms of VBNC bacteria were highlighted. Formation mechanisms mainly involve stringent response, general stress response system and toxin-antitoxin (TA) system. Moreover, horizontal gene transfer (HGT) of ARGs during and after the formation of VBNC bacteria induced by light-based disinfection was evaluated. It was found that ARGs may be transferred through conjugation, transformation and transduction. Finally, current deficiencies and future challenges for the transformation of VBNC bacteria, especially those influenced by light-based disinfection technologies, were summarized. This review provides new insights into detection methods, formation mechanisms, environmental applications and potential ARG transfer risks of VBNC bacteria. © 2021 Taylor &amp; Francis Group, LLC.</t>
  </si>
  <si>
    <t>formation mechanism; gene transfer; VBNC bacteria</t>
  </si>
  <si>
    <t>Antibiotics; Cytology; Disinfection; Gene transfer; Genes; Health risks; Polymerase chain reaction; Antibiotic resistance genes; Environmental applications; Formation mechanism; Horizontal gene transfer; Membrane integrity; Quantitative detection; Real-time detection; Viable but non-culturable; Bacteria; gene transfer; antibiotic resistance; bacterial virulence; bacteriophage; cell membrane; conjugation; disinfection; health hazard; horizontal gene transfer; human; nonhuman; physiological stress; quantitative analysis; real time polymerase chain reaction; review; systematic review; toxin-antitoxin system</t>
  </si>
  <si>
    <t>2020B1111350002; Guangdong Provincial Pearl River Talents Program: 2017BT01Z032; National Natural Science Foundation of China, NSFC: 42077333, U1901210</t>
  </si>
  <si>
    <t>This work was supported by the National Natural Science Foundation of China (U1901210 and 42077333), Guangdong Provincial Key R&amp;D Program (2020B1111350002) and Local Innovative and Research Teams Project of Guangdong Pearl River Talents Program (2017BT01Z032).</t>
  </si>
  <si>
    <t>Alleron, L., Khemiri, A., Koubar, M., Lacombe, C., Coquet, L., Cosette, P., Jouenne, T., Frere, J., VBNC Legionella pneumophila cells are still able to produce virulence proteins (2013) Water Research, 47 (17), pp. 6606-6617. , https://doi.org/; Almagro-Moreno, S., Kim, T.K., Skorupski, K., Taylor, R.K., Proteolysis of virulence regulator ToxR is associated with entry of Vibrio cholerae into a dormant state (2015) PLoS Genetics, 11 (4), p. e1005145. , https://doi.org/; Alvear-Daza, J.J., Garcia-Barco, A., Osorio-Vargas, P., Gutierrez-Zapata, H.M., Sanabria, J., Rengifo-Herrera, J.A., Resistance and induction of viable but non culturable states (VBNC) during inactivation of E. coli and Klebsiella pneumoniae by addition of H2O2 to natural well water under simulated solar irradiation (2021) Water Research, 188, p. 116499. , https://doi.org/; Anany, H., Brovko, L., El Dougdoug, N.K., Sohar, J., Fenn, H., Alasiri, N., Jabrane, T., Griffiths, M.W., Print to detect: A rapid and ultrasensitive phage-based dipstick assay for foodborne pathogens (2018) Analytical and Bioanalytical Chemistry, 410 (4), pp. 1217-1230. , https://doi.org/; Arana, I., Justo, J.I., Muela, A., Pocino, M., Iriberri, J., Barcina, I., Influence of a survival process in a freshwater system upon plasmid transfer between Escherichia coli strains (1997) Microbial Ecology, 33 (1), pp. 41-49. , https://doi.org/; Arana, I., Pocino, M., Muela, A., Fernandez-Astorga, A., Barcina, I., Detection and enumeration of viable but non-culturable transconjugants of Escherichia coli during the survival of recipient cells in river water (1997) Journal of Applied Microbiology, 83 (3), pp. 340-346. , https://doi.org/; Ayrapetyan, M., Williams, T.C., Oliver, J.D., Bridging the gap between viable but non-culturable and antibiotic persistent bacteria (2015) Trends in Microbiology, 23 (1), pp. 7-13. , https://doi.org/; Band, V.I., Hufnagel, D.A., Jaggavarapu, S., Sherman, E.X., Wozniak, J.E., Satola, S.W., Farley, M.M., Weiss, D.S., Antibiotic combinations that exploit heteroresistance to multiple drugs effectively control infection (2019) Nature Microbiology, 4 (10), pp. 1627-1635. , https://doi.org/; Bao, Y., Li, F., Chen, L., Mu, Q., Huang, B., Wen, D., Fate of antibiotics in engineered wastewater systems and receiving water environment: A case study on the coast of Hangzhou Bay, China (2021) Science of the Total Environment, 769, p. 144642. , https://doi.org/; Baro, A., Badosa, E., Montesinos, L., Feliu, L., Planas, M., Montesinos, E., Bonaterra, A., Screening and identification of BP100 peptide conjugates active against Xylella fastidiosa using a viability-qPCR method (2020) BMC Microbiology, 20 (1), p. 229. , https://doi.org/; Ben Said, M., Otaki, M., Hassen, A., Use of lytic phage to control Salmonella typhi’s viability after irradiation by pulsed UV light (2012) Annals of Microbiology, 62 (1), pp. 107-111. , https://doi.org/; Besnard, V., Federighi, M., Declerq, E., Jugiau, F., Cappelier, J.M., Environmental and physico-chemical factors induce VBNC state in Listeria monocytogenes (2002) Veterinary Research, 33 (4), pp. 359-370. , https://doi.org/; Boaretti, M., Lleo, M.M., Bonato, B., Signoretto, C., Canepari, P., Involvement of rpoS in the survival of Escherichia coli in the viable but non-culturable state (2003) Environmental Microbiology, 5 (10), pp. 986-996. , https://doi.org/; Bodor, A., Bounedjoum, N., Vincze, G.E., Erdeiné Kis, Á., Laczi, K., Bende, G., Szilágyi, Á., Rákhely, G., Challenges of unculturable bacteria: Environmental perspectives (2020) Reviews in Environmental Science and Bio/Technology, 19 (1), pp. 1-22. , https://doi.org/; Boehnke, K.F., Eaton, K.A., Fontaine, C., Brewster, R., Wu, J., Eisenberg, J.N.S., Valdivieso, M., Xi, C., Reduced infectivity of waterborne viable but nonculturable Helicobacter pylori strain SS1 in mice. Helicobacter (2017) Helicobacter, 22 (4), p. e12391. , https://doi.org/; Botelho, J., Schulenburg, H., The role of integrative and conjugative elements in antibiotic resistance evolution (2021) Trends in Microbiology, 29 (1), pp. 8-18. , https://doi.org/; Botsaris, G., Swift, B.M., Slana, I., Liapi, M., Christodoulou, M., Hatzitofi, M., Christodoulou, V., Rees, C.E., Detection of viable Mycobacterium avium subspecies paratuberculosis in powdered infant formula by phage-PCR and confirmed by culture (2016) International Journal of Food Microbiology, 216, pp. 91-94. , https://doi.org/; Bowley, J., Baker-Austin, C., Porter, A., Hartnell, R., Lewis, C., Oceanic Hitchhikers - Assessing pathogen risks from marine microplastic (2021) Trends in Microbiology, 29 (2), pp. 107-116. , https://doi.org/; Buck, A., Oliver, J.D., Survival of spinach-associated Helicobacter pylori in the viable but nonculturable state (2010) Food Control, 21 (8), pp. 1150-1154. , https://doi.org/; Buse, H.Y., Donohue, M.J., Ashbolt, N.J., Hartmannella vermiformis inhibition of Legionella pneumophila cultivability (2013) Microbial Ecology, 66 (3), pp. 715-726. , https://doi.org/; Caillet, S., Shareck, F., Lacroix, M., Effect of gamma radiation and oregano essential oil on murein and ATP concentration of Escherichia coli O157:H7 (2005) Journal of Food Protection, 68 (12), pp. 2571-2579. , https://doi.org/; Carre, G., Benhamida, D., Peluso, J., Muller, C.D., Lett, M.C., Gies, J.P., Keller, V., Andre, P., On the use of capillary cytometry for assessing the bactericidal effect of TiO2. Identification and involvement of reactive oxygen species (2013) Photochemistry &amp; Photobiological Sciences, 12 (4), pp. 610-620. , –,. Photobiological Sciences, https://doi.org/; Chaisowwong, W., Kusumoto, A., Hashimoto, M., Harada, T., Maklon, K., Kawamoto, K., Physiological characterization of Campylobacter jejuni under cold stresses conditions: Its potential for public threat (2012) Journal of Veterinary Medical Science, 74 (1), pp. 43-50. , https://doi.org/; Chang, P.H., Juhrend, B., Olson, T.M., Marrs, C.F., Wigginton, K.R., Degradation of extracellular antibiotic resistance genes with UV254 treatment (2017) Environmental Science &amp; Technology, 51 (11), pp. 6185-6192. , https://doi.org/; Chatzisymeon, E., Droumpali, A., Mantzavinos, D., Venieri, D., Disinfection of water and wastewater by UV-A and UV-C irradiation: Application of real-time PCR method (2011) Photochemical and Photobiological Sciences, 10 (3), pp. 389-395. , https://doi.org/; Chen, X., Yin, H., Li, G., Wang, W., Wong, P.K., Zhao, H., An, T., Antibiotic-resistance gene transfer in antibiotic-resistance bacteria under different light irradiation: Implications from oxidative stress and gene expression (2019) Water Research, 149, pp. 282-291. , https://doi.org/; Cheng, W., Wang, M., Chen, M., Niu, W., Li, Y., Wang, Y., Luo, M., Lei, B., Injectable antibacterial antiinflammatory molecular hybrid hydrogel dressing for rapid MDRB-infected wound repair and therapy (2021) Chemical Engineering Journal, 409, p. 128140. , https://doi.org/; Christensen-Dalsgaard, M., Gerdes, K., Two higBA loci in the Vibrio cholerae superintegron encode mRNA cleaving enzymes and can stabilize plasmids (2006) Molecular Microbiology, 62 (2), pp. 397-411. , https://doi.org/; Czekalski, N., Berthold, T., Caucci, S., Egli, A., Burgmann, H., Increased levels of multiresistant bacteria and resistance genes after wastewater treatment and their dissemination into Lake Geneva, Switzerland (2012) Frontiers in Microbiology, 3, p. 106. , https://doi.org/; Darcan, C., Aydin, E., fur (-) mutation increases the survival time of Escherichia coli under photooxidative stress in aquatic environments (2012) Acta Biologica Hungarica, 63 (3), pp. 399-409. , https://doi.org/; Davies, C.M., Evison, L.M., Sunlight and the survival of enteric bacteria in natural waters (1991) Journal of Applied Bacteriology, 70 (3), pp. 265-274. , https://doi.org/; Day, A.P., Oliver, J.D., Changes in membrane fatty acid composition during entry of Vibrio vulnificus into the viable but nonculturable state (2004) Journal of Microbiology, 42 (2), pp. 69-73. , https://doi.org/; de Medeiros Barbosa, I., da Cruz Almeida, É.T., Gomes, A.C.A., de Souza, E.L., Evidence on the induction of viable but non-culturable state in Listeria monocytogenes by Origanum vulgare L. and Rosmarinus officinalis L. essential oils in a meat-based broth (2020) Innovative Food Science &amp; Emerging Technologies, 62, p. 102351. , https://doi.org/; Demidenok, O.I., Kaprelyants, A.S., Goncharenko, A.V., Toxin-antitoxin vapBC locus participates in formation of the dormant state in Mycobacterium smegmatis (2014) FEMS Microbiology Letters, 352 (1), pp. 69-77. , https://doi.org/; Dey, R., Rieger, A., Banting, G., Ashbolt, N.J., Role of amoebae for survival and recovery of 'non-culturable' Helicobacter pylori cells in aquatic environments (2020) FEMS Microbiology Ecology, 96 (10). , fiaa182, https://doi.org/; Dietersdorfer, E., Kirschner, A., Schrammel, B., Ohradanova-Repic, A., Stockinger, H., Sommer, R., Walochnik, J., Cervero, A.S., Starved viable but non-culturable (VBNC) Legionella strains can infect and replicate in amoebae and human macrophages (2018) Water Research, 141, pp. 428-438. , https://doi.org/; Ding, T., Suo, Y., Xiang, Q., Zhao, X., Chen, S., Ye, X., Liu, D., Significance of viable but nonculturable Escherichia coli: Induction, detection, and control (2017) Journal of Microbiology and Biotechnology, 27 (3), pp. 417-428. , https://doi.org/; Dong, K., Pan, H., Yang, D., Rao, L., Zhao, L., Wang, Y., Liao, X., Induction, detection, formation, and resuscitation of viable but non‐culturable state microorganisms (2020) Comprehensive Reviews in Food Science and Food Safety, 19 (1), pp. 149-183. , https://doi.org/; Emerson, J.B., Adams, R.I., Roman, C.M.B., Brooks, B., Coil, D.A., Dahlhausen, K., Ganz, H.H., Rothschild, L.J., Schrodinger's microbes: Tools for distinguishing the living from the dead in microbial ecosystems (2017) Microbiome, 5 (1), p. 86. , https://doi.org/; (2011), Water treatment manual: Disinfection; Ferrario, M., Guerrero, S., Alzamora, S.M., Study of pulsed light-induced damage on Saccharomyces cerevisiae in apple juice by flow cytometry and transmission electron microscopy (2014) Food and Bioprocess Technology, 7 (4), pp. 1001-1011. , https://doi.org/; Fiksdal, L., Tryland, I., Effect of u.v. light irradiation, starvation and heat on Escherichia coli beta-D-galactosidase activity and other potential viability parameters (1999) Journal of Applied Microbiology, 87 (1), pp. 62-71. , https://doi.org/; Foddai, A.C.G., Grant, I.R., Methods for detection of viable foodborne pathogens: Current state-of-art and future prospects (2020) Applied Microbiology and Biotechnology, 104 (10), pp. 4281-4288. , https://doi.org/; Fouche, J., Christiansen, C.T., Lafreniere, M.J., Grogan, P., Lamoureux, S.F., Canadian permafrost stores large pools of ammonium and optically distinct dissolved organic matter (2020) Nature Communications, 11 (1), p. 4500. , https://doi.org/; Fu, Y., Jia, Y., Fan, J., Yu, C., Yu, C., Shen, C., Induction of Escherichia coli O157:H7 into a viable but non-culturable state by high temperature and its resuscitation (2020) Environmental Microbiology Reports, 12 (5), pp. 568-577. , https://doi.org/; Gerrard, Z.E., Swift, B.M.C., Botsaris, G., Davidson, R.S., Hutchings, M.R., Huxley, J.N., Rees, C.E.D., Survival of Mycobacterium avium subspecies paratuberculosis in retail pasteurised milk (2018) Food Microbiology, 74, pp. 57-63. , https://doi.org/; Gillings, M.R., Lateral gene transfer, bacterial genome evolution, and the Anthropocene (2017) Annals of the New York Academy of Sciences, 1389 (1), pp. 20-36. , https://doi.org/; Gin, K.Y., Goh, S.G., Modeling the effect of light and salinity on viable but non-culturable (VBNC) Enterococcus (2013) Water Research, 47 (10), pp. 3315-3328. , https://doi.org/; Goncalves, F.D., de Carvalho, C.C., Phenotypic modifications in Staphylococcus aureus cells exposed to high concentrations of vancomycin and teicoplanin (2016) Frontiers in Microbiology, 7, p. 13. , https://doi.org/; Gourmelon, M., Cillard, J., Pommepuy, M., Visible light damage to Escherichia coli in seawater: Oxidative stress hypothesis (1994) Journal of Applied Bacteriology, 77 (1), pp. 105-112. , https://doi.org/; Grossi, M., Dey, R., Ashbolt, N., Searching for activity markers that approximate (VBNC) Legionella pneumophila infectivity in amoeba after ultraviolet (UV) irradiation (2018) Water, 10 (9), p. 1219. , https://doi.org/; Gu, G., Bolten, S., Mowery, J., Luo, Y., Gulbronson, C., Nou, X., Susceptibility of foodborne pathogens to sanitizers in produce rinse water and potential induction of viable but non-culturable state (2020) Food Control, 112, p. 107138. , https://doi.org/; Guo, L., Ye, C., Cui, L., Wan, K., Chen, S., Zhang, S., Yu, X., Population and single cell metabolic activity of UV-induced VBNC bacteria determined by CTC-FCM and D2O-labeled Raman spectroscopy (2019) Environment International, 130, p. 104883. , https://doi.org/; Guo, M.T., Kong, C., Antibiotic resistant bacteria survived from UV disinfection: Safety concerns on genes dissemination (2019) Chemosphere, 224, pp. 827-832. , https://doi.org/; Gupta, M., Nayyar, N., Chawla, M., Sitaraman, R., Bhatnagar, R., Banerjee, N., The chromosomal parDE2 toxin-antitoxin system of Mycobacterium tuberculosis H37Rv: Genetic and functional characterization (2016) Frontiers in Microbiology, 7, p. 886. , https://doi.org/; Han, D., Hung, Y.C., Wang, L., Evaluation of the antimicrobial efficacy of neutral electrolyzed water on pork products and the formation of viable but nonculturable (VBNC) pathogens (2018) Food Microbiology, 73, pp. 227-236. , https://doi.org/; Harms, A., Brodersen, D.E., Mitarai, N., Gerdes, K., Toxins, targets, and triggers: An overview of toxin-antitoxin biology (2018) Molecular Cell, 70 (5), pp. 768-784. , https://doi.org/; Highmore, C.J., Warner, J.C., Rothwell, S.D., Wilks, S.A., Keevil, C.W., Viable-but-nonculturable Listeria monocytogenes and Salmonella enterica serovar Thompson induced by chlorine stress remain infectious (2018) mBio, 9 (2), pp. e00540-e18. , https://doi.org/; Huemer, M., Shambat, S.M., Bergada-Pijuan, J., Soderholm, S., Boumasmoud, M., Vulin, C., Gomez-Mejia, A., Zinkernagel, A.S., Molecular reprogramming and phenotype switching in Staphylococcus aureus lead to high antibiotic persistence and affect therapy success (2021) Proceedings of the National Academy of Sciences, 118 (7). , e2014920118, https://doi.org/; Idil, O., Darcan, C., Ozkanca, R., The effect of UV-A and different wavelengths of visible lights on survival of Salmonella typhimurium in seawater microcosms (2011) Journal of Pure and Applied Microbiology, 5 (2), pp. 581-592; Idil, O., Ozkanca, R., Darcan, C., Flint, K.P., Escherichia coli: Dominance of red light over other visible light sources in establishing viable but nonculturable state (2010) Photochemistry and Photobiology, 86 (1), pp. 104-109. , https://doi.org/; Jayakumar, J.M., Balasubramanian, D., Reddi, G., Almagro-Moreno, S., Synergistic role of abiotic factors driving viable but non-culturable Vibrio cholerae (2020) Environmental Microbiology Reports, 12 (4), pp. 454-465. , https://doi.org/; Jia, J., Chen, Y., Jiang, Y., Tang, J., Yang, L., Liang, C., Jia, Z., Zhao, L., Visualized analysis of cellular fatty acid profiles of Vibrio parahaemolyticus strains under cold stress (2014) FEMS Microbiology Letters, 357 (1), pp. 92-98. , https://doi.org/; Jia, Y., Yu, C., Fan, J., Fu, Y., Ye, Z., Guo, X., Xu, Y., Shen, C., Alterations in the cell wall of Rhodococcus biphenylivorans under norfloxacin stress (2020) Frontiers in Microbiology, 11. , 554957, https://doi.org/; Jiang, Q., Yin, H., Li, G., Liu, H., An, T., Wong, P.K., Zhao, H., Elimination of antibiotic-resistance bacterium and its associated/dissociative blaTEM-1 and aac(3)-II antibiotic-resistance genes in aqueous system via photoelectrocatalytic process (2017) Water Research, 125, pp. 219-226. , https://doi.org/; Kacem, M., Bru-Adan, V., Goetz, V., Steyer, J.P., Plantard, G., Sacco, D., Wery, N., Inactivation of Escherichia coli by TiO2 -mediated photocatalysis evaluated by a culture method and viability-qPCR (2016) Journal of Photochemistry and Photobiology A: Chemistry, 317, pp. 81-87. , https://doi.org/; Kong, X., Ma, J., Wen, G., Wei, Y., Considerable discrepancies among HPC, ATP, and FCM detection methods in evaluating the disinfection efficiency of Gram-positive and -negative bacterium by ultraviolet radiation and chlorination (2016) Desalination and Water Treatment, 57 (37), pp. 17537-17546. , https://doi.org/; Kramer, B., Muranyi, P., Effect of pulsed light on structural and physiological properties of Listeria innocua and Escherichia coli (2014) Journal of Applied Microbiology, 116 (3), pp. 596-611. , https://doi.org/; Kvich, L., Fritz, B., Crone, S., Kragh, K.N., Kolpen, M., Sonderholm, M., Andersson, M., Bjarnsholt, T., Oxygen restriction generates difficult-to-culture P. aeruginosa (2019) Frontiers in Microbiology, 10, p. 1992. , https://doi.org/; Lee, C.S., Asato, C., Wang, M., Mao, X., Gobler, C.J., Venkatesan, A.K., Removal of 1,4-dioxane during on-site wastewater treatment using nitrogen removing biofilters (2021) Science of the Total Environment, 771, p. 144806. , https://doi.org/; Lerminiaux, N.A., Cameron, A.D.S., Horizontal transfer of antibiotic resistance genes in clinical environments (2019) Canadian Journal of Microbiology, 65 (1), pp. 34-44. , https://doi.org/; Li, L., Mendis, N., Trigui, H., Oliver, J.D., Faucher, S.P., The importance of the viable but non-culturable state in human bacterial pathogens (2014) Frontiers in Microbiology, 5, p. 258. , https://doi.org/; Liang, Z., Zhang, Y., He, T., Yu, Y., Liao, W., Li, G., An, T., The formation mechanism of antibiotic-resistance genes associated with bacterial communities during biological decomposition of household garbage (2020) Journal of Hazardous Materials, 398, p. 122973. , https://doi.org/; Liao, H., Zhong, X., Xu, L., Ma, Q., Wang, Y., Cai, Y., Guo, X., Quorum-sensing systems trigger catalase expression to reverse the oxyR deletion-mediated VBNC state in Salmonella typhimurium (2019) Research in Microbiology, 170 (2), pp. 65-73. , https://doi.org/; Lin, W., Li, S., Zhang, S., Yu, X., Reduction in horizontal transfer of conjugative plasmid by UV irradiation and low-level chlorination (2016) Water Research, 91, pp. 331-338. , https://doi.org/; Lindback, T., Rottenberg, M.E., Roche, S.M., Rorvik, L.M., The ability to enter into an avirulent viable but non-culturable (VBNC) form is widespread among Listeria monocytogenes isolates from salmon, patients and environment (2010) Veterinary Research, 41 (1), p. 08. , https://doi.org/; Liu, Y.D., Su, X.M., Lu, L., Ding, L.X., Shen, C.F., A novel approach to enhance biological nutrient removal using a culture supernatant from Micrococcus luteus containing resuscitation-promoting factor (Rpf) in SBR process (2016) Environmental Science and Pollution Research, 23 (5), pp. 4498-4508. , https://doi.org/; Liu, Y.-Y., Wang, Y., Walsh, T.R., Yi, L.-X., Zhang, R., Spencer, J., Doi, Y., Shen, J., Emergence of plasmid-mediated colistin resistance mechanism MCR-1 in animals and human beings in China: A microbiological and molecular biological study (2016) The Lancet Infectious Diseases, 16 (2), pp. 161-168. , https://doi.org/; Lleo, M.M., Tafi, M.C., Canepari, P., Nonculturable Enterococcus faecalis cells are metabolically active and capable of resuming active growth (1998) Systematic and Applied Microbiology, 21 (3), pp. 333-339. , https://doi.org/; Lothigius, A., Sjoling, A., Svennerholm, A.M., Bolin, I., Survival and gene expression of enterotoxigenic Escherichia coli during long-term incubation in sea water and freshwater (2010) Journal of Applied Microbiology, 108 (4), pp. 1441-1449. , https://doi.org/; Lv, X., Wang, L., Zhang, J., Zeng, H., Chen, X., Shi, L., Cui, H., Zhao, L., Rapid and sensitive detection of VBNC Escherichia coli O157: H7 in beef by PMAxx and real-time LAMP (2020) Food Control, 115, p. 107292. , https://doi.org/; Maalej, S., Gdoura, R., Dukan, S., Hammami, A., Bouain, A., Maintenance of pathogenicity during entry into and resuscitation from viable but nonculturable state in Aeromonas hydrophila exposed to natural seawater at low temperature (2004) Journal of Applied Microbiology, 97 (3), pp. 557-565. , https://doi.org/; Macori, G., McCarthy, S.C., Burgess, C.M., Fanning, S., Duffy, G., Investigation of the causes of shigatoxigenic Escherichia coli PCR positive and culture negative samples (2020) Microorganisms, 8 (4), p. 587. , https://doi.org/; Mangiaterra, G., Cedraro, N., Vaiasicca, S., Citterio, B., Galeazzi, R., Laudadio, E., Mobbili, G., Biavasco, F., Role of tobramycin in the induction and maintenance of viable but non-culturable Pseudomonas aeruginosa in an in vitro biofilm model (2020) Antibiotics, 9 (7), p. 399. , https://doi.org/; Mariam, S.H., Zegeye, N., Aseffa, A., Howe, R., Diffusible substances from lactic acid bacterial cultures exert strong inhibitory effects on Listeria monocytogenes and Salmonella enterica serovar enteritidis in a co-culture model (2017) BMC Microbiology, 17 (1), p. 35. , https://doi.org/; McGrath, B.M., O'Halloran, J.A., Pembroke, J.T., Pre-exposure to UV irradiation increases the transfer frequency of the IncJ conjugative transposon-like elements R391, R392, R705, R706, R997 and pMERPH and is recA + dependent (2005) FEMS Microbiology Letters, 243 (2), pp. 461-465. , https://doi.org/; McKenna, M., The antibiotic paradox: Why companies can't afford to create life-saving drugs (2020) Nature, 584 (7821), pp. 338-341. , https://doi.org/; McKinney, C.W., Pruden, A., Ultraviolet disinfection of antibiotic resistant bacteria and their antibiotic resistance genes in water and wastewater (2012) Environmental Science &amp; Technology, 46 (24), pp. 13393-13400. , https://doi.org/; Mikoyan, G., Karapetyan, L., Vassilian, A., Trchounian, A., Trchounian, K., External succinate and potassium ions influence Dcu dependent FOF1-ATPase activity and H(+) flux of Escherichia coli at different pHs (2020) Journal of Bioenergetics and Biomembranes, 52 (5), pp. 377-382. , https://doi.org/; Mishra, A., Taneja, N., Sharma, M., Viability kinetics, induction, resuscitation and quantitative real-time polymerase chain reaction analyses of viable but nonculturable Vibrio cholerae O1 in freshwater microcosm (2012) Journal of Applied Microbiology, 112 (5), pp. 945-953. , https://doi.org/; Muela, A., Garcia-Bringas, J.M., Arana, I.I., Barcina, I.I., The effect of simulated solar radiation on Escherichia coli: The relative roles of UV-B, UV-A, and photosynthetically active radiation (2000) Microbial Ecology, 39 (1), pp. 65-71. , https://doi.org/; Nadeem, S.F., Gohar, U.F., Tahir, S.F., Mukhtar, H., Pornpukdeewattana, S., Nukthamna, P., Moula Ali, A.M., Massa, S., Antimicrobial resistance: More than 70 years of war between humans and bacteria (2020) Critical Reviews in Microbiology, 46 (5), pp. 578-599. , https://doi.org/; Nei, D., Bari, M.L., Inatsu, Y., Kawasaki, S., Todoriki, S., Kawamoto, S., Combined effect of low-dose irradiation and acidified sodium chlorite washing on Escherichia coli O157:H7 inoculated on mung bean seeds (2010) Foodborne Pathogens and Disease, 7 (10), pp. 1217-1223. , https://doi.org/; Nicol, M., Mlouka, M.A.B., Berthe, T., Di Martino, P., Jouenne, T., Brunel, J.M., De, E., Anti-persister activity of squalamine against Acinetobacter baumannii (2019) International Journal of Antimicrobial Agents, 53 (3), pp. 337-342. , https://doi.org/; Noll, M., Trunzer, K., Vondran, A., Vincze, S., Dieckmann, R., Al Dahouk, S., Gold, C., Benzalkonium chloride induces a VBNC state in Listeria monocytogenes (2020) Microorganisms, 8 (2), p. 184. , https://doi.org/; Nowakowska, J., Oliver, J.D., Resistance to environmental stresses by Vibrio vulnificus in the viable but nonculturable state (2013) FEMS Microbiology Ecology, 84 (1), pp. 213-222. , https://doi.org/; Obiri-Danso, K., Paul, N., Jones, K., The effects of UVB and temperature on the survival of natural populations and pure cultures of Campylobacter jejuni, Camp. coli, Camp. lari and urease-positive thermophilic campylobacters (UPTC) in surface waters (2001) Journal of Applied Microbiology, 90 (2), pp. 256-267. , https://doi.org/; Oliver, J.D., Recent findings on the viable but nonculturable state in pathogenic bacteria (2010) FEMS Microbiology Reviews, 34 (4), pp. 415-425. , https://doi.org/; Orta de Velasquez, M.T., Yanez Noguez, I., Casasola Rodriguez, B., Roman Roman, P.I., Effects of ozone and chlorine disinfection on VBNC Helicobacter pylori by molecular techniques and FESEM images (2017) Environmental Technology, 38 (6), p. 753. , https://doi.org/; Pedersen, K., Christensen, S.K., Gerdes, K., Rapid induction and reversal of a bacteriostatic condition by controlled expression of toxins and antitoxins (2002) Molecular Microbiology, 45 (2), pp. 501-510. , https://doi.org/; Pichel, N., Vivar, M., Fuentes, M., The problem of drinking water access: A review of disinfection technologies with an emphasis on solar treatment methods (2019) Chemosphere, 218, pp. 1014-1030. , https://doi.org/; Pommepuy, M., Butin, M., Derrien, A., Gourmelon, M., Colwell, R.R., Cormier, M., Retention of enteropathogenicity by viable but nonculturable Escherichia coli exposed to seawater and sunlight (1996) Applied and Environmental Microbiology, 62 (12), pp. 4621-4626. , https://doi.org/; Prestinaci, F., Pezzotti, P., Pantosti, A., Antimicrobial resistance: A global multifaceted phenomenon (2015) Pathogens and Global Health, 109 (7), pp. 309-318. , https://doi.org/; Rahman, I., Shahamat, M., Chowdhury, M.A., Colwell, R.R., Potential virulence of viable but nonculturable Shigella dysenteriae type 1 (1996) Applied and Environmental Microbiology, 62 (1), pp. 115-120. , https://doi.org/; Ramamurthy, T., Ghosh, A., Pazhani, G.P., Shinoda, S., Current perspectives on viable but non-culturable (VBNC) pathogenic bacteria (2014) Frontiers in Public Health, 2, p. 103. , https://doi.org/; Reineke, K., Mathys, A., Endospore inactivation by emerging technologies: A review of target structures and inactivation mechanisms (2020) Annual Review of Food Science and Technology, 11 (1), pp. 255-274. , https://doi.org/; Richter, Ł., Janczuk-Richter, M., Niedziółka-Jönsson, J., Paczesny, J., Hołyst, R., Recent advances in bacteriophage-based methods for bacteria detection (2018) Drug Discovery Today., 23 (2), pp. 448-455. , https://doi.org/; Rodriguez-Chueca, J., Varella Della Giustina, S., Rocha, J., Fernandes, T., Pablos, C., Encinas, A., Barcelo, D., Marugan, J., Assessment of full-scale tertiary wastewater treatment by UV-C based-AOPs: Removal or persistence of antibiotics and antibiotic resistance genes? (2019) Science of the Total Environment, 652, pp. 1051-1061. , https://doi.org/; Rojas, E.R., Billings, G., Odermatt, P.D., Auer, G.K., Zhu, L., Miguel, A., Chang, F., Huang, K.C., The outer membrane is an essential load-bearing element in Gram-negative bacteria (2018) Nature, 559 (7715), pp. 617-621. , https://doi.org/; Romero Bernal, A.R., Contigiani, E.V., Gonzalez, H.H.L., Alzamora, S.M., Gomez, P.L., Raffellini, S., Botrytis cinerea response to pulsed light: Cultivability, physiological state, ultrastructure and growth ability on strawberry fruit (2019) International Journal of Food Microbiology, 309, p. 108311. , https://doi.org/; Rotem, E., Loinger, A., Ronin, I., Levin-Reisman, I., Gabay, C., Shoresh, N., Biham, O., Balaban, N.Q., Regulation of phenotypic variability by a threshold-based mechanism underlies bacterial persistence (2010) Proceedings of the National Academy of Sciences, 107 (28), pp. 12541-12546. , https://doi.org/; Salive, A.F.V., Prudencio, C.V., Bagliniere, F., Oliveira, L.L., Ferreira, S.O., Vanetti, M.C.D., Comparison of stress conditions to induce viable but non-cultivable state in Salmonella (2020) Brazilian Journal of Microbiology, 51 (3), pp. 1269-1277. , https://doi.org/; Schrammel, B., Cervero-Arago, S., Dietersdorfer, E., Walochnik, J., Luck, C., Sommer, R., Kirschner, A., Differential development of Legionella sub-populations during short- and long-term starvation (2018) Water Research, 141, pp. 417-427. , https://doi.org/; Servais, P., Prats, J., Passerat, J., Garcia-Armisen, T., Abundance of culturable versus viable Escherichia coli in freshwater (2009) Canadian Journal of Microbiology, 55 (7), pp. 905-909. , https://doi.org/; Sharma, V.K., Johnson, N., Cizmas, L., McDonald, T.J., Kim, H., A review of the influence of treatment strategies on antibiotic resistant bacteria and antibiotic resistance genes (2016) Chemosphere, 150, pp. 702-714. , https://doi.org/; Smith, R., Karthikeyan, R., Kaur, J., Assessment of Escherichia coli reactivation after photocatalytic water disinfection using flow cytometry: Comparison with a culture-based method (2013) Water Supply, 13 (3), pp. 816-825. , https://doi.org/; Song, K., Mohseni, M., Taghipour, F., Application of ultraviolet light-emitting diodes (UV-LEDs) for water disinfection: A review (2016) Water Research, 94, pp. 341-349. , https://doi.org/; Ssemakalu, C.C., The effect of solar ultraviolet radiation and ambient temperature on the culturability of toxigenic and non-toxigenic Vibrio cholerae in Pretoria, South Africa (2012) African Journal of Microbiology Research, 6 (30). , 5957–5964, https://doi.org/; Stewart, P.S., Franklin, M.J., Physiological heterogeneity in biofilms (2008) Nature Reviews Microbiology, 6 (3), pp. 199-210. , https://doi.org/; Su, X.M., Wang, Y.Y., Xue, B.B., Hashmi, M.Z., Lin, H.J., Chen, J.R., Wang, Z., Sun, F.Q., Impact of resuscitation promoting factor (Rpf) in membrane bioreactor treating high-saline phenolic wastewater: Performance robustness and Rpf-responsive bacterial populations (2019) Chemical Engineering Journal, 357, pp. 715-723. , https://doi.org/; Su, X.M., Zhang, Q., Hu, J.X., Hashmi, M.Z., Ding, L.X., Shen, C.F., Enhanced degradation of biphenyl from PCB-contaminated sediments: The impact of extracellular organic matter from Micrococcus luteus (2015) Applied Microbiology and Biotechnology, 99 (4), pp. 1989-2000. , https://doi.org/; Sun, H., Li, G., An, T., Zhao, H., Wong, P.K., Unveiling the photoelectrocatalytic inactivation mechanism of Escherichia coli: Convincing evidence from responses of parent and anti-oxidation single gene knockout mutants (2016) Water Research, 88, pp. 135-143. , https://doi.org/; Svenningsen, M.S., Veress, A., Harms, A., Mitarai, N., Semsey, S., Birth and resuscitation of (p)ppGpp induced antibiotic tolerant persister cells (2019) Scientific Reports, 9 (1), p. 6056. , https://doi.org/; Torkzadeh, H., Zodrow, K.R., Bridges, W.C., Cates, E.L., Quantification and modeling of the response of surface biofilm growth to continuous low intensity UVC irradiation (2021) Water Research, 193, p. 116895. , https://doi.org/; Trinh, N.T., Dumas, E., Thanh, M.L., Degraeve, P., Ben Amara, C., Gharsallaoui, A., Oulahal, N., Effect of a Vietnamese Cinnamomum cassia essential oil and its major component trans-cinnamaldehyde on the cell viability, membrane integrity, membrane fluidity, and proton motive force of Listeria innocua (2015) Canadian Journal of Microbiology, 61 (4), pp. 263-271. , https://doi.org/; Truchado, P., Gil, M.I., Larrosa, M., Allende, A., Detection and quantification methods for viable but non-culturable (VBNC) cells in process wash water of fresh-cut produce: Industrial validation (2020) Frontiers in Microbiology, 11, p. 673. , https://doi.org/; Trudeau, K., Vu, K.D., Shareck, F., Lacroix, M., Capillary electrophoresis separation of protein composition of gamma-irradiated food pathogens Listeria monocytogenes and Staphylococcus aureus (2012) PLoS One, 7 (3). , https://doi.org/; Van Rossum, T., Ferretti, P., Maistrenko, O.M., Bork, P., Diversity within species: Interpreting strains in microbiomes (2020) Nature Reviews Microbiology, 18 (9), pp. 491-506. , https://doi.org/; van Tatenhove-Pel, R.J., Zwering, E., Solopova, A., Kuipers, O.P., Bachmann, H., Ampicillin-treated Lactococcus lactis MG1363 populations contain persisters as well as viable but non-culturable cells (2019) Scientific Reports, 9 (1), p. 9867. , https://doi.org/; Vanlint, D., Pype, B.J., Rutten, N., Vanoirbeek, K.G., Michiels, C.W., Aertsen, A., Loss of cAMP/CRP regulation confers extreme high hydrostatic pressure resistance in Escherichia coli O157:H7 (2013) International Journal of Food Microbiology, 166 (1), pp. 65-71. , https://doi.org/; Venieri, D., Chatzisymeon, E., Gonzalo, M.S., Rosal, R., Mantzavinos, D., Inactivation of Enterococcus faecalis by TiO2-mediate</t>
  </si>
  <si>
    <t>CRETE</t>
  </si>
  <si>
    <t>Crit. Rev. Environ. Sci. Technol.</t>
  </si>
  <si>
    <t>2-s2.0-85107498818</t>
  </si>
  <si>
    <t>Caycho-Rodríguez T., Valencia P.D., Vilca L.W., Cervigni M., Gallegos M., Martino P., Barés I., Calandra M., Rey Anacona C.A., López-Calle C., Moreta-Herrera R., Chacón-Andrade E.R., Lobos-Rivera M.E., del Carpio P., Quintero Y., Robles E., Panza Lombardo M., Gamarra Recalde O., Buschiazzo Figares A., White M., Burgos Videla C.</t>
  </si>
  <si>
    <t>55768989500;57216966588;56518305300;55588165300;12240778200;55588403500;57219704506;57219705240;33568324200;57207779361;57200502218;57216201812;57222023834;57222029064;57222015090;57222012126;57222032289;57222011308;57222013425;57206244967;57217256050;</t>
  </si>
  <si>
    <t>Cross-cultural measurement invariance of the fear of COVID-19 scale in seven Latin American countries</t>
  </si>
  <si>
    <t>Death Studies</t>
  </si>
  <si>
    <t>10.1080/07481187.2021.1879318</t>
  </si>
  <si>
    <t>https://www.scopus.com/inward/record.uri?eid=2-s2.0-85101022154&amp;doi=10.1080%2f07481187.2021.1879318&amp;partnerID=40&amp;md5=71230da3c71c0c0023c15c3f4a1762de</t>
  </si>
  <si>
    <t>Facultad de Ciencias de la Salud, Universidad Privada del Norte, Lima, Peru; Facultad de Estudios Superiores Iztacala, Universidad Nacional Autónoma de México, Mexico; Departamento de Psicología, Universidad Peruana Unión, Lima, Peru; Facultad de Psicología, Universidad Nacional de Rosario, Rosario, Argentina; Centro de Investigación en Neurociencias de Rosario, Facultad de Psicología, Universidad Nacional de Rosario, Rosario, Argentina; Laboratorio de Cognición y Emoción, Facultad de Psicología, Universidad Nacional de Rosario, Rosario, Argentina; Centro interdisciplinario de investigaciones en ciencias de la salud y del comportamiento (CIISAC), Consejo Nacional de Investigaciones Científicas y Técnicas, Rosario, Argentina; Facultad de Ciencias de la Salud, Universidad Católica del Maule, Talca, Chile; Escuela de Psicología, Universidad Pedagógica y Tecnológica de Colombia,, Tunja, Colombia; Facultad de Psicología, Universidad de Cuenca, Cuenca, Ecuador; Escuela de Psicología, Pontificia Universidad Católica del Ecuador, Ambato, Ecuador; Escuela de Psicología, Facultad de Ciencias Sociales, Universidad Tecnológica de El Salvador, El Salvador; Universidad de Guanajuato, Guanajuato, Mexico; Universidad Autónoma del Estado de México, Estado de México, Mexico; Universidad Nacional del Este, Ciudad del Este, Paraguay; Ciudad del Este, Sensorium, Paraguay; Centro de Estudios Adlerianos, Montevideo, Uruguay; Dirección General de Investigación, Universidad Peruana Unión, Lima, Peru; Instituto de Investigación en Ciencias Sociales y Educación, Universidad de Atacama, Copiapó, Chile</t>
  </si>
  <si>
    <t>Caycho-Rodríguez, T., Facultad de Ciencias de la Salud, Universidad Privada del Norte, Lima, Peru; Valencia, P.D., Facultad de Estudios Superiores Iztacala, Universidad Nacional Autónoma de México, Mexico; Vilca, L.W., Departamento de Psicología, Universidad Peruana Unión, Lima, Peru; Cervigni, M., Facultad de Psicología, Universidad Nacional de Rosario, Rosario, Argentina, Centro de Investigación en Neurociencias de Rosario, Facultad de Psicología, Universidad Nacional de Rosario, Rosario, Argentina, Laboratorio de Cognición y Emoción, Facultad de Psicología, Universidad Nacional de Rosario, Rosario, Argentina, Centro interdisciplinario de investigaciones en ciencias de la salud y del comportamiento (CIISAC), Consejo Nacional de Investigaciones Científicas y Técnicas, Rosario, Argentina; Gallegos, M., Facultad de Ciencias de la Salud, Universidad Católica del Maule, Talca, Chile; Martino, P., Facultad de Psicología, Universidad Nacional de Rosario, Rosario, Argentina, Centro de Investigación en Neurociencias de Rosario, Facultad de Psicología, Universidad Nacional de Rosario, Rosario, Argentina, Laboratorio de Cognición y Emoción, Facultad de Psicología, Universidad Nacional de Rosario, Rosario, Argentina, Centro interdisciplinario de investigaciones en ciencias de la salud y del comportamiento (CIISAC), Consejo Nacional de Investigaciones Científicas y Técnicas, Rosario, Argentina; Barés, I., Facultad de Psicología, Universidad Nacional de Rosario, Rosario, Argentina, Centro de Investigación en Neurociencias de Rosario, Facultad de Psicología, Universidad Nacional de Rosario, Rosario, Argentina, Laboratorio de Cognición y Emoción, Facultad de Psicología, Universidad Nacional de Rosario, Rosario, Argentina; Calandra, M., Facultad de Psicología, Universidad Nacional de Rosario, Rosario, Argentina, Centro de Investigación en Neurociencias de Rosario, Facultad de Psicología, Universidad Nacional de Rosario, Rosario, Argentina, Laboratorio de Cognición y Emoción, Facultad de Psicología, Universidad Nacional de Rosario, Rosario, Argentina; Rey Anacona, C.A., Escuela de Psicología, Universidad Pedagógica y Tecnológica de Colombia,, Tunja, Colombia; López-Calle, C., Facultad de Psicología, Universidad de Cuenca, Cuenca, Ecuador; Moreta-Herrera, R., Escuela de Psicología, Pontificia Universidad Católica del Ecuador, Ambato, Ecuador; Chacón-Andrade, E.R., Escuela de Psicología, Facultad de Ciencias Sociales, Universidad Tecnológica de El Salvador, El Salvador; Lobos-Rivera, M.E., Escuela de Psicología, Facultad de Ciencias Sociales, Universidad Tecnológica de El Salvador, El Salvador; del Carpio, P., Universidad de Guanajuato, Guanajuato, Mexico; Quintero, Y., Universidad de Guanajuato, Guanajuato, Mexico; Robles, E., Universidad Autónoma del Estado de México, Estado de México, Mexico; Panza Lombardo, M., Universidad Nacional del Este, Ciudad del Este, Paraguay; Gamarra Recalde, O., Ciudad del Este, Sensorium, Paraguay; Buschiazzo Figares, A., Centro de Estudios Adlerianos, Montevideo, Uruguay; White, M., Dirección General de Investigación, Universidad Peruana Unión, Lima, Peru; Burgos Videla, C., Instituto de Investigación en Ciencias Sociales y Educación, Universidad de Atacama, Copiapó, Chile</t>
  </si>
  <si>
    <t>The objective was to evaluate the cross-cultural measurement invariance of the Fear of COVID-19 Scale (FCV-19S) in 7 Latin American countries (Colombia, Ecuador, El Salvador, Mexico, Paraguay, Argentina, and Uruguay). The participants were 2944 people, selected through non-probability sampling for convenience, where the majority were women. Data collection occurred between 12 June and 14 September 2020. The results indicated that the model with two related factors presents a better fit to the data and has partial scalar invariance among the 7 countries. Differences in emotional and physiological reactions were observed between the countries. © 2021 Taylor &amp; Francis Group, LLC.</t>
  </si>
  <si>
    <t>cultural factor; fear; female; human; male; Mexico; South and Central America; COVID-19; Cross-Cultural Comparison; Fear; Female; Humans; Latin America; Male; Mexico</t>
  </si>
  <si>
    <t>Acosta, L.D., Response capacity to the COVID-19 pandemic in Latin America and the Caribbean (2020) Revista Panamericana de Salud Publica = Pan American Journal of Public Health, 44, p. e109. , https://doi.org/; Ahorsu, D.K., Lin, C.Y., Imani, V., Saffari, M., Griffiths, M.D., Pakpour, A.H., The fear of COVID-19 scale: Development and initial validation (2020) International Journal of Mental Health and Addiction, 2020, pp. 1-9. , https://doi.org/; Alyami, M., Henning, M., Krägeloh, C.U., Alyami, H., Psychometric evaluation of the Arabic version of the Fear of COVID-19 Scale (2020) International Journal of Mental Health and Addiction, 2020, pp. 1-14. , https://doi.org/; (2010) Publications Manual of the American Psychological Association, , México: Manual Moderno; Andrade, E.F., Pereira, L.J., Oliveira, A.P.L.D., Orlando, D.R., Alves, D.A.G., Guilarducci, J.D.S., Castelo, P.M., Perceived fear of COVID-19 infection according to sex, age and occupational risk using the Brazilian version of the Fear of COVID-19 Scale (2020) Death Studies, 2020, pp. 1-10. , https://doi.org/; Asmundson, G.J., Taylor, S., Coronaphobia: Fear and the 2019-nCoV outbreak (2020) Journal of Anxiety Disorders, 70, p. 102196. , https://doi.org/; Beaujean, A.A., (2014) Latent variable modeling using R: A step-by-step guide, , Routledge/Taylor &amp; Francis Group, https://doi.org/; Beckstead, J.W., Yang, C.Y., Lengacher, C.A., Assessing cross-cultural validity of scales: A methodological review and illustrative example (2008) International Journal of Nursing Studies, 45 (1), pp. 110-119. , https://doi.org/; Benítez, M.A., Velasco, C., Sequeira, A.R., Henríquez, J., Menezes, F.M., Paolucci, F., Responses to COVID-19 in five Latin American countries (2020) Health Policy and Technology, 9 (4), pp. 525-559. , https://doi.org/; Bitan, D.T., Grossman-Giron, A., Bloch, Y., Mayer, Y., Shiffman, N., Mendlovic, S., Fear of COVID-19 scale: Psychometric characteristics, reliability and validity in the Israeli population (2020) Psychiatry Research, 289, p. 113100. , https://doi.org/; Broche-Pérez, Y., Fernández-Fleites, Z., Jiménez-Puig, E., Fernández-Castillo, E., Rodríguez-Martin, B.C., Gender and fear of COVID-19 in a Cuban population sample (2020) International Journal of Mental Health and Addiction, 2020, pp. 1-9. , https://doi.org/; Brosseau-Liard, P.E., Savalei, V., Adjusting incremental fit indices for nonnormality (2014) Multivariate Behavioral Research, 49 (5), pp. 460-470. , https://doi.org/; Brosseau-Liard, P.E., Savalei, V., Li, L., An investigation of the sample performance of two nonnormality corrections for RMSEA (2012) Multivariate Behavioral Research, 47 (6), pp. 904-930. , https://doi.org/; Brown, T.A., (2015) Confirmatory factor analysis for applied research, , 2nd ed., Guilford Press; Byrne, B.M., Testing for multigroup equivalence of a measuring instrument: A walk through the process (2008) Psicothema, 20 (4), pp. 872-882; Byrne, B.M., (2012) Structural equation modeling with Mplus: Basic concepts, applications, and programming, , Routledge; Byrne, B.M., Stewart, S.M., Teacher’s corner: The MACS approach to testing for multigroup invariance of a second-order structure: A walk through the process (2006) Structural Equation Modeling: A Multidisciplinary Journal, 13 (2), pp. 287-321. , https://doi.org/; Caycho, T., Importancia del análisis de invarianza factorial en estudios comparativos en Ciencias de la Salud (2017) Revista Cubana de Educación Médica Superior, 31 (2), pp. 1-3; Caycho-Rodríguez, T., Tomás, J.M., Barboza-Palomino, M., Ventura-León, J., Gallegos, M., Reyes-Bossio, M., Vilca, L.W., Assessment of fear of COVID-19 in older adults: Validation of the Fear of COVID-19 Scale (2020) International Journal of Mental Health and Addiction, 2020, pp. 1-15. , https://doi.org/; Caycho-Rodríguez, T., Vilca, L.W., Cervigni, M., Gallegos, M., Martino, P., Portillo, N., Burgos Videla, C., Fear of COVID-19 scale: Validity, reliability and factorial invariance in Argentina’s general population (2021) Death Studies, 2021, pp. 1-10. , https://doi.org/; Chen, F.F., Sensitivity of goodness of fit indexes to lack of measurement invariance (2007) Structural Equation Modeling: A Multidisciplinary Journal, 14 (3), pp. 464-504. , https://doi.org/; Chen, F.F., Sousa, K.H., West, S.G., Teacher’s corner: Testing measurement invariance of second-order factor models (2005) Structural Equation Modeling: A Multidisciplinary Journal, 12 (3), pp. 471-492. , https://doi.org/; Cheung, G.W., Rensvold, R.B., Evaluating goodness-of-fit indexes for testing measurement invariance (2002) Structural Equation Modeling: A Multidisciplinary Journal, 9 (2), pp. 233-255. , https://doi.org/; (2020), https://coronavirus.jhu.edu/map.html, COVID-19 Dashboard by the Center for Systems Science and Engineering (CSSE) at Johns Hopkins University (JHU; Davidov, E., Dülmer, H., Schlüter, E., Schmidt, P., Meuleman, B., Using a multilevel structural equation modeling approach to explain cross-cultural measurement noninvariance (2012) Journal of Cross-Cultural Psychology, 43 (4), pp. 558-575. , https://doi.org/; Dimitrov, D.M., Testing for factorial invariance in the context of construct validation (2010) Measurement and Evaluation in Counseling and Development, 43 (2), pp. 121-149. , https://doi.org/; Dong, E., Du, H., Gardner, L., An interactive web-based dashboard to track COVID-19 in real time (2020) The Lancet. Infectious Diseases, 20 (5), pp. 533-534. , https://doi.org/; Doshi, D., Karunakar, P., Sukhabogi, J.R., Prasanna, J.S., Mahajan, S.V., Assessing Coronavirus Fear in Indian Population Using the Fear of COVID-19 Scale (2020) International Journal of Mental Health and Addiction, 2020, pp. 1-9. , https://doi.org/; Dror, O.E., The Cannon–Bard thalamic theory of emotions: A brief genealogy and reappraisal (2014) Emotion Review, 6 (1), pp. 13-20. , https://doi.org/; (2020), https://repositorio.cepal.org/handle/11362/45841, July 30). Health and the economy: A convergence needed to address COVID-19 and retake the path of sustainable development Latin America and the Caribbean; Elemo, A.S., Satici, S.A., Griffiths, M.D., The fear of COVID-19 scale: Psychometric properties of the ethiopian amharic Version (2020) International Journal of Mental Health and Addiction, 2020, pp. 1-12. , https://doi.org/; Ellis, L., Wahab, E.A., Ratnasingan, M., Religiosity and fear of death: A three‐nation comparison (2013) Mental Health, Religion &amp; Culture, 16 (2), pp. 179-199. , https://doi.org/; Field, A., (2018) Discovering statistics using IBM SPSS Statistics, , 5th ed, SAGE; Fitzpatrick, K.M., Harris, C., Drawve, G., Fear of COVID-19 and the mental health consequences in America (2020) Psychological Trauma: Theory, Research, Practice, and Policy, 12 (S1), pp. S17-S21. , https://doi.org/; Forero-Peña, D.A., Carrión-Nessi, F.S., Camejo-Ávila, N.A., Forero-Peña, M.J., COVID-19 en Latinoamérica: una revisión sistemática de la literatura y análisis bibliométrico (2020) Revista de Salud Pública, 22 (2), pp. 1-7. , https://doi.org/; Garcia, P.J., Alarcón, A., Bayer, A., Buss, P., Guerra, G., Ribeiro, H., Rojas, K., Atun, R., COVID-19 response in Latin America (2020) The American Journal of Tropical Medicine and Hygiene, 103 (5), pp. 1765-1772. , https://doi.org/; Giordani, R.C., Giolo, S.R., Muhl, C., Zanoni da Silva, M., Psychometric evaluation of the Portuguese version of the FCV-19 scale and assessment of fear of COVID-19 in a Southern Brazilian population (2020) Journal of Human Behavior in the Social Environment, 2020, pp. 1-9. , https://doi.org/; González-Bustamante, B., Evolution and early government responses to COVID-19 in South America (2021) World Development, 137, p. 105180. , https://doi.org/; Gross, J.J., Feldman Barrett, L., Emotion generation and emotion regulation: One or two depends on your point of view (2011) Emotion Review, 3 (1), pp. 8-16. , https://doi.org/; Haas, B.W., Hoeft, F., Omura, K., The role of culture on the link between worldviews on nature and psychological health during the COVID-19 pandemic (2021) Personality and Individual Differences, 170, p. 110336. , https://doi.org/; Haktanir, A., Seki, T., Dilmaç, B., Adaptation and evaluation of Turkish version of the fear of COVID-19 scale (2020) Death Studies, 2020, pp. 1-9. , https://doi.org/; Hu, L., Bentler, P.M., Cutoff criteria for fit indexes in covariance structure analysis: Conventional criteria versus new alternatives (1999) Structural Equation Modeling: A Multidisciplinary Journal, 6 (1), pp. 1-55. , https://doi.org/; Huarcaya-Victoria, J., Villarreal-Zegarra, D., Podestà, A., Luna-Cuadros, M.A., Psychometric properties of a Spanish Version of the Fear of COVID-19 Scale in general population of Lima (2020) Peru. International Journal of Mental Health and Addiction, 2020, pp. 1-14. , https://doi.org/; Johnson, M.C., Saletti-Cuesta, L., Tumas, N., Emotions, concerns and reflections regarding the COVID-19 pandemic in Argentina (2020) Ciência &amp; Saúde Coletiva, 25, pp. 2447-2456. , https://doi.org/; Jorgensen, T.D., Pornprasertmanit, S., Schoemann, A.M., Rosseel, Y., (2020), https://cran.r-project.org/package=semTools, semTools: Useful tools for structural equation modeling (0.5–3; Kassambara, A., (2020), https://cran.r-project.org/package=rstatix, rstatix: Pipe-friendly framework for basic statistical tests, (0.6.0; Kumar, A., Nayar, K.R., COVID 19 and its mental health consequences (2020) Journal of Mental Health, 2020, pp. 1-2. , https://doi.org/; Li, T., Saklofske, D.H., Bowden, S.C., Yan, G., Fung, T.S., The measurement invariance of the Wong and Law Emotional Intelligence Scale (WLEIS) across three Chinese university student groups from Canada and China (2012) Journal of Psychoeducational Assessment, 30 (4), pp. 439-452. , https://doi.org/; Lin, C.Y., Broström, A., Griffiths, M.D., Pakpour, A.H., Investigating mediated effects of fear of COVID-19 and COVID-19 misunderstanding in the association between problematic social media use, psychological distress, and insomnia (2020) Internet Interventions, 21, p. 100345. , https://doi.org/; Little, T.D., Mean and covariance structures (MACS) analyses of cross-cultural data: Practical and theoretical issues (1997) Multivariate Behav Res, 32 (1), pp. 53-76. , https://doi.org/; López-Feldman, A., Chávez, C., Vélez, M.A., Bejarano, H., Chimeli, A.B., Féres, J., Robalino, J., Viteri, C., Environmental impacts and policy responses to COVID-19: A view from Latin America (2020) Environmental and Resource Economics, 2020, pp. 1-6. , https://doi.org/; Mahmood, Q.K., Jafree, S.R., Qureshi, W.A., The psychometric validation of FCV19S in Urdu and socio-demographic association with fear in the people of the Khyber Pakhtunkhwa (KPK) province in Pakistan (2020) International Journal of Mental Health and Addiction, 2020, pp. 1-11. , https://doi.org/; Martínez-Lorca, M., Martínez-Lorca, A., Criado-Álvarez, J.J., Armesilla, M.D.C., Latorre, J.M., The fear of COVID-19 scale: Validation in Spanish University students (2020) Psychiatry Research, 293, p. 113350. , https://doi.org/; Masuyama, A., Shinkawa, H., Kubo, T., Validation and psychometric properties of the Japanese version of the fear of COVID-19 scale among adolescents (2020) International Journal of Mental Health and Addiction, 2020, pp. 1-11. , https://doi.org/; Matsumoto, D., Hwang, H.S., Culture and emotion: The integration of biological and cultural contributions (2012) Journal of Cross-Cultural Psychology, 43 (1), pp. 91-118. , https://doi.org/; McIntyre, R.S., Lee, Y., Projected increases in suicide in Canada as a consequence of COVID-19 (2020) Psychiatry Research, 290, p. 113104. , https://doi.org/; Mertens, G., Gerritsen, L., Duijndam, S., Salemink, E., Engelhard, I.M., Fear of the coronavirus (COVID-19): Predictors in an online study conducted in March 2020 (2020) Journal of Anxiety Disorders, 74, p. 102258. , https://doi.org/; Milfont, T.L., Fischer, R., Testing measurement invariance across groups: Applications in cross-cultural research (2010) International Journal of Psychological Research, 3 (1), pp. 111-130. , https://doi.org/; Nikopoulou, V.A., Holeva, V., Parlapani, E., Karamouzi, P., Voitsidis, P., Porfyri, G.N., Diakogiannis, I., Mental health screening for COVID-19: A proposed cutoff score for the greek version of the fear of COVID-19 scale (FCV-19S) (2020) International Journal of Mental Health and Addiction, 2020, pp. 1-14. , https://doi.org/; Pakpour, A.H., Griffiths, M.D., The fear of COVID-19 and its role in preventive behaviors (2020) Journal of Concurrent Disorders, , https://concurrentdisorders.ca/2020/04/03/the-fear-of-covid-19-and-its-role-in-preventive-behaviors/; Pang, N.T.P., Kamu, A., Hambali, N.L.B., Mun, H.C., Kassim, M.A., Mohamed, N.H., Jeffree, M.S., Malay version of the Fear of COVID-19 Scale: Validity and reliability (2020) International Journal of Mental Health and Addiction, 2020, pp. 1-10. , https://doi.org/; Perz, C.A., Lang, B.A., Harrington, R., Validation of the Fear of COVID-19 Scale in a US College Sample (2020) International Journal of Mental Health and Addiction, 2020, pp. 1-11. , https://doi.org/; Peters, G.J., Verboon, P., Green, J., (2018) Package ‘userfriendlyscience, , http://bioconductor.statistik.tu-dortmund.de/cran/web/packages/userfriendlyscience/userfriendlyscience.pdf, R Foundation for Statistical Computing; Pierce, M., McManus, S., Jessop, C., John, A., Hotopf, M., Ford, T., Hatch, S., Abel, K.M., Says who? The significance of sampling in mental health surveys during COVID-19 (2020) The Lancet. Psychiatry, 7 (7), pp. 567-568. , https://doi.org/; Putnick, D.L., Bornstein, M.H., Measurement invariance conventions and reporting: The state of the art and future directions for psychological research (2016) Developmental Review, 41, pp. 71-90. , https://doi.org/; Reznik, A., Gritsenko, V., Konstantinov, V., Khamenka, N., Isralowitz, R., COVID-19 fear in Eastern Europe: Validation of the Fear of COVID-19 Scale (2020) International Journal of Mental Health and Addiction, 2020, pp. 1-6. , https://doi.org/; Rhemtulla, M., Brosseau-Liard, P.E., Savalei, V., When can categorical variables be treated as continuous? A comparison of robust continuous and categorical SEM estimation methods under suboptimal conditions (2012) Psychological Methods, 17 (3), pp. 354-373. , https://doi.org/; Rodriguez-Morales, A.J., Gallego, V., Escalera-Antezana, J.P., Méndez, C.A., Zambrano, L.I., Franco-Paredes, C., Suárez, J.A., Cimerman, S., COVID-19 in Latin America: The implications of the first confirmed case in Brazil (2020) Travel Medicine and Infectious Disease, 35, p. 101613. , https://doi.org/; Rose, B.M., O’Sullivan, M.J., Afterlife beliefs and death anxiety: An exploration of the relationship between afterlife expectations and fear of death in an undergraduate population (2002) OMEGA–Journal of Death and Dying, 45 (3), pp. 229-243. , https://doi.org/; Rosseel, Y., lavaan: An R package for structural equation modeling (2012) Journal of Statistical Software, 48 (2), pp. 1-36. , https://doi.org/; Roussel, Y., Giraud-Gatineau, A., Jimeno, M.T., Rolain, J.M., Zandotti, C., Colson, P., Raoult, D., SARS-CoV-2: Fear versus data (2020) International Journal of Antimicrobial Agents, 55 (5), p. 105947. , https://doi.org/; Sakib, N., Bhuiyan, A.I., Hossain, S., Al Mamun, F., Hosen, I., Abdullah, A.H., Sikder, M.T., Psychometric validation of the Bangla Fear of COVID-19 Scale: Confirmatory factor analysis and Rasch analysis (2020) International Journal of Mental Health and Addiction, 2020, pp. 1-12. , https://doi.org/; Saris, W.E., Satorra, A., Sörbom, D., The detection and correction of specification errors in structural equation models (1987) Sociological Methodology, 17, pp. 105-129. , https://doi.org/; Sass, D.A., Schmitt, T.A., Marsh, H.W., Evaluating model fit with ordered categorical data within a measurement invariance framework: A comparison of estimators (2014) Structural Equation Modeling: A Multidisciplinary Journal, 21 (2), pp. 167-180. , https://doi.org/; Satici, B., Gocet-Tekin, E., Deniz, M.E., Satici, S.A., Adaptation of the fear of COVID-19 scale: Its association with psychological distress and life satisfaction in Turkey (2020) International Journal of Mental Health and Addiction, , &amp;, https://doi.org/; Schnettler, B., Miranda-Zapata, E., Lobos, G., del Carmen Lapo, M., Adasme-Berríos, C., Hueche, C., Measurement invariance in the Satisfaction with Life Scale in Chilean and Ecuadorian older adults (2017) Personality and Individual Differences, 110, pp. 96-101. , https://doi.org/; Serafini, G., Parmigiani, B., Amerio, A., Aguglia, A., Sher, L., Amore, M., The psychological impact of COVID-19 on the mental health in the general population (2020) QJM: An International Journal of Medicine, 113 (8), pp. 531-537. , https://doi.org/; Shigemura, J., Ursano, R.J., Morganstein, J.C., Kurosawa, M., Benedek, D.M., Public responses to the novel 2019 Coronavirus (2019-nCoV) in Japan: Mental health consequences and target populations (2020) Psychiatry Clin Neurosci, 74 (4), pp. 281-282. , https://doi.org/; Soper, D.S., (2020), http://www.danielsoper.com/statcalc, A-priori sample size calculator for Structural Equation Models [Software]. Retrieved from; Soraci, P., Ferrari, A., Abbiati, F.A., Del Fante, E., De Pace, R., Urso, A., Griffiths, M.D., Validation and psychometric evaluation of the Italian version of the Fear of COVID-19 Scale (2020) International Journal of Mental Health and Addiction, 2020, pp. 1-10. , https://doi.org/; Spica, M.A., Portugal, A., Taliaferro, C., Introduction to Topical Issue “Latin American Perspectives on Religion (2018) Open Theology, 4 (1), pp. 685-686. , https://doi.org/; Stănculescu, E., Fear of COVID-19 in Romania: Validation of the Romanian Version of the fear of COVID-19 scale using graded response model analysis (2021) International Journal of Mental Health and Addiction, 2020, pp. 1-16. , https://doi.org/; Steenkamp, J.B.E., Baumgartner, H., Assessing measurement invariance in cross-national consumer research (1998) Journal of Consumer Research, 25 (1), pp. 78-90. , https://doi.org/; Taylor, S., (2019) The psychology of pandemics: Preparing for the next global outbreak of infectious disease, , Cambridge Scholars Publishing; Thakur, V., Jain, A., COVID 2019-suicides: A global psychological pandemic (2020) Brain, Behavior, and Immunity, 88, pp. 952-953. , https://doi.org/; Torales, J., O’Higgins, M., Castaldelli-Maia, J.M., Ventriglio, A., The outbreak of COVID-19 Coronavirus and its impact on global mental health (2020) The International Journal of Social Psychiatry, 66 (4), pp. 317-320. , https://doi.org/; Tsipropoulou, V., Nikopoulou, V.A., Holeva, V., Nasika, Z., Diakogiannis, I., Sakka, S., Parlapani, E., Psychometric properties of the Greek Version of FCV-19S (2020) International Journal of Mental Health and Addiction, 2020, pp. 1-10. , https://doi.org/; Van de Schoot, R., Lugtig, P., Hox, J., A checklist for testing measurement invariance (2012) European Journal of Developmental Psychology, 9 (4), pp. 486-492. , https://doi.org/; Wakashima, K., Asai, K., Kobayashi, D., Koiwa, K., Kamoshida, S., Sakuraba, M., The Japanese version of the Fear of COVID-19 scale: Reliability, validity, and relation to coping behavior (2020) PLoS One, 15 (11). , https://doi.org/; Whisman, M.A., Judd, C.M., A cross-national analysis of measurement invariance of the Satisfaction with Life Scale (2016) Psychological Assessment, 28 (2), pp. 239-244. , https://doi.org/; Whittaker, T.A., Using the modification index and standardized expected parameter change for model modification (2012) The Journal of Experimental Education, 80 (1), pp. 26-44. , https://doi.org/; Xiong, J., Lipsitz, O., Nasri, F., Lui, L.M.W., Gill, H., Phan, L., Chen-Li, D., McIntyre, R.S., Impact of COVID-19 pandemic on mental health in the general population: A systematic review (2020) Journal of Affective Disorders, 277, pp. 55-64. , https://doi.org/; Yoon, M., Lai, M.H.C., Testing factorial invariance with unbalanced samples (2018) Structural Equation Modeling: A Multidisciplinary Journal, 25 (2), pp. 201-213. , https://doi.org/; Yuan, K.-H., Bentler, P.M., Three likelihood-based methods for mean and Covariance structure analysis with nonnormal missing data (2000) Sociological Methodology, 30 (1), pp. 165-200. , https://doi.org/</t>
  </si>
  <si>
    <t>Caycho-Rodríguez, T.; Facultad de Ciencias de la Salud, Av. Alfredo Mendiola, Lima, Peru; email: tomas.caycho@upn.pe</t>
  </si>
  <si>
    <t>DESTE</t>
  </si>
  <si>
    <t>Death Stud.</t>
  </si>
  <si>
    <t>2-s2.0-85101022154</t>
  </si>
  <si>
    <t>Balaguera C.A.C., Botero M.A.G.</t>
  </si>
  <si>
    <t>57221588550;57211528139;</t>
  </si>
  <si>
    <t>Multiphase phosphate cements from steel slags</t>
  </si>
  <si>
    <t>Journal of Sustainable Cement-Based Materials</t>
  </si>
  <si>
    <t>10.1080/21650373.2020.1863275</t>
  </si>
  <si>
    <t>https://www.scopus.com/inward/record.uri?eid=2-s2.0-85099495442&amp;doi=10.1080%2f21650373.2020.1863275&amp;partnerID=40&amp;md5=fd9015271d472e64a228bb5ee2977acd</t>
  </si>
  <si>
    <t>Centro de Investigación, Innovación y Desarrollo de Materiales–CIDEMAT, Facultad de Ingeniería, Universidad de Antioquia UdeA, Medellín, Colombia; Diseño, Innovación y Asistencia Técnica en Materiales Avanzados–DITMAV, Universidad Pedagógica y Tecnológica de Colombia UPTC, Tunja, Colombia</t>
  </si>
  <si>
    <t>Balaguera, C.A.C., Centro de Investigación, Innovación y Desarrollo de Materiales–CIDEMAT, Facultad de Ingeniería, Universidad de Antioquia UdeA, Medellín, Colombia, Diseño, Innovación y Asistencia Técnica en Materiales Avanzados–DITMAV, Universidad Pedagógica y Tecnológica de Colombia UPTC, Tunja, Colombia; Botero, M.A.G., Centro de Investigación, Innovación y Desarrollo de Materiales–CIDEMAT, Facultad de Ingeniería, Universidad de Antioquia UdeA, Medellín, Colombia</t>
  </si>
  <si>
    <t>The use of industrial waste in the synthesis of phosphate ceramics opens the door to new ways of production and marketing of this kind of product, as well as contributing to the reduction of the environmental impact of industrial waste. In the present study, chemically bonded phosphate ceramics (CBPC) were synthesized from steel slags (electric arc furnace slag (EAF), basic oxygen furnace slag (BOF), and ladle furnace basic slag (LF) and aqueous solutions of H3PO4. A chemical analysis was performed of the steel slags, which were selected through standard sampling before being ground and milled to obtain the appropriate granulometry. In the evaluated slags, iron oxides and calcium oxides, present both in their free state and in compounds with other elements, were identified as the elements with the greatest presence and potential to form CBPC. Design of experiments (DOE) was applied to form multiphase cements, in order to make the variables present in the obtainment of cements workable, thereby allowing the formation reactions of cement to be better understood. The cements obtained were analyzed through XRD, SEM-EDS, FTIR, XPS, and mechanical compressive strength tests. The synthesized cement exhibited mainly vitreous structure for the iron phosphate phases (Fe(H2PO4)2) or (FeHPO4), and mainly crystalline structure for the calcium phosphate phases, present as dihydrogen phosphate of calcium hydrate (Ca(H2PO4)2·xH2O) and brushite (CaHPO4·2H2O). Compression strength between 10 and 19 MPa was recorded for the different compositions evaluated, with short setting times. © 2020 Informa UK Limited, trading as Taylor &amp; Francis Group.</t>
  </si>
  <si>
    <t>chemical properties; chemically bonded phosphate ceramics (CBPC); physical properties; recycling; steel slag; sustainable cements</t>
  </si>
  <si>
    <t>The authors wish to acknowledge the Government of Boyacá-Colombia, Colciencias for supporting this study through invitation 733 (formation of high-level human capital for the regions). The authors wish to acknowledge the steel industries: Siderúrgica Nacional SIDENAL and Acerias Paz de Rio Votorantim for slag supply.</t>
  </si>
  <si>
    <t>Sugama, T., Allan, M., Hill, J.M., Calcium phosphate cements prepared by acid-base reaction (1992) J Am Ceram Soc, 75 (8), pp. 2076-2087; Wagh, A., (2016) Chemically bonded phosphate ceramics: twenty-first century materials with diverse applications, 5. , 2nd ed, Naperville, IL, United States: Elsevier Ltd; Formosa, J., Lacasta, A.M., Navarro, A., Magnesium phosphate cements formulated with a low-grade MgO by-product: physico-mechanical and durability aspects (2015) Constr Build Mater, 91, pp. 150-157; Lahalle, H., Cau Dit Coumes, C., Mesbah, A., Investigation of magnesium phosphate cement hydration in diluted suspension and its retardation by boric acid (2016) Cem Concr Res, 87, pp. 77-86; Formosa, J., Chimenos, J.M., Lacasta, A.M., Interaction between low-grade magnesium oxide and boric acid in chemically bonded phosphate ceramics formulation (2012) Ceram Int, 38 (3), pp. 2483-2493; Manso, S., Calvo, M.A., Aguado, A., Sustainable cements in construction: magnesium phosphate cements to stimulate colonization by photosynthetic organisms of building materials (2017) J Sustain Cem Mater, 6 (2), pp. 139-148; Colorado, H.A., Wang, Z., Yang, J.M., Inorganic phosphate cement fabricated with wollastonite, barium titanate, and phosphoric acid (2015) Cem Concr Compos, 62, pp. 13-21; Alshaaer, M., Cuypers, H., Mosselmans, G., Evaluation of a low temperature hardening inorganic phosphate cement for high-temperature applications (2011) Cem Concr Res, 41 (1), pp. 38-45; Mosselmans, G., Biesemans, M., Willem, R., Thermal hardening and structure of a phosphorus containing cementitious model material (2007) J Therm Anal Calorim, 88 (3), pp. 723-729; Cardenas-Balaguera, C.A., Gómez Botero, M.A., Engineering applications of chemically-bonded phosphate ceramics (2019) Ing Investig, 39 (3). ,  1–11; Wagh, A.S., An overview of chemical processes to manufacture red mud construction products (2011) Travaux, 36 (40), pp. 235-242; Wagh, A.S., Recent progress in chemically bonded phosphate ceramics (2013) ISRN Ceram, 2013, pp. 1-20; Hou, L., Li, J.H., Tong, L.X., Effect of calcined coal gangue on the mechanical property and microstructure of magnesium phosphate cement (2012) AMM, 174-177, pp. 943-946. , http://www.scientific.net/AMM.174-177.943; Gardner, L.J., Bernal, S.A., Walling, S.A., Characterisation of magnesium potassium phosphate cements blended with fly ash and ground granulated blast furnace slag (2015) Cem Concr Res, 74, pp. 78-87; Shi, C., Steel slag—its production, processing, characteristics, and cementitious properties (2004) J Mater Civ Eng, 16 (3), pp. 230-236; Choi, J., Um, W., Choung, S., Development of iron phosphate ceramic waste form to immobilize radioactive waste solution (2014) J Nucl Mater, 452 (1-3), pp. 16-23; Jiang, Y., Ahmad, M.R., Chen, B., Properties of magnesium phosphate cement containing steel slag powder (2019) Constr Build Mater, 195, pp. 140-147; Montgomery, D., (2004) Diseño y análisis de experimentos, , Mexico D.F:. Segunda ed; Cárdenas, C.A., Gómez, M.A., Characterization of steel slag for the production of chemically bonded phosphate ceramics (CBPC) (2020) Constr Build Mater, 241, p. 118138; Toby, B.H., R factors in Rietveld analysis: How good is good enough? (2006) Powder Diffr, 21 (1), pp. 67-70. , no; Speakman, S.A., (2010) Precision and accuracy - agreement indices in HSP (An Introduction to Rietveld Refinement using PANalytical X’Pert HighScore Plus v2.2d), p. 17. , Massachusetts Institute of Technology,. p.,. Cambridge, Massachusetts, USA; de A. Gobbo, L., (2009) Aplicação da difração de raios-X e método de Rietveld no estudo de Cimento Portland, , São Paulo: Universidade de São Paulo; Wilson, A.D., Nicholson, J.W., (1993) Acid-base cements. Their biomedical and industrial applications, , New York: Cambridge University Press; Hall, D.A., Stevens, R., Jazairi, B.E., Effect of water content on the structure and mechanical properties of magnesia-phosphate cement mortar (2005) J Am Ceram Soc, 81 (6), pp. 1550-1556; Yang, N., Shi, C., Yang, J., Research progresses in magnesium phosphate cement–based materials (2014) J Mater Civ Eng, 26 (10), pp. 04014071-04014078; Yang, Q., Wu, X., Factors influencing properties of phosphate cement-based binder for rapid repair of concrete (1999) Cem Concr Res, 29 (3), pp. 389-396; Kinnunen, P., Ismailov, A., Solismaa, S., Recycling mine tailings in chemically bonded ceramics–a review (2018) J Clean Prod, 174, pp. 634-649; Kingery, W.D., Fundamental study of phosphate bonding in refractories: II, cold setting properties (1950) J Am Ceram Soc, 33 (8), pp. 239-241; Karampas, I.A., Kontoyannis, C.G., Characterization of calcium phosphates mixtures (2013) Vib Spectrosc, 64, pp. 126-133; Hofmann, M.P., Young, A.M., Gbureck, U., FTIR-monitoring of a fast setting brushite bone cement: effect of intermediate phases (2006) J Mater Chem, 16 (31), p. 3199; Boonchom, B., Parallelogram-like microparticles of calcium dihydrogen phosphate monohydrate (Ca(H2PO4)2·H2O) obtained by a rapid precipitation route in aqueous and acetone media (2009) J Alloys Compd, 482 (1-2), pp. 199-202; Colorado, H.A., Hiel, C., Hahn, H.T., Chemically bonded phosphate ceramics composites reinforced with graphite nanoplatelets (2011) Compos Part A Appl Sci Manuf, 42 (4), pp. 376-384; Alshaaer, M., Cuypers, H., Rahier, H., Production of monetite-based Inorganic Phosphate Cement (M-IPC) using hydrothermal post curing (HTPC) (2011) Cem Concr Res, 41 (1), pp. 30-37; Combes, C., Rey, C., Amorphous calcium phosphates: Synthesis, properties and uses in biomaterials (2010) Acta Biomater, 6 (9), pp. 3362-3378; Kojima, Y., Sakama, K., Toyama, T., Dehydration of water molecule in amorphous calcium phosphate (1994) Phosphorus Res Bull, 4, pp. 47-52; Socrates, G., (2011) Characteristic group frequencies, 3 (1). , 3rd Revise, London, UK:. John Wiley &amp; Sons Ltd; Hallam, P.M., Gómez-Mingot, M., Kampouris, D.K., Facile synthetic fabrication of iron oxide particles and novel hydrogen superoxide supercapacitors (2012) RSC Adv, 2 (16), pp. 6672-6679; Li, N., Huang, G.W., Shen, X.J., Controllable fabrication and magnetic-field assisted alignment of Fe3O4-coated Ag nanowires via a facile co-precipitation method (2013) J Mater Chem C, 1 (32), pp. 4879-4884; Lee, H., Park, S.H., Kim, S.-J., Liquid phase plasma synthesis of iron oxide/carbon composite as dielectric material for capacitor (2014) J Nanomater, 2014, pp. 1-6; Demri, B., Muster, D., XPS study of some calcium compounds (1995) J Mater Process Technol, 55 (3-4), pp. 311-314; Chusuei, C.C., Goodman, D.W., Van Stipdonk, M.J., Calcium phosphate phase identification using XPS and time-of-flight cluster SIMS (1999) Anal Chem, 71 (1), pp. 149-153; Raj, K.J.A., Shanmugam, R., Mahalakshmi, R., XPS and IR spectral studies on the structure of phosphate and sulphate modified titania - a combined DFT and experimental study (2010) Indian J Chem - Sect A Inorganic, Phys Theor Anal Chem, 49 (1), pp. 9-17; Sherwood, P.M.A., Introduction to studies of phosphorus-oxygen compounds by XPS (2002) Surf Sci Spectra, 9 (1), pp. 62-66; Singh, D., Wagh, A.S., Jeong, S.Y., (2000) Method for producing chemically bonded phosphate ceramics and for stabilizing contaminants encapsulated therein utilizing reducing agents; Finch, T., Sharp, J.H., Chemical reactions between magnesia and aluminium orthophosphate to form magnesia-phosphate cements (1989) J Mater Sci, 24 (12), pp. 4379-4386; Ding, Z., Dong, B., Xing, F., Cementing mechanism of potassium phosphate based magnesium phosphate cement (2012) Ceram Int, 38 (8), pp. 6281-6288; Shi, C., Yang, J., Yang, N., Effect of waterglass on water stability of potassium magnesium phosphate cement paste (2014) Cem Concr Compos, 53, pp. 83-87; Chong, L., Shi, C., Yang, J., Effect of limestone powder on the water stability of magnesium phosphate cement-based materials (2017) Constr Build Mater, 148, pp. 590-598; Viani, A., Mácová, P., Polyamorphism and frustrated crystallization in the acid-base reaction of magnesium potassium phosphate cements (2018) CrystEngComm, 20 (32), pp. 4600-4613; Liu, Y., Chen, B., Qin, Z., Experimental research on properties and microstructures of magnesium-iron phosphate cement (2020) Constr Build Mater, 257, p. 119570; Dorozhkin, S.V., Epple, M., Biological and medical significance of calcium phosphates (2002) Angew Chem Int Ed, 41 (17), pp. 3130-3146</t>
  </si>
  <si>
    <t>Balaguera, C.A.C.; Centro de Investigación, Colombia; email: carlos.cardenasb@udea.edu.co</t>
  </si>
  <si>
    <t>J. Sustain. Cem. Based Mater.</t>
  </si>
  <si>
    <t>2-s2.0-85099495442</t>
  </si>
  <si>
    <t>Author(s) ID</t>
  </si>
  <si>
    <t>Source title</t>
  </si>
  <si>
    <t>Art. No.</t>
  </si>
  <si>
    <t>Page start</t>
  </si>
  <si>
    <t>Page end</t>
  </si>
  <si>
    <t>Page count</t>
  </si>
  <si>
    <t>Cited by</t>
  </si>
  <si>
    <t>Authors with affiliations</t>
  </si>
  <si>
    <t>Index Keywords</t>
  </si>
  <si>
    <t>Molecular Sequence Numbers</t>
  </si>
  <si>
    <t>Funding Details</t>
  </si>
  <si>
    <t>Funding Text 1</t>
  </si>
  <si>
    <t>Funding Text 2</t>
  </si>
  <si>
    <t>Funding Text 3</t>
  </si>
  <si>
    <t>Funding Text 4</t>
  </si>
  <si>
    <t>Funding Text 5</t>
  </si>
  <si>
    <t>Funding Text 6</t>
  </si>
  <si>
    <t>Funding Text 7</t>
  </si>
  <si>
    <t>Funding Text 8</t>
  </si>
  <si>
    <t>Funding Text 9</t>
  </si>
  <si>
    <t>Funding Text 10</t>
  </si>
  <si>
    <t>Correspondence Address</t>
  </si>
  <si>
    <t>Conference name</t>
  </si>
  <si>
    <t>Conference date</t>
  </si>
  <si>
    <t>Conference location</t>
  </si>
  <si>
    <t>Conference code</t>
  </si>
  <si>
    <t>PubMed ID</t>
  </si>
  <si>
    <t>Language of Original Document</t>
  </si>
  <si>
    <t>Abbreviated Source Title</t>
  </si>
  <si>
    <t>Publication Stage</t>
  </si>
  <si>
    <t>Open Access</t>
  </si>
  <si>
    <t>Conference Paper</t>
  </si>
  <si>
    <t xml:space="preserve"> C.; Research Institute on Policies for Social Transformation</t>
  </si>
  <si>
    <t xml:space="preserve"> Spain; email: carmengarcia@uloyola.es</t>
  </si>
  <si>
    <t xml:space="preserve"> A.; Research Institute on Policies for Social Transformation</t>
  </si>
  <si>
    <t xml:space="preserve"> Spain; email: adelgadob@uloyola.es</t>
  </si>
  <si>
    <t xml:space="preserve"> R.; Research Institute on Policies for Social Transformation</t>
  </si>
  <si>
    <t xml:space="preserve"> Spain</t>
  </si>
  <si>
    <t xml:space="preserve"> Spain; email: adelgadob@uloyola.es"</t>
  </si>
  <si>
    <t>Aquifers; Esters; Faulting; Groundwater resources; Hydrogeology; Mixing; Surface waters; 222rn; Aquifer systems; Argentina; End-member mixing analysis; Guarani aquifer; Guarani aquifer system; Ibera wetland; Water source; δ+2$/H; Δ18O and δ2H; Wetlands; aquifer; groundwater resource; hydrogen isotope; isotopic analysis; oxygen isotope; wetland; Argentina; Corrientes; Guarani Aquifer; Ibera Wetlands; ground water; water; chemistry; environmental monitoring; water pollutant; wetland; Environmental Monitoring; Groundwater; Water; Water Pollutants, Chemical; Wetlands</t>
  </si>
  <si>
    <t>water, 7732-18-5; Water; Water Pollutants, Chemical</t>
  </si>
  <si>
    <t xml:space="preserve"> V.A.; Petroleum</t>
  </si>
  <si>
    <t xml:space="preserve"> Peru; email: ahuerta@fip.uni.edu.pe"</t>
  </si>
  <si>
    <t xml:space="preserve"> C.A.; Instituto de Ciencia y Tecnología de Alimentos (ICTA)</t>
  </si>
  <si>
    <t xml:space="preserve"> Av. Carrera 30 # 45-03</t>
  </si>
  <si>
    <t xml:space="preserve"> Colombia; email: cafuenmayorb@unal.edu.co"</t>
  </si>
  <si>
    <t xml:space="preserve"> S.P.; PGAME-Population Genetics and Molecular Evolution</t>
  </si>
  <si>
    <t xml:space="preserve"> Boyacá</t>
  </si>
  <si>
    <t xml:space="preserve"> Colombia; email: biopao.k18@gmail.com"</t>
  </si>
  <si>
    <t xml:space="preserve"> D.A.; División Catalizadores y Superficies</t>
  </si>
  <si>
    <t xml:space="preserve"> Av. Colón 10850</t>
  </si>
  <si>
    <t xml:space="preserve"> Argentina; email: dmoralesurrea@gmail.com"</t>
  </si>
  <si>
    <t>[No abstract available]</t>
  </si>
  <si>
    <t xml:space="preserve"> R.; Departamento de Química Orgánica</t>
  </si>
  <si>
    <t xml:space="preserve"> Edificio Marie Curie (C3)</t>
  </si>
  <si>
    <t xml:space="preserve"> Spain; email: rafael.luque@uco.es"</t>
  </si>
  <si>
    <t>Gómez Castaño</t>
  </si>
  <si>
    <t xml:space="preserve"> J.A.; Grupo Química-Física Molecular y Modelamiento Computacional (QUIMOL®)</t>
  </si>
  <si>
    <t xml:space="preserve"> Avenida Central del Norte</t>
  </si>
  <si>
    <t xml:space="preserve"> Colombia; email: jovanny.gomez@uptc.edu.co"</t>
  </si>
  <si>
    <t xml:space="preserve"> N.A.; Facultad de Ciencias</t>
  </si>
  <si>
    <t xml:space="preserve"> Colombia; email: nidya.segura@uptc.edu.co"</t>
  </si>
  <si>
    <t xml:space="preserve"> Sede Tunja</t>
  </si>
  <si>
    <t xml:space="preserve"> F.; Department of Sociology and Communication Salamanca</t>
  </si>
  <si>
    <t xml:space="preserve"> Spain; email: fortega@usal.es"</t>
  </si>
  <si>
    <t>De Leon-Rodriguez</t>
  </si>
  <si>
    <t xml:space="preserve"> A.; Instituto Potosino de Investigación Científica y Tecnológica A.C.</t>
  </si>
  <si>
    <t xml:space="preserve"> Camino a la Presa</t>
  </si>
  <si>
    <t xml:space="preserve"> Mexico; email: aleonr@ipicyt.edu.mx"</t>
  </si>
  <si>
    <t>[No author name available]</t>
  </si>
  <si>
    <t>[No author id available]</t>
  </si>
  <si>
    <t xml:space="preserve"> B.P.; Universidad Santiago de Cali- Colombiaemail: bissyperea@gmail.com"</t>
  </si>
  <si>
    <t xml:space="preserve"> D.E.S.; Universidad Pedagógica y Tecnológica de ColombiaColombia; email: diana.soto@uptc.edu.co"</t>
  </si>
  <si>
    <t>Villamizar Palacios</t>
  </si>
  <si>
    <t xml:space="preserve"> C.I.; Universidad Industrial de SantanderColombia; email: carlosivanvillamizar@hotmail.com"</t>
  </si>
  <si>
    <t xml:space="preserve"> J.-C.; Grupo de Catálisis de la UPTC</t>
  </si>
  <si>
    <t xml:space="preserve"> Avenida Central del Norte 39-115</t>
  </si>
  <si>
    <t xml:space="preserve"> Colombia; email: juan.castillo06@uptc.edu.co"</t>
  </si>
  <si>
    <t>57219847438;54080034700;54079532300;57736334700;56051153600;56725949100;</t>
  </si>
  <si>
    <t xml:space="preserve"> O.F.; Escuela de Matemáticas y Estadística</t>
  </si>
  <si>
    <t xml:space="preserve"> Colombia; email: oscar.casas01@uptc.edu.co</t>
  </si>
  <si>
    <t xml:space="preserve"> L.F.; Departamento de Matemáticas</t>
  </si>
  <si>
    <t xml:space="preserve"> Colombia; email: leonardo.chacon@javeriana.edu.co"</t>
  </si>
  <si>
    <t xml:space="preserve"> M.; Department of Food and Drug</t>
  </si>
  <si>
    <t xml:space="preserve"> Parco Area delle Scienze 27/A</t>
  </si>
  <si>
    <t xml:space="preserve"> Italy; email: margherita.rodolfi@unipr.it"</t>
  </si>
  <si>
    <t>Universidad Continental, Lima, Peru; Universidad Pedagógica y Tecnológica de Colombia – UPTC, Grupo de Investigación ACEMED-UPTC, Tunja, Colombia; Universidad San Ignacio de Loyola, Unidad de Investigación para la Generación y Síntesis de Evidencias en Salud, Lima, Peru; Universidad Norbert Wiener, Lima, Peru</t>
  </si>
  <si>
    <t>Valladares-Garrido, M.J., Universidad Continental, Lima, Peru, Universidad Pedagógica y Tecnológica de Colombia – UPTC, Grupo de Investigación ACEMED-UPTC, Tunja, Colombia; Serrano, F.T., Universidad Pedagógica y Tecnológica de Colombia – UPTC, Grupo de Investigación ACEMED-UPTC, Tunja, Colombia; Gutiérrez, P., Universidad Pedagógica y Tecnológica de Colombia – UPTC, Grupo de Investigación ACEMED-UPTC, Tunja, Colombia; Failoc-Rojas, V.E., Universidad San Ignacio de Loyola, Unidad de Investigación para la Generación y Síntesis de Evidencias en Salud, Lima, Peru; Mejia, C.R., Universidad Norbert Wiener, Lima, Peru</t>
  </si>
  <si>
    <t xml:space="preserve"> J.-C.; Escuela de Ciencias Química</t>
  </si>
  <si>
    <t xml:space="preserve"> Avenida Central del Norte 39–115</t>
  </si>
  <si>
    <t xml:space="preserve"> F.; Sección Genética Evolutiva</t>
  </si>
  <si>
    <t xml:space="preserve"> Uruguay; email: fcopanzera@gmail.com"</t>
  </si>
  <si>
    <t xml:space="preserve"> M.; Centro de Investigaciones en Microbiología y Biotecnología-UR (CIMBIUR)</t>
  </si>
  <si>
    <t xml:space="preserve"> Colombia; email: maria.martinez@urosario.edu.co"</t>
  </si>
  <si>
    <t xml:space="preserve"> C.; Universidad Pedagógica y Tecnológica de Colombia</t>
  </si>
  <si>
    <t xml:space="preserve"> Avenida Central de Norte</t>
  </si>
  <si>
    <t xml:space="preserve"> Vía Paipa</t>
  </si>
  <si>
    <t xml:space="preserve"> Colombia; email: claudia.castaneda@uptc.edu.co"</t>
  </si>
  <si>
    <t>15049690100;57995334800;57214081927;57193546104;6507496235;15049308000;36015222700;</t>
  </si>
  <si>
    <t xml:space="preserve"> A.M.; Departamento de Ingeniería Mecánica</t>
  </si>
  <si>
    <t xml:space="preserve"> Av. 18 de Septiembre 2222</t>
  </si>
  <si>
    <t xml:space="preserve"> Chile; email: avelezp@academicos.uta.cl"</t>
  </si>
  <si>
    <t>56584605700;57758252600;57758252700;9272229000;57355016700;</t>
  </si>
  <si>
    <t xml:space="preserve"> L.; Politecnico di Torino</t>
  </si>
  <si>
    <t xml:space="preserve"> Italy</t>
  </si>
  <si>
    <t xml:space="preserve"> E.; Politecnico di Torino</t>
  </si>
  <si>
    <t xml:space="preserve"> M.S.; Politecnico di Torino</t>
  </si>
  <si>
    <t xml:space="preserve"> Italy"</t>
  </si>
  <si>
    <t>9781000605884; 9780367677404</t>
  </si>
  <si>
    <t>Book Chapter</t>
  </si>
  <si>
    <t>abortion; agglutination test; animal experiment; Article; artificial insemination; blood sampling; bovine; Colombia; cross-sectional study; descriptive research; diarrhea; economic aspect; economic loss; female; Leptospira; leptospirosis; male; microscopy; nonhuman; observational study; predictive value; prevalence; risk factor; seroprevalence; vaccination</t>
  </si>
  <si>
    <t xml:space="preserve"> N.; Universidad Pedagógica y Tecnológica de Colombia</t>
  </si>
  <si>
    <t xml:space="preserve"> Avenida Central del Norte 39-115 - P.O. Box 150001</t>
  </si>
  <si>
    <t xml:space="preserve"> Colombia; email: nicolas.rojas@estudante.ufscar.br"</t>
  </si>
  <si>
    <t>57218174872;57195835600;57349712500;</t>
  </si>
  <si>
    <t xml:space="preserve"> T.; Guangdong-Hong Kong-Macao Joint Laboratory for Contaminants Exposure and Health</t>
  </si>
  <si>
    <t xml:space="preserve"> China; email: antc99@gdut.edu.cn"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</si>
</sst>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copus221222" connectionId="1" xr16:uid="{00000000-0016-0000-0200-000001000000}"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26"/>
  <sheetViews>
    <sheetView tabSelected="1" topLeftCell="G1" workbookViewId="0">
      <selection activeCell="W2" sqref="W2"/>
    </sheetView>
  </sheetViews>
  <sheetFormatPr baseColWidth="10" defaultColWidth="9.109375" defaultRowHeight="13.2" x14ac:dyDescent="0.25"/>
  <cols>
    <col min="1" max="22" width="9.109375" customWidth="1"/>
    <col min="23" max="23" width="48.88671875" customWidth="1"/>
    <col min="24" max="24" width="12.33203125" customWidth="1"/>
  </cols>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89</v>
      </c>
      <c r="AD2" t="s">
        <v>90</v>
      </c>
      <c r="AE2" t="s">
        <v>91</v>
      </c>
      <c r="AF2" t="s">
        <v>74</v>
      </c>
      <c r="AG2">
        <v>45</v>
      </c>
      <c r="AH2">
        <v>3</v>
      </c>
      <c r="AI2">
        <v>3</v>
      </c>
      <c r="AJ2">
        <v>6</v>
      </c>
      <c r="AK2">
        <v>15</v>
      </c>
      <c r="AL2" t="s">
        <v>92</v>
      </c>
      <c r="AM2" t="s">
        <v>93</v>
      </c>
      <c r="AN2" t="s">
        <v>94</v>
      </c>
      <c r="AO2" t="s">
        <v>74</v>
      </c>
      <c r="AP2" t="s">
        <v>95</v>
      </c>
      <c r="AQ2" t="s">
        <v>74</v>
      </c>
      <c r="AR2" t="s">
        <v>96</v>
      </c>
      <c r="AS2" t="s">
        <v>97</v>
      </c>
      <c r="AT2" t="s">
        <v>98</v>
      </c>
      <c r="AU2">
        <v>2022</v>
      </c>
      <c r="AV2">
        <v>14</v>
      </c>
      <c r="AW2">
        <v>2</v>
      </c>
      <c r="AX2" t="s">
        <v>74</v>
      </c>
      <c r="AY2" t="s">
        <v>74</v>
      </c>
      <c r="AZ2" t="s">
        <v>74</v>
      </c>
      <c r="BA2" t="s">
        <v>74</v>
      </c>
      <c r="BB2" t="s">
        <v>74</v>
      </c>
      <c r="BC2" t="s">
        <v>74</v>
      </c>
      <c r="BD2">
        <v>310</v>
      </c>
      <c r="BE2" t="s">
        <v>99</v>
      </c>
      <c r="BF2" t="str">
        <f>HYPERLINK("http://dx.doi.org/10.3390/polym14020310","http://dx.doi.org/10.3390/polym14020310")</f>
        <v>http://dx.doi.org/10.3390/polym14020310</v>
      </c>
      <c r="BG2" t="s">
        <v>74</v>
      </c>
      <c r="BH2" t="s">
        <v>74</v>
      </c>
      <c r="BI2">
        <v>16</v>
      </c>
      <c r="BJ2" t="s">
        <v>100</v>
      </c>
      <c r="BK2" t="s">
        <v>101</v>
      </c>
      <c r="BL2" t="s">
        <v>100</v>
      </c>
      <c r="BM2" t="s">
        <v>102</v>
      </c>
      <c r="BN2">
        <v>35054716</v>
      </c>
      <c r="BO2" t="s">
        <v>103</v>
      </c>
      <c r="BP2" t="s">
        <v>74</v>
      </c>
      <c r="BQ2" t="s">
        <v>74</v>
      </c>
      <c r="BR2" t="s">
        <v>104</v>
      </c>
      <c r="BS2" t="s">
        <v>105</v>
      </c>
      <c r="BT2" t="str">
        <f>HYPERLINK("https%3A%2F%2Fwww.webofscience.com%2Fwos%2Fwoscc%2Ffull-record%2FWOS:000758488500001","View Full Record in Web of Science")</f>
        <v>View Full Record in Web of Science</v>
      </c>
    </row>
    <row r="3" spans="1:72" x14ac:dyDescent="0.25">
      <c r="A3" t="s">
        <v>72</v>
      </c>
      <c r="B3" t="s">
        <v>106</v>
      </c>
      <c r="C3" t="s">
        <v>74</v>
      </c>
      <c r="D3" t="s">
        <v>74</v>
      </c>
      <c r="E3" t="s">
        <v>74</v>
      </c>
      <c r="F3" t="s">
        <v>107</v>
      </c>
      <c r="G3" t="s">
        <v>74</v>
      </c>
      <c r="H3" t="s">
        <v>74</v>
      </c>
      <c r="I3" t="s">
        <v>108</v>
      </c>
      <c r="J3" t="s">
        <v>109</v>
      </c>
      <c r="K3" t="s">
        <v>74</v>
      </c>
      <c r="L3" t="s">
        <v>74</v>
      </c>
      <c r="M3" t="s">
        <v>78</v>
      </c>
      <c r="N3" t="s">
        <v>79</v>
      </c>
      <c r="O3" t="s">
        <v>74</v>
      </c>
      <c r="P3" t="s">
        <v>74</v>
      </c>
      <c r="Q3" t="s">
        <v>74</v>
      </c>
      <c r="R3" t="s">
        <v>74</v>
      </c>
      <c r="S3" t="s">
        <v>74</v>
      </c>
      <c r="T3" t="s">
        <v>110</v>
      </c>
      <c r="U3" t="s">
        <v>111</v>
      </c>
      <c r="V3" t="s">
        <v>112</v>
      </c>
      <c r="W3" t="s">
        <v>113</v>
      </c>
      <c r="X3" t="s">
        <v>114</v>
      </c>
      <c r="Y3" t="s">
        <v>115</v>
      </c>
      <c r="Z3" t="s">
        <v>116</v>
      </c>
      <c r="AA3" t="s">
        <v>87</v>
      </c>
      <c r="AB3" t="s">
        <v>117</v>
      </c>
      <c r="AC3" t="s">
        <v>118</v>
      </c>
      <c r="AD3" t="s">
        <v>119</v>
      </c>
      <c r="AE3" t="s">
        <v>120</v>
      </c>
      <c r="AF3" t="s">
        <v>74</v>
      </c>
      <c r="AG3">
        <v>135</v>
      </c>
      <c r="AH3">
        <v>0</v>
      </c>
      <c r="AI3">
        <v>0</v>
      </c>
      <c r="AJ3">
        <v>3</v>
      </c>
      <c r="AK3">
        <v>3</v>
      </c>
      <c r="AL3" t="s">
        <v>92</v>
      </c>
      <c r="AM3" t="s">
        <v>93</v>
      </c>
      <c r="AN3" t="s">
        <v>94</v>
      </c>
      <c r="AO3" t="s">
        <v>74</v>
      </c>
      <c r="AP3" t="s">
        <v>121</v>
      </c>
      <c r="AQ3" t="s">
        <v>74</v>
      </c>
      <c r="AR3" t="s">
        <v>122</v>
      </c>
      <c r="AS3" t="s">
        <v>123</v>
      </c>
      <c r="AT3" t="s">
        <v>124</v>
      </c>
      <c r="AU3">
        <v>2022</v>
      </c>
      <c r="AV3">
        <v>15</v>
      </c>
      <c r="AW3">
        <v>6</v>
      </c>
      <c r="AX3" t="s">
        <v>74</v>
      </c>
      <c r="AY3" t="s">
        <v>74</v>
      </c>
      <c r="AZ3" t="s">
        <v>74</v>
      </c>
      <c r="BA3" t="s">
        <v>74</v>
      </c>
      <c r="BB3" t="s">
        <v>74</v>
      </c>
      <c r="BC3" t="s">
        <v>74</v>
      </c>
      <c r="BD3">
        <v>687</v>
      </c>
      <c r="BE3" t="s">
        <v>125</v>
      </c>
      <c r="BF3" t="str">
        <f>HYPERLINK("http://dx.doi.org/10.3390/ph15060687","http://dx.doi.org/10.3390/ph15060687")</f>
        <v>http://dx.doi.org/10.3390/ph15060687</v>
      </c>
      <c r="BG3" t="s">
        <v>74</v>
      </c>
      <c r="BH3" t="s">
        <v>74</v>
      </c>
      <c r="BI3">
        <v>34</v>
      </c>
      <c r="BJ3" t="s">
        <v>126</v>
      </c>
      <c r="BK3" t="s">
        <v>101</v>
      </c>
      <c r="BL3" t="s">
        <v>127</v>
      </c>
      <c r="BM3" t="s">
        <v>128</v>
      </c>
      <c r="BN3">
        <v>35745607</v>
      </c>
      <c r="BO3" t="s">
        <v>129</v>
      </c>
      <c r="BP3" t="s">
        <v>74</v>
      </c>
      <c r="BQ3" t="s">
        <v>74</v>
      </c>
      <c r="BR3" t="s">
        <v>104</v>
      </c>
      <c r="BS3" t="s">
        <v>130</v>
      </c>
      <c r="BT3" t="str">
        <f>HYPERLINK("https%3A%2F%2Fwww.webofscience.com%2Fwos%2Fwoscc%2Ffull-record%2FWOS:000816669900001","View Full Record in Web of Science")</f>
        <v>View Full Record in Web of Science</v>
      </c>
    </row>
    <row r="4" spans="1:72" x14ac:dyDescent="0.25">
      <c r="A4" t="s">
        <v>72</v>
      </c>
      <c r="B4" t="s">
        <v>131</v>
      </c>
      <c r="C4" t="s">
        <v>74</v>
      </c>
      <c r="D4" t="s">
        <v>74</v>
      </c>
      <c r="E4" t="s">
        <v>74</v>
      </c>
      <c r="F4" t="s">
        <v>132</v>
      </c>
      <c r="G4" t="s">
        <v>74</v>
      </c>
      <c r="H4" t="s">
        <v>74</v>
      </c>
      <c r="I4" t="s">
        <v>133</v>
      </c>
      <c r="J4" t="s">
        <v>134</v>
      </c>
      <c r="K4" t="s">
        <v>74</v>
      </c>
      <c r="L4" t="s">
        <v>74</v>
      </c>
      <c r="M4" t="s">
        <v>78</v>
      </c>
      <c r="N4" t="s">
        <v>135</v>
      </c>
      <c r="O4" t="s">
        <v>74</v>
      </c>
      <c r="P4" t="s">
        <v>74</v>
      </c>
      <c r="Q4" t="s">
        <v>74</v>
      </c>
      <c r="R4" t="s">
        <v>74</v>
      </c>
      <c r="S4" t="s">
        <v>74</v>
      </c>
      <c r="T4" t="s">
        <v>136</v>
      </c>
      <c r="U4" t="s">
        <v>137</v>
      </c>
      <c r="V4" t="s">
        <v>138</v>
      </c>
      <c r="W4" t="s">
        <v>139</v>
      </c>
      <c r="X4" t="s">
        <v>140</v>
      </c>
      <c r="Y4" t="s">
        <v>141</v>
      </c>
      <c r="Z4" t="s">
        <v>142</v>
      </c>
      <c r="AA4" t="s">
        <v>74</v>
      </c>
      <c r="AB4" t="s">
        <v>74</v>
      </c>
      <c r="AC4" t="s">
        <v>143</v>
      </c>
      <c r="AD4" t="s">
        <v>144</v>
      </c>
      <c r="AE4" t="s">
        <v>145</v>
      </c>
      <c r="AF4" t="s">
        <v>74</v>
      </c>
      <c r="AG4">
        <v>45</v>
      </c>
      <c r="AH4">
        <v>0</v>
      </c>
      <c r="AI4">
        <v>0</v>
      </c>
      <c r="AJ4">
        <v>0</v>
      </c>
      <c r="AK4">
        <v>0</v>
      </c>
      <c r="AL4" t="s">
        <v>146</v>
      </c>
      <c r="AM4" t="s">
        <v>147</v>
      </c>
      <c r="AN4" t="s">
        <v>148</v>
      </c>
      <c r="AO4" t="s">
        <v>149</v>
      </c>
      <c r="AP4" t="s">
        <v>150</v>
      </c>
      <c r="AQ4" t="s">
        <v>74</v>
      </c>
      <c r="AR4" t="s">
        <v>134</v>
      </c>
      <c r="AS4" t="s">
        <v>151</v>
      </c>
      <c r="AT4" t="s">
        <v>74</v>
      </c>
      <c r="AU4" t="s">
        <v>74</v>
      </c>
      <c r="AV4" t="s">
        <v>74</v>
      </c>
      <c r="AW4" t="s">
        <v>74</v>
      </c>
      <c r="AX4" t="s">
        <v>74</v>
      </c>
      <c r="AY4" t="s">
        <v>74</v>
      </c>
      <c r="AZ4" t="s">
        <v>74</v>
      </c>
      <c r="BA4" t="s">
        <v>74</v>
      </c>
      <c r="BB4" t="s">
        <v>74</v>
      </c>
      <c r="BC4" t="s">
        <v>74</v>
      </c>
      <c r="BD4" t="s">
        <v>74</v>
      </c>
      <c r="BE4" t="s">
        <v>152</v>
      </c>
      <c r="BF4" t="str">
        <f>HYPERLINK("http://dx.doi.org/10.1007/s10341-022-00793-5","http://dx.doi.org/10.1007/s10341-022-00793-5")</f>
        <v>http://dx.doi.org/10.1007/s10341-022-00793-5</v>
      </c>
      <c r="BG4" t="s">
        <v>74</v>
      </c>
      <c r="BH4" t="s">
        <v>153</v>
      </c>
      <c r="BI4">
        <v>10</v>
      </c>
      <c r="BJ4" t="s">
        <v>154</v>
      </c>
      <c r="BK4" t="s">
        <v>101</v>
      </c>
      <c r="BL4" t="s">
        <v>155</v>
      </c>
      <c r="BM4" t="s">
        <v>156</v>
      </c>
      <c r="BN4" t="s">
        <v>74</v>
      </c>
      <c r="BO4" t="s">
        <v>74</v>
      </c>
      <c r="BP4" t="s">
        <v>74</v>
      </c>
      <c r="BQ4" t="s">
        <v>74</v>
      </c>
      <c r="BR4" t="s">
        <v>104</v>
      </c>
      <c r="BS4" t="s">
        <v>157</v>
      </c>
      <c r="BT4" t="str">
        <f>HYPERLINK("https%3A%2F%2Fwww.webofscience.com%2Fwos%2Fwoscc%2Ffull-record%2FWOS:000899494200001","View Full Record in Web of Science")</f>
        <v>View Full Record in Web of Science</v>
      </c>
    </row>
    <row r="5" spans="1:72" x14ac:dyDescent="0.25">
      <c r="A5" t="s">
        <v>72</v>
      </c>
      <c r="B5" t="s">
        <v>158</v>
      </c>
      <c r="C5" t="s">
        <v>74</v>
      </c>
      <c r="D5" t="s">
        <v>74</v>
      </c>
      <c r="E5" t="s">
        <v>74</v>
      </c>
      <c r="F5" t="s">
        <v>159</v>
      </c>
      <c r="G5" t="s">
        <v>74</v>
      </c>
      <c r="H5" t="s">
        <v>74</v>
      </c>
      <c r="I5" t="s">
        <v>160</v>
      </c>
      <c r="J5" t="s">
        <v>161</v>
      </c>
      <c r="K5" t="s">
        <v>74</v>
      </c>
      <c r="L5" t="s">
        <v>74</v>
      </c>
      <c r="M5" t="s">
        <v>78</v>
      </c>
      <c r="N5" t="s">
        <v>162</v>
      </c>
      <c r="O5" t="s">
        <v>74</v>
      </c>
      <c r="P5" t="s">
        <v>74</v>
      </c>
      <c r="Q5" t="s">
        <v>74</v>
      </c>
      <c r="R5" t="s">
        <v>74</v>
      </c>
      <c r="S5" t="s">
        <v>74</v>
      </c>
      <c r="T5" t="s">
        <v>163</v>
      </c>
      <c r="U5" t="s">
        <v>164</v>
      </c>
      <c r="V5" t="s">
        <v>165</v>
      </c>
      <c r="W5" t="s">
        <v>166</v>
      </c>
      <c r="X5" t="s">
        <v>84</v>
      </c>
      <c r="Y5" t="s">
        <v>167</v>
      </c>
      <c r="Z5" t="s">
        <v>168</v>
      </c>
      <c r="AA5" t="s">
        <v>74</v>
      </c>
      <c r="AB5" t="s">
        <v>74</v>
      </c>
      <c r="AC5" t="s">
        <v>169</v>
      </c>
      <c r="AD5" t="s">
        <v>169</v>
      </c>
      <c r="AE5" t="s">
        <v>170</v>
      </c>
      <c r="AF5" t="s">
        <v>74</v>
      </c>
      <c r="AG5">
        <v>77</v>
      </c>
      <c r="AH5">
        <v>0</v>
      </c>
      <c r="AI5">
        <v>0</v>
      </c>
      <c r="AJ5">
        <v>0</v>
      </c>
      <c r="AK5">
        <v>0</v>
      </c>
      <c r="AL5" t="s">
        <v>171</v>
      </c>
      <c r="AM5" t="s">
        <v>172</v>
      </c>
      <c r="AN5" t="s">
        <v>173</v>
      </c>
      <c r="AO5" t="s">
        <v>174</v>
      </c>
      <c r="AP5" t="s">
        <v>175</v>
      </c>
      <c r="AQ5" t="s">
        <v>74</v>
      </c>
      <c r="AR5" t="s">
        <v>176</v>
      </c>
      <c r="AS5" t="s">
        <v>177</v>
      </c>
      <c r="AT5" t="s">
        <v>74</v>
      </c>
      <c r="AU5">
        <v>2022</v>
      </c>
      <c r="AV5">
        <v>21</v>
      </c>
      <c r="AW5">
        <v>4</v>
      </c>
      <c r="AX5" t="s">
        <v>74</v>
      </c>
      <c r="AY5" t="s">
        <v>74</v>
      </c>
      <c r="AZ5" t="s">
        <v>74</v>
      </c>
      <c r="BA5" t="s">
        <v>74</v>
      </c>
      <c r="BB5">
        <v>298</v>
      </c>
      <c r="BC5">
        <v>308</v>
      </c>
      <c r="BD5" t="s">
        <v>74</v>
      </c>
      <c r="BE5" t="s">
        <v>178</v>
      </c>
      <c r="BF5" t="str">
        <f>HYPERLINK("http://dx.doi.org/10.46873/2300-3960.1364","http://dx.doi.org/10.46873/2300-3960.1364")</f>
        <v>http://dx.doi.org/10.46873/2300-3960.1364</v>
      </c>
      <c r="BG5" t="s">
        <v>74</v>
      </c>
      <c r="BH5" t="s">
        <v>74</v>
      </c>
      <c r="BI5">
        <v>11</v>
      </c>
      <c r="BJ5" t="s">
        <v>179</v>
      </c>
      <c r="BK5" t="s">
        <v>180</v>
      </c>
      <c r="BL5" t="s">
        <v>181</v>
      </c>
      <c r="BM5" t="s">
        <v>182</v>
      </c>
      <c r="BN5" t="s">
        <v>74</v>
      </c>
      <c r="BO5" t="s">
        <v>183</v>
      </c>
      <c r="BP5" t="s">
        <v>74</v>
      </c>
      <c r="BQ5" t="s">
        <v>74</v>
      </c>
      <c r="BR5" t="s">
        <v>104</v>
      </c>
      <c r="BS5" t="s">
        <v>184</v>
      </c>
      <c r="BT5" t="str">
        <f>HYPERLINK("https%3A%2F%2Fwww.webofscience.com%2Fwos%2Fwoscc%2Ffull-record%2FWOS:000899701600004","View Full Record in Web of Science")</f>
        <v>View Full Record in Web of Science</v>
      </c>
    </row>
    <row r="6" spans="1:72" x14ac:dyDescent="0.25">
      <c r="A6" t="s">
        <v>72</v>
      </c>
      <c r="B6" t="s">
        <v>185</v>
      </c>
      <c r="C6" t="s">
        <v>74</v>
      </c>
      <c r="D6" t="s">
        <v>74</v>
      </c>
      <c r="E6" t="s">
        <v>74</v>
      </c>
      <c r="F6" t="s">
        <v>186</v>
      </c>
      <c r="G6" t="s">
        <v>74</v>
      </c>
      <c r="H6" t="s">
        <v>74</v>
      </c>
      <c r="I6" t="s">
        <v>187</v>
      </c>
      <c r="J6" t="s">
        <v>188</v>
      </c>
      <c r="K6" t="s">
        <v>74</v>
      </c>
      <c r="L6" t="s">
        <v>74</v>
      </c>
      <c r="M6" t="s">
        <v>78</v>
      </c>
      <c r="N6" t="s">
        <v>162</v>
      </c>
      <c r="O6" t="s">
        <v>74</v>
      </c>
      <c r="P6" t="s">
        <v>74</v>
      </c>
      <c r="Q6" t="s">
        <v>74</v>
      </c>
      <c r="R6" t="s">
        <v>74</v>
      </c>
      <c r="S6" t="s">
        <v>74</v>
      </c>
      <c r="T6" t="s">
        <v>74</v>
      </c>
      <c r="U6" t="s">
        <v>189</v>
      </c>
      <c r="V6" t="s">
        <v>190</v>
      </c>
      <c r="W6" t="s">
        <v>191</v>
      </c>
      <c r="X6" t="s">
        <v>84</v>
      </c>
      <c r="Y6" t="s">
        <v>192</v>
      </c>
      <c r="Z6" t="s">
        <v>193</v>
      </c>
      <c r="AA6" t="s">
        <v>74</v>
      </c>
      <c r="AB6" t="s">
        <v>74</v>
      </c>
      <c r="AC6" t="s">
        <v>194</v>
      </c>
      <c r="AD6" t="s">
        <v>195</v>
      </c>
      <c r="AE6" t="s">
        <v>196</v>
      </c>
      <c r="AF6" t="s">
        <v>74</v>
      </c>
      <c r="AG6">
        <v>86</v>
      </c>
      <c r="AH6">
        <v>0</v>
      </c>
      <c r="AI6">
        <v>0</v>
      </c>
      <c r="AJ6">
        <v>0</v>
      </c>
      <c r="AK6">
        <v>0</v>
      </c>
      <c r="AL6" t="s">
        <v>197</v>
      </c>
      <c r="AM6" t="s">
        <v>198</v>
      </c>
      <c r="AN6" t="s">
        <v>199</v>
      </c>
      <c r="AO6" t="s">
        <v>74</v>
      </c>
      <c r="AP6" t="s">
        <v>200</v>
      </c>
      <c r="AQ6" t="s">
        <v>74</v>
      </c>
      <c r="AR6" t="s">
        <v>201</v>
      </c>
      <c r="AS6" t="s">
        <v>202</v>
      </c>
      <c r="AT6" t="s">
        <v>203</v>
      </c>
      <c r="AU6">
        <v>2022</v>
      </c>
      <c r="AV6">
        <v>12</v>
      </c>
      <c r="AW6">
        <v>54</v>
      </c>
      <c r="AX6" t="s">
        <v>74</v>
      </c>
      <c r="AY6" t="s">
        <v>74</v>
      </c>
      <c r="AZ6" t="s">
        <v>74</v>
      </c>
      <c r="BA6" t="s">
        <v>74</v>
      </c>
      <c r="BB6">
        <v>34965</v>
      </c>
      <c r="BC6">
        <v>34983</v>
      </c>
      <c r="BD6" t="s">
        <v>74</v>
      </c>
      <c r="BE6" t="s">
        <v>204</v>
      </c>
      <c r="BF6" t="str">
        <f>HYPERLINK("http://dx.doi.org/10.1039/d2ra07056a","http://dx.doi.org/10.1039/d2ra07056a")</f>
        <v>http://dx.doi.org/10.1039/d2ra07056a</v>
      </c>
      <c r="BG6" t="s">
        <v>74</v>
      </c>
      <c r="BH6" t="s">
        <v>74</v>
      </c>
      <c r="BI6">
        <v>19</v>
      </c>
      <c r="BJ6" t="s">
        <v>205</v>
      </c>
      <c r="BK6" t="s">
        <v>101</v>
      </c>
      <c r="BL6" t="s">
        <v>206</v>
      </c>
      <c r="BM6" t="s">
        <v>207</v>
      </c>
      <c r="BN6">
        <v>36540221</v>
      </c>
      <c r="BO6" t="s">
        <v>103</v>
      </c>
      <c r="BP6" t="s">
        <v>74</v>
      </c>
      <c r="BQ6" t="s">
        <v>74</v>
      </c>
      <c r="BR6" t="s">
        <v>104</v>
      </c>
      <c r="BS6" t="s">
        <v>208</v>
      </c>
      <c r="BT6" t="str">
        <f>HYPERLINK("https%3A%2F%2Fwww.webofscience.com%2Fwos%2Fwoscc%2Ffull-record%2FWOS:000893324200001","View Full Record in Web of Science")</f>
        <v>View Full Record in Web of Science</v>
      </c>
    </row>
    <row r="7" spans="1:72" x14ac:dyDescent="0.25">
      <c r="A7" t="s">
        <v>72</v>
      </c>
      <c r="B7" t="s">
        <v>209</v>
      </c>
      <c r="C7" t="s">
        <v>74</v>
      </c>
      <c r="D7" t="s">
        <v>74</v>
      </c>
      <c r="E7" t="s">
        <v>74</v>
      </c>
      <c r="F7" t="s">
        <v>210</v>
      </c>
      <c r="G7" t="s">
        <v>74</v>
      </c>
      <c r="H7" t="s">
        <v>74</v>
      </c>
      <c r="I7" t="s">
        <v>211</v>
      </c>
      <c r="J7" t="s">
        <v>212</v>
      </c>
      <c r="K7" t="s">
        <v>74</v>
      </c>
      <c r="L7" t="s">
        <v>74</v>
      </c>
      <c r="M7" t="s">
        <v>78</v>
      </c>
      <c r="N7" t="s">
        <v>79</v>
      </c>
      <c r="O7" t="s">
        <v>74</v>
      </c>
      <c r="P7" t="s">
        <v>74</v>
      </c>
      <c r="Q7" t="s">
        <v>74</v>
      </c>
      <c r="R7" t="s">
        <v>74</v>
      </c>
      <c r="S7" t="s">
        <v>74</v>
      </c>
      <c r="T7" t="s">
        <v>213</v>
      </c>
      <c r="U7" t="s">
        <v>214</v>
      </c>
      <c r="V7" t="s">
        <v>215</v>
      </c>
      <c r="W7" t="s">
        <v>216</v>
      </c>
      <c r="X7" t="s">
        <v>217</v>
      </c>
      <c r="Y7" t="s">
        <v>218</v>
      </c>
      <c r="Z7" t="s">
        <v>219</v>
      </c>
      <c r="AA7" t="s">
        <v>220</v>
      </c>
      <c r="AB7" t="s">
        <v>221</v>
      </c>
      <c r="AC7" t="s">
        <v>222</v>
      </c>
      <c r="AD7" t="s">
        <v>223</v>
      </c>
      <c r="AE7" t="s">
        <v>224</v>
      </c>
      <c r="AF7" t="s">
        <v>74</v>
      </c>
      <c r="AG7">
        <v>93</v>
      </c>
      <c r="AH7">
        <v>1</v>
      </c>
      <c r="AI7">
        <v>1</v>
      </c>
      <c r="AJ7">
        <v>4</v>
      </c>
      <c r="AK7">
        <v>9</v>
      </c>
      <c r="AL7" t="s">
        <v>225</v>
      </c>
      <c r="AM7" t="s">
        <v>226</v>
      </c>
      <c r="AN7" t="s">
        <v>227</v>
      </c>
      <c r="AO7" t="s">
        <v>228</v>
      </c>
      <c r="AP7" t="s">
        <v>229</v>
      </c>
      <c r="AQ7" t="s">
        <v>74</v>
      </c>
      <c r="AR7" t="s">
        <v>212</v>
      </c>
      <c r="AS7" t="s">
        <v>230</v>
      </c>
      <c r="AT7" t="s">
        <v>231</v>
      </c>
      <c r="AU7">
        <v>2022</v>
      </c>
      <c r="AV7">
        <v>19</v>
      </c>
      <c r="AW7">
        <v>7</v>
      </c>
      <c r="AX7" t="s">
        <v>74</v>
      </c>
      <c r="AY7" t="s">
        <v>74</v>
      </c>
      <c r="AZ7" t="s">
        <v>74</v>
      </c>
      <c r="BA7" t="s">
        <v>74</v>
      </c>
      <c r="BB7">
        <v>1689</v>
      </c>
      <c r="BC7">
        <v>1716</v>
      </c>
      <c r="BD7" t="s">
        <v>74</v>
      </c>
      <c r="BE7" t="s">
        <v>232</v>
      </c>
      <c r="BF7" t="str">
        <f>HYPERLINK("http://dx.doi.org/10.1007/s10346-022-01870-2","http://dx.doi.org/10.1007/s10346-022-01870-2")</f>
        <v>http://dx.doi.org/10.1007/s10346-022-01870-2</v>
      </c>
      <c r="BG7" t="s">
        <v>74</v>
      </c>
      <c r="BH7" t="s">
        <v>233</v>
      </c>
      <c r="BI7">
        <v>28</v>
      </c>
      <c r="BJ7" t="s">
        <v>234</v>
      </c>
      <c r="BK7" t="s">
        <v>101</v>
      </c>
      <c r="BL7" t="s">
        <v>235</v>
      </c>
      <c r="BM7" t="s">
        <v>236</v>
      </c>
      <c r="BN7" t="s">
        <v>74</v>
      </c>
      <c r="BO7" t="s">
        <v>74</v>
      </c>
      <c r="BP7" t="s">
        <v>74</v>
      </c>
      <c r="BQ7" t="s">
        <v>74</v>
      </c>
      <c r="BR7" t="s">
        <v>104</v>
      </c>
      <c r="BS7" t="s">
        <v>237</v>
      </c>
      <c r="BT7" t="str">
        <f>HYPERLINK("https%3A%2F%2Fwww.webofscience.com%2Fwos%2Fwoscc%2Ffull-record%2FWOS:000770972100001","View Full Record in Web of Science")</f>
        <v>View Full Record in Web of Science</v>
      </c>
    </row>
    <row r="8" spans="1:72" x14ac:dyDescent="0.25">
      <c r="A8" t="s">
        <v>72</v>
      </c>
      <c r="B8" t="s">
        <v>238</v>
      </c>
      <c r="C8" t="s">
        <v>74</v>
      </c>
      <c r="D8" t="s">
        <v>74</v>
      </c>
      <c r="E8" t="s">
        <v>74</v>
      </c>
      <c r="F8" t="s">
        <v>239</v>
      </c>
      <c r="G8" t="s">
        <v>74</v>
      </c>
      <c r="H8" t="s">
        <v>74</v>
      </c>
      <c r="I8" t="s">
        <v>240</v>
      </c>
      <c r="J8" t="s">
        <v>241</v>
      </c>
      <c r="K8" t="s">
        <v>74</v>
      </c>
      <c r="L8" t="s">
        <v>74</v>
      </c>
      <c r="M8" t="s">
        <v>78</v>
      </c>
      <c r="N8" t="s">
        <v>79</v>
      </c>
      <c r="O8" t="s">
        <v>74</v>
      </c>
      <c r="P8" t="s">
        <v>74</v>
      </c>
      <c r="Q8" t="s">
        <v>74</v>
      </c>
      <c r="R8" t="s">
        <v>74</v>
      </c>
      <c r="S8" t="s">
        <v>74</v>
      </c>
      <c r="T8" t="s">
        <v>242</v>
      </c>
      <c r="U8" t="s">
        <v>74</v>
      </c>
      <c r="V8" t="s">
        <v>243</v>
      </c>
      <c r="W8" t="s">
        <v>244</v>
      </c>
      <c r="X8" t="s">
        <v>245</v>
      </c>
      <c r="Y8" t="s">
        <v>246</v>
      </c>
      <c r="Z8" t="s">
        <v>247</v>
      </c>
      <c r="AA8" t="s">
        <v>74</v>
      </c>
      <c r="AB8" t="s">
        <v>248</v>
      </c>
      <c r="AC8" t="s">
        <v>249</v>
      </c>
      <c r="AD8" t="s">
        <v>249</v>
      </c>
      <c r="AE8" t="s">
        <v>250</v>
      </c>
      <c r="AF8" t="s">
        <v>74</v>
      </c>
      <c r="AG8">
        <v>17</v>
      </c>
      <c r="AH8">
        <v>0</v>
      </c>
      <c r="AI8">
        <v>0</v>
      </c>
      <c r="AJ8">
        <v>1</v>
      </c>
      <c r="AK8">
        <v>1</v>
      </c>
      <c r="AL8" t="s">
        <v>251</v>
      </c>
      <c r="AM8" t="s">
        <v>252</v>
      </c>
      <c r="AN8" t="s">
        <v>253</v>
      </c>
      <c r="AO8" t="s">
        <v>74</v>
      </c>
      <c r="AP8" t="s">
        <v>254</v>
      </c>
      <c r="AQ8" t="s">
        <v>74</v>
      </c>
      <c r="AR8" t="s">
        <v>241</v>
      </c>
      <c r="AS8" t="s">
        <v>255</v>
      </c>
      <c r="AT8" t="s">
        <v>256</v>
      </c>
      <c r="AU8">
        <v>2022</v>
      </c>
      <c r="AV8">
        <v>11</v>
      </c>
      <c r="AW8" t="s">
        <v>74</v>
      </c>
      <c r="AX8" t="s">
        <v>74</v>
      </c>
      <c r="AY8" t="s">
        <v>74</v>
      </c>
      <c r="AZ8" t="s">
        <v>74</v>
      </c>
      <c r="BA8" t="s">
        <v>74</v>
      </c>
      <c r="BB8" t="s">
        <v>74</v>
      </c>
      <c r="BC8" t="s">
        <v>74</v>
      </c>
      <c r="BD8" t="s">
        <v>257</v>
      </c>
      <c r="BE8" t="s">
        <v>258</v>
      </c>
      <c r="BF8" t="str">
        <f>HYPERLINK("http://dx.doi.org/10.1016/j.ohx.2022.e00306","http://dx.doi.org/10.1016/j.ohx.2022.e00306")</f>
        <v>http://dx.doi.org/10.1016/j.ohx.2022.e00306</v>
      </c>
      <c r="BG8" t="s">
        <v>74</v>
      </c>
      <c r="BH8" t="s">
        <v>259</v>
      </c>
      <c r="BI8">
        <v>15</v>
      </c>
      <c r="BJ8" t="s">
        <v>260</v>
      </c>
      <c r="BK8" t="s">
        <v>180</v>
      </c>
      <c r="BL8" t="s">
        <v>261</v>
      </c>
      <c r="BM8" t="s">
        <v>262</v>
      </c>
      <c r="BN8">
        <v>35509895</v>
      </c>
      <c r="BO8" t="s">
        <v>103</v>
      </c>
      <c r="BP8" t="s">
        <v>74</v>
      </c>
      <c r="BQ8" t="s">
        <v>74</v>
      </c>
      <c r="BR8" t="s">
        <v>104</v>
      </c>
      <c r="BS8" t="s">
        <v>263</v>
      </c>
      <c r="BT8" t="str">
        <f>HYPERLINK("https%3A%2F%2Fwww.webofscience.com%2Fwos%2Fwoscc%2Ffull-record%2FWOS:000803034600004","View Full Record in Web of Science")</f>
        <v>View Full Record in Web of Science</v>
      </c>
    </row>
    <row r="9" spans="1:72" x14ac:dyDescent="0.25">
      <c r="A9" t="s">
        <v>72</v>
      </c>
      <c r="B9" t="s">
        <v>264</v>
      </c>
      <c r="C9" t="s">
        <v>74</v>
      </c>
      <c r="D9" t="s">
        <v>74</v>
      </c>
      <c r="E9" t="s">
        <v>74</v>
      </c>
      <c r="F9" t="s">
        <v>265</v>
      </c>
      <c r="G9" t="s">
        <v>74</v>
      </c>
      <c r="H9" t="s">
        <v>74</v>
      </c>
      <c r="I9" t="s">
        <v>266</v>
      </c>
      <c r="J9" t="s">
        <v>267</v>
      </c>
      <c r="K9" t="s">
        <v>74</v>
      </c>
      <c r="L9" t="s">
        <v>74</v>
      </c>
      <c r="M9" t="s">
        <v>78</v>
      </c>
      <c r="N9" t="s">
        <v>79</v>
      </c>
      <c r="O9" t="s">
        <v>74</v>
      </c>
      <c r="P9" t="s">
        <v>74</v>
      </c>
      <c r="Q9" t="s">
        <v>74</v>
      </c>
      <c r="R9" t="s">
        <v>74</v>
      </c>
      <c r="S9" t="s">
        <v>74</v>
      </c>
      <c r="T9" t="s">
        <v>268</v>
      </c>
      <c r="U9" t="s">
        <v>269</v>
      </c>
      <c r="V9" t="s">
        <v>270</v>
      </c>
      <c r="W9" t="s">
        <v>271</v>
      </c>
      <c r="X9" t="s">
        <v>272</v>
      </c>
      <c r="Y9" t="s">
        <v>273</v>
      </c>
      <c r="Z9" t="s">
        <v>274</v>
      </c>
      <c r="AA9" t="s">
        <v>74</v>
      </c>
      <c r="AB9" t="s">
        <v>74</v>
      </c>
      <c r="AC9" t="s">
        <v>275</v>
      </c>
      <c r="AD9" t="s">
        <v>276</v>
      </c>
      <c r="AE9" t="s">
        <v>277</v>
      </c>
      <c r="AF9" t="s">
        <v>74</v>
      </c>
      <c r="AG9">
        <v>29</v>
      </c>
      <c r="AH9">
        <v>0</v>
      </c>
      <c r="AI9">
        <v>0</v>
      </c>
      <c r="AJ9">
        <v>3</v>
      </c>
      <c r="AK9">
        <v>3</v>
      </c>
      <c r="AL9" t="s">
        <v>92</v>
      </c>
      <c r="AM9" t="s">
        <v>93</v>
      </c>
      <c r="AN9" t="s">
        <v>94</v>
      </c>
      <c r="AO9" t="s">
        <v>74</v>
      </c>
      <c r="AP9" t="s">
        <v>278</v>
      </c>
      <c r="AQ9" t="s">
        <v>74</v>
      </c>
      <c r="AR9" t="s">
        <v>279</v>
      </c>
      <c r="AS9" t="s">
        <v>280</v>
      </c>
      <c r="AT9" t="s">
        <v>281</v>
      </c>
      <c r="AU9">
        <v>2022</v>
      </c>
      <c r="AV9">
        <v>14</v>
      </c>
      <c r="AW9">
        <v>22</v>
      </c>
      <c r="AX9" t="s">
        <v>74</v>
      </c>
      <c r="AY9" t="s">
        <v>74</v>
      </c>
      <c r="AZ9" t="s">
        <v>74</v>
      </c>
      <c r="BA9" t="s">
        <v>74</v>
      </c>
      <c r="BB9" t="s">
        <v>74</v>
      </c>
      <c r="BC9" t="s">
        <v>74</v>
      </c>
      <c r="BD9">
        <v>14683</v>
      </c>
      <c r="BE9" t="s">
        <v>282</v>
      </c>
      <c r="BF9" t="str">
        <f>HYPERLINK("http://dx.doi.org/10.3390/su142214683","http://dx.doi.org/10.3390/su142214683")</f>
        <v>http://dx.doi.org/10.3390/su142214683</v>
      </c>
      <c r="BG9" t="s">
        <v>74</v>
      </c>
      <c r="BH9" t="s">
        <v>74</v>
      </c>
      <c r="BI9">
        <v>12</v>
      </c>
      <c r="BJ9" t="s">
        <v>283</v>
      </c>
      <c r="BK9" t="s">
        <v>284</v>
      </c>
      <c r="BL9" t="s">
        <v>285</v>
      </c>
      <c r="BM9" t="s">
        <v>286</v>
      </c>
      <c r="BN9" t="s">
        <v>74</v>
      </c>
      <c r="BO9" t="s">
        <v>183</v>
      </c>
      <c r="BP9" t="s">
        <v>74</v>
      </c>
      <c r="BQ9" t="s">
        <v>74</v>
      </c>
      <c r="BR9" t="s">
        <v>104</v>
      </c>
      <c r="BS9" t="s">
        <v>287</v>
      </c>
      <c r="BT9" t="str">
        <f>HYPERLINK("https%3A%2F%2Fwww.webofscience.com%2Fwos%2Fwoscc%2Ffull-record%2FWOS:000887580800001","View Full Record in Web of Science")</f>
        <v>View Full Record in Web of Science</v>
      </c>
    </row>
    <row r="10" spans="1:72" x14ac:dyDescent="0.25">
      <c r="A10" t="s">
        <v>72</v>
      </c>
      <c r="B10" t="s">
        <v>288</v>
      </c>
      <c r="C10" t="s">
        <v>74</v>
      </c>
      <c r="D10" t="s">
        <v>74</v>
      </c>
      <c r="E10" t="s">
        <v>74</v>
      </c>
      <c r="F10" t="s">
        <v>289</v>
      </c>
      <c r="G10" t="s">
        <v>74</v>
      </c>
      <c r="H10" t="s">
        <v>74</v>
      </c>
      <c r="I10" t="s">
        <v>290</v>
      </c>
      <c r="J10" t="s">
        <v>291</v>
      </c>
      <c r="K10" t="s">
        <v>74</v>
      </c>
      <c r="L10" t="s">
        <v>74</v>
      </c>
      <c r="M10" t="s">
        <v>78</v>
      </c>
      <c r="N10" t="s">
        <v>162</v>
      </c>
      <c r="O10" t="s">
        <v>74</v>
      </c>
      <c r="P10" t="s">
        <v>74</v>
      </c>
      <c r="Q10" t="s">
        <v>74</v>
      </c>
      <c r="R10" t="s">
        <v>74</v>
      </c>
      <c r="S10" t="s">
        <v>74</v>
      </c>
      <c r="T10" t="s">
        <v>292</v>
      </c>
      <c r="U10" t="s">
        <v>293</v>
      </c>
      <c r="V10" t="s">
        <v>294</v>
      </c>
      <c r="W10" t="s">
        <v>295</v>
      </c>
      <c r="X10" t="s">
        <v>140</v>
      </c>
      <c r="Y10" t="s">
        <v>296</v>
      </c>
      <c r="Z10" t="s">
        <v>297</v>
      </c>
      <c r="AA10" t="s">
        <v>74</v>
      </c>
      <c r="AB10" t="s">
        <v>74</v>
      </c>
      <c r="AC10" t="s">
        <v>298</v>
      </c>
      <c r="AD10" t="s">
        <v>298</v>
      </c>
      <c r="AE10" t="s">
        <v>299</v>
      </c>
      <c r="AF10" t="s">
        <v>74</v>
      </c>
      <c r="AG10">
        <v>65</v>
      </c>
      <c r="AH10">
        <v>0</v>
      </c>
      <c r="AI10">
        <v>0</v>
      </c>
      <c r="AJ10">
        <v>0</v>
      </c>
      <c r="AK10">
        <v>0</v>
      </c>
      <c r="AL10" t="s">
        <v>300</v>
      </c>
      <c r="AM10" t="s">
        <v>301</v>
      </c>
      <c r="AN10" t="s">
        <v>302</v>
      </c>
      <c r="AO10" t="s">
        <v>303</v>
      </c>
      <c r="AP10" t="s">
        <v>304</v>
      </c>
      <c r="AQ10" t="s">
        <v>74</v>
      </c>
      <c r="AR10" t="s">
        <v>305</v>
      </c>
      <c r="AS10" t="s">
        <v>306</v>
      </c>
      <c r="AT10" t="s">
        <v>74</v>
      </c>
      <c r="AU10">
        <v>2022</v>
      </c>
      <c r="AV10">
        <v>18</v>
      </c>
      <c r="AW10">
        <v>1</v>
      </c>
      <c r="AX10" t="s">
        <v>74</v>
      </c>
      <c r="AY10" t="s">
        <v>74</v>
      </c>
      <c r="AZ10" t="s">
        <v>74</v>
      </c>
      <c r="BA10" t="s">
        <v>74</v>
      </c>
      <c r="BB10" t="s">
        <v>74</v>
      </c>
      <c r="BC10" t="s">
        <v>74</v>
      </c>
      <c r="BD10" t="s">
        <v>74</v>
      </c>
      <c r="BE10" t="s">
        <v>307</v>
      </c>
      <c r="BF10" t="str">
        <f>HYPERLINK("http://dx.doi.org/10.16925/2357-6014.2022.01.08","http://dx.doi.org/10.16925/2357-6014.2022.01.08")</f>
        <v>http://dx.doi.org/10.16925/2357-6014.2022.01.08</v>
      </c>
      <c r="BG10" t="s">
        <v>74</v>
      </c>
      <c r="BH10" t="s">
        <v>74</v>
      </c>
      <c r="BI10">
        <v>40</v>
      </c>
      <c r="BJ10" t="s">
        <v>308</v>
      </c>
      <c r="BK10" t="s">
        <v>180</v>
      </c>
      <c r="BL10" t="s">
        <v>309</v>
      </c>
      <c r="BM10" t="s">
        <v>310</v>
      </c>
      <c r="BN10" t="s">
        <v>74</v>
      </c>
      <c r="BO10" t="s">
        <v>74</v>
      </c>
      <c r="BP10" t="s">
        <v>74</v>
      </c>
      <c r="BQ10" t="s">
        <v>74</v>
      </c>
      <c r="BR10" t="s">
        <v>104</v>
      </c>
      <c r="BS10" t="s">
        <v>311</v>
      </c>
      <c r="BT10" t="str">
        <f>HYPERLINK("https%3A%2F%2Fwww.webofscience.com%2Fwos%2Fwoscc%2Ffull-record%2FWOS:000835195900005","View Full Record in Web of Science")</f>
        <v>View Full Record in Web of Science</v>
      </c>
    </row>
    <row r="11" spans="1:72" x14ac:dyDescent="0.25">
      <c r="A11" t="s">
        <v>72</v>
      </c>
      <c r="B11" t="s">
        <v>312</v>
      </c>
      <c r="C11" t="s">
        <v>74</v>
      </c>
      <c r="D11" t="s">
        <v>74</v>
      </c>
      <c r="E11" t="s">
        <v>74</v>
      </c>
      <c r="F11" t="s">
        <v>313</v>
      </c>
      <c r="G11" t="s">
        <v>74</v>
      </c>
      <c r="H11" t="s">
        <v>74</v>
      </c>
      <c r="I11" t="s">
        <v>314</v>
      </c>
      <c r="J11" t="s">
        <v>315</v>
      </c>
      <c r="K11" t="s">
        <v>74</v>
      </c>
      <c r="L11" t="s">
        <v>74</v>
      </c>
      <c r="M11" t="s">
        <v>78</v>
      </c>
      <c r="N11" t="s">
        <v>79</v>
      </c>
      <c r="O11" t="s">
        <v>74</v>
      </c>
      <c r="P11" t="s">
        <v>74</v>
      </c>
      <c r="Q11" t="s">
        <v>74</v>
      </c>
      <c r="R11" t="s">
        <v>74</v>
      </c>
      <c r="S11" t="s">
        <v>74</v>
      </c>
      <c r="T11" t="s">
        <v>316</v>
      </c>
      <c r="U11" t="s">
        <v>317</v>
      </c>
      <c r="V11" t="s">
        <v>318</v>
      </c>
      <c r="W11" t="s">
        <v>319</v>
      </c>
      <c r="X11" t="s">
        <v>320</v>
      </c>
      <c r="Y11" t="s">
        <v>321</v>
      </c>
      <c r="Z11" t="s">
        <v>322</v>
      </c>
      <c r="AA11" t="s">
        <v>323</v>
      </c>
      <c r="AB11" t="s">
        <v>324</v>
      </c>
      <c r="AC11" t="s">
        <v>325</v>
      </c>
      <c r="AD11" t="s">
        <v>326</v>
      </c>
      <c r="AE11" t="s">
        <v>327</v>
      </c>
      <c r="AF11" t="s">
        <v>74</v>
      </c>
      <c r="AG11">
        <v>31</v>
      </c>
      <c r="AH11">
        <v>1</v>
      </c>
      <c r="AI11">
        <v>1</v>
      </c>
      <c r="AJ11">
        <v>8</v>
      </c>
      <c r="AK11">
        <v>8</v>
      </c>
      <c r="AL11" t="s">
        <v>92</v>
      </c>
      <c r="AM11" t="s">
        <v>93</v>
      </c>
      <c r="AN11" t="s">
        <v>94</v>
      </c>
      <c r="AO11" t="s">
        <v>74</v>
      </c>
      <c r="AP11" t="s">
        <v>328</v>
      </c>
      <c r="AQ11" t="s">
        <v>74</v>
      </c>
      <c r="AR11" t="s">
        <v>329</v>
      </c>
      <c r="AS11" t="s">
        <v>330</v>
      </c>
      <c r="AT11" t="s">
        <v>124</v>
      </c>
      <c r="AU11">
        <v>2022</v>
      </c>
      <c r="AV11">
        <v>22</v>
      </c>
      <c r="AW11">
        <v>12</v>
      </c>
      <c r="AX11" t="s">
        <v>74</v>
      </c>
      <c r="AY11" t="s">
        <v>74</v>
      </c>
      <c r="AZ11" t="s">
        <v>74</v>
      </c>
      <c r="BA11" t="s">
        <v>74</v>
      </c>
      <c r="BB11" t="s">
        <v>74</v>
      </c>
      <c r="BC11" t="s">
        <v>74</v>
      </c>
      <c r="BD11">
        <v>4559</v>
      </c>
      <c r="BE11" t="s">
        <v>331</v>
      </c>
      <c r="BF11" t="str">
        <f>HYPERLINK("http://dx.doi.org/10.3390/s22124559","http://dx.doi.org/10.3390/s22124559")</f>
        <v>http://dx.doi.org/10.3390/s22124559</v>
      </c>
      <c r="BG11" t="s">
        <v>74</v>
      </c>
      <c r="BH11" t="s">
        <v>74</v>
      </c>
      <c r="BI11">
        <v>17</v>
      </c>
      <c r="BJ11" t="s">
        <v>332</v>
      </c>
      <c r="BK11" t="s">
        <v>101</v>
      </c>
      <c r="BL11" t="s">
        <v>333</v>
      </c>
      <c r="BM11" t="s">
        <v>334</v>
      </c>
      <c r="BN11">
        <v>35746340</v>
      </c>
      <c r="BO11" t="s">
        <v>103</v>
      </c>
      <c r="BP11" t="s">
        <v>74</v>
      </c>
      <c r="BQ11" t="s">
        <v>74</v>
      </c>
      <c r="BR11" t="s">
        <v>104</v>
      </c>
      <c r="BS11" t="s">
        <v>335</v>
      </c>
      <c r="BT11" t="str">
        <f>HYPERLINK("https%3A%2F%2Fwww.webofscience.com%2Fwos%2Fwoscc%2Ffull-record%2FWOS:000816255400001","View Full Record in Web of Science")</f>
        <v>View Full Record in Web of Science</v>
      </c>
    </row>
    <row r="12" spans="1:72" x14ac:dyDescent="0.25">
      <c r="A12" t="s">
        <v>72</v>
      </c>
      <c r="B12" t="s">
        <v>336</v>
      </c>
      <c r="C12" t="s">
        <v>74</v>
      </c>
      <c r="D12" t="s">
        <v>74</v>
      </c>
      <c r="E12" t="s">
        <v>74</v>
      </c>
      <c r="F12" t="s">
        <v>337</v>
      </c>
      <c r="G12" t="s">
        <v>74</v>
      </c>
      <c r="H12" t="s">
        <v>74</v>
      </c>
      <c r="I12" t="s">
        <v>338</v>
      </c>
      <c r="J12" t="s">
        <v>339</v>
      </c>
      <c r="K12" t="s">
        <v>74</v>
      </c>
      <c r="L12" t="s">
        <v>74</v>
      </c>
      <c r="M12" t="s">
        <v>78</v>
      </c>
      <c r="N12" t="s">
        <v>79</v>
      </c>
      <c r="O12" t="s">
        <v>74</v>
      </c>
      <c r="P12" t="s">
        <v>74</v>
      </c>
      <c r="Q12" t="s">
        <v>74</v>
      </c>
      <c r="R12" t="s">
        <v>74</v>
      </c>
      <c r="S12" t="s">
        <v>74</v>
      </c>
      <c r="T12" t="s">
        <v>340</v>
      </c>
      <c r="U12" t="s">
        <v>341</v>
      </c>
      <c r="V12" t="s">
        <v>342</v>
      </c>
      <c r="W12" t="s">
        <v>343</v>
      </c>
      <c r="X12" t="s">
        <v>84</v>
      </c>
      <c r="Y12" t="s">
        <v>344</v>
      </c>
      <c r="Z12" t="s">
        <v>345</v>
      </c>
      <c r="AA12" t="s">
        <v>74</v>
      </c>
      <c r="AB12" t="s">
        <v>346</v>
      </c>
      <c r="AC12" t="s">
        <v>347</v>
      </c>
      <c r="AD12" t="s">
        <v>347</v>
      </c>
      <c r="AE12" t="s">
        <v>348</v>
      </c>
      <c r="AF12" t="s">
        <v>74</v>
      </c>
      <c r="AG12">
        <v>22</v>
      </c>
      <c r="AH12">
        <v>0</v>
      </c>
      <c r="AI12">
        <v>0</v>
      </c>
      <c r="AJ12">
        <v>1</v>
      </c>
      <c r="AK12">
        <v>1</v>
      </c>
      <c r="AL12" t="s">
        <v>146</v>
      </c>
      <c r="AM12" t="s">
        <v>147</v>
      </c>
      <c r="AN12" t="s">
        <v>148</v>
      </c>
      <c r="AO12" t="s">
        <v>349</v>
      </c>
      <c r="AP12" t="s">
        <v>350</v>
      </c>
      <c r="AQ12" t="s">
        <v>74</v>
      </c>
      <c r="AR12" t="s">
        <v>351</v>
      </c>
      <c r="AS12" t="s">
        <v>352</v>
      </c>
      <c r="AT12" t="s">
        <v>124</v>
      </c>
      <c r="AU12">
        <v>2022</v>
      </c>
      <c r="AV12">
        <v>74</v>
      </c>
      <c r="AW12">
        <v>2</v>
      </c>
      <c r="AX12" t="s">
        <v>74</v>
      </c>
      <c r="AY12" t="s">
        <v>74</v>
      </c>
      <c r="AZ12" t="s">
        <v>74</v>
      </c>
      <c r="BA12" t="s">
        <v>74</v>
      </c>
      <c r="BB12">
        <v>249</v>
      </c>
      <c r="BC12">
        <v>257</v>
      </c>
      <c r="BD12" t="s">
        <v>74</v>
      </c>
      <c r="BE12" t="s">
        <v>353</v>
      </c>
      <c r="BF12" t="str">
        <f>HYPERLINK("http://dx.doi.org/10.1007/s10343-021-00605-y","http://dx.doi.org/10.1007/s10343-021-00605-y")</f>
        <v>http://dx.doi.org/10.1007/s10343-021-00605-y</v>
      </c>
      <c r="BG12" t="s">
        <v>74</v>
      </c>
      <c r="BH12" t="s">
        <v>354</v>
      </c>
      <c r="BI12">
        <v>9</v>
      </c>
      <c r="BJ12" t="s">
        <v>355</v>
      </c>
      <c r="BK12" t="s">
        <v>101</v>
      </c>
      <c r="BL12" t="s">
        <v>155</v>
      </c>
      <c r="BM12" t="s">
        <v>356</v>
      </c>
      <c r="BN12" t="s">
        <v>74</v>
      </c>
      <c r="BO12" t="s">
        <v>74</v>
      </c>
      <c r="BP12" t="s">
        <v>74</v>
      </c>
      <c r="BQ12" t="s">
        <v>74</v>
      </c>
      <c r="BR12" t="s">
        <v>104</v>
      </c>
      <c r="BS12" t="s">
        <v>357</v>
      </c>
      <c r="BT12" t="str">
        <f>HYPERLINK("https%3A%2F%2Fwww.webofscience.com%2Fwos%2Fwoscc%2Ffull-record%2FWOS:000739234200001","View Full Record in Web of Science")</f>
        <v>View Full Record in Web of Science</v>
      </c>
    </row>
    <row r="13" spans="1:72" x14ac:dyDescent="0.25">
      <c r="A13" t="s">
        <v>72</v>
      </c>
      <c r="B13" t="s">
        <v>358</v>
      </c>
      <c r="C13" t="s">
        <v>74</v>
      </c>
      <c r="D13" t="s">
        <v>74</v>
      </c>
      <c r="E13" t="s">
        <v>74</v>
      </c>
      <c r="F13" t="s">
        <v>359</v>
      </c>
      <c r="G13" t="s">
        <v>74</v>
      </c>
      <c r="H13" t="s">
        <v>74</v>
      </c>
      <c r="I13" t="s">
        <v>360</v>
      </c>
      <c r="J13" t="s">
        <v>361</v>
      </c>
      <c r="K13" t="s">
        <v>74</v>
      </c>
      <c r="L13" t="s">
        <v>74</v>
      </c>
      <c r="M13" t="s">
        <v>78</v>
      </c>
      <c r="N13" t="s">
        <v>79</v>
      </c>
      <c r="O13" t="s">
        <v>74</v>
      </c>
      <c r="P13" t="s">
        <v>74</v>
      </c>
      <c r="Q13" t="s">
        <v>74</v>
      </c>
      <c r="R13" t="s">
        <v>74</v>
      </c>
      <c r="S13" t="s">
        <v>74</v>
      </c>
      <c r="T13" t="s">
        <v>362</v>
      </c>
      <c r="U13" t="s">
        <v>363</v>
      </c>
      <c r="V13" t="s">
        <v>364</v>
      </c>
      <c r="W13" t="s">
        <v>365</v>
      </c>
      <c r="X13" t="s">
        <v>84</v>
      </c>
      <c r="Y13" t="s">
        <v>366</v>
      </c>
      <c r="Z13" t="s">
        <v>367</v>
      </c>
      <c r="AA13" t="s">
        <v>368</v>
      </c>
      <c r="AB13" t="s">
        <v>369</v>
      </c>
      <c r="AC13" t="s">
        <v>370</v>
      </c>
      <c r="AD13" t="s">
        <v>371</v>
      </c>
      <c r="AE13" t="s">
        <v>372</v>
      </c>
      <c r="AF13" t="s">
        <v>74</v>
      </c>
      <c r="AG13">
        <v>27</v>
      </c>
      <c r="AH13">
        <v>0</v>
      </c>
      <c r="AI13">
        <v>0</v>
      </c>
      <c r="AJ13">
        <v>2</v>
      </c>
      <c r="AK13">
        <v>2</v>
      </c>
      <c r="AL13" t="s">
        <v>373</v>
      </c>
      <c r="AM13" t="s">
        <v>374</v>
      </c>
      <c r="AN13" t="s">
        <v>375</v>
      </c>
      <c r="AO13" t="s">
        <v>376</v>
      </c>
      <c r="AP13" t="s">
        <v>377</v>
      </c>
      <c r="AQ13" t="s">
        <v>74</v>
      </c>
      <c r="AR13" t="s">
        <v>378</v>
      </c>
      <c r="AS13" t="s">
        <v>379</v>
      </c>
      <c r="AT13" t="s">
        <v>380</v>
      </c>
      <c r="AU13">
        <v>2022</v>
      </c>
      <c r="AV13" t="s">
        <v>74</v>
      </c>
      <c r="AW13">
        <v>105</v>
      </c>
      <c r="AX13" t="s">
        <v>74</v>
      </c>
      <c r="AY13" t="s">
        <v>74</v>
      </c>
      <c r="AZ13" t="s">
        <v>74</v>
      </c>
      <c r="BA13" t="s">
        <v>74</v>
      </c>
      <c r="BB13">
        <v>29</v>
      </c>
      <c r="BC13">
        <v>36</v>
      </c>
      <c r="BD13" t="s">
        <v>74</v>
      </c>
      <c r="BE13" t="s">
        <v>381</v>
      </c>
      <c r="BF13" t="str">
        <f>HYPERLINK("http://dx.doi.org/10.17533/udea.redin.20210531","http://dx.doi.org/10.17533/udea.redin.20210531")</f>
        <v>http://dx.doi.org/10.17533/udea.redin.20210531</v>
      </c>
      <c r="BG13" t="s">
        <v>74</v>
      </c>
      <c r="BH13" t="s">
        <v>74</v>
      </c>
      <c r="BI13">
        <v>8</v>
      </c>
      <c r="BJ13" t="s">
        <v>308</v>
      </c>
      <c r="BK13" t="s">
        <v>180</v>
      </c>
      <c r="BL13" t="s">
        <v>309</v>
      </c>
      <c r="BM13" t="s">
        <v>382</v>
      </c>
      <c r="BN13" t="s">
        <v>74</v>
      </c>
      <c r="BO13" t="s">
        <v>383</v>
      </c>
      <c r="BP13" t="s">
        <v>74</v>
      </c>
      <c r="BQ13" t="s">
        <v>74</v>
      </c>
      <c r="BR13" t="s">
        <v>104</v>
      </c>
      <c r="BS13" t="s">
        <v>384</v>
      </c>
      <c r="BT13" t="str">
        <f>HYPERLINK("https%3A%2F%2Fwww.webofscience.com%2Fwos%2Fwoscc%2Ffull-record%2FWOS:000827583900003","View Full Record in Web of Science")</f>
        <v>View Full Record in Web of Science</v>
      </c>
    </row>
    <row r="14" spans="1:72" x14ac:dyDescent="0.25">
      <c r="A14" t="s">
        <v>72</v>
      </c>
      <c r="B14" t="s">
        <v>385</v>
      </c>
      <c r="C14" t="s">
        <v>74</v>
      </c>
      <c r="D14" t="s">
        <v>74</v>
      </c>
      <c r="E14" t="s">
        <v>74</v>
      </c>
      <c r="F14" t="s">
        <v>386</v>
      </c>
      <c r="G14" t="s">
        <v>74</v>
      </c>
      <c r="H14" t="s">
        <v>74</v>
      </c>
      <c r="I14" t="s">
        <v>387</v>
      </c>
      <c r="J14" t="s">
        <v>388</v>
      </c>
      <c r="K14" t="s">
        <v>74</v>
      </c>
      <c r="L14" t="s">
        <v>74</v>
      </c>
      <c r="M14" t="s">
        <v>78</v>
      </c>
      <c r="N14" t="s">
        <v>79</v>
      </c>
      <c r="O14" t="s">
        <v>74</v>
      </c>
      <c r="P14" t="s">
        <v>74</v>
      </c>
      <c r="Q14" t="s">
        <v>74</v>
      </c>
      <c r="R14" t="s">
        <v>74</v>
      </c>
      <c r="S14" t="s">
        <v>74</v>
      </c>
      <c r="T14" t="s">
        <v>389</v>
      </c>
      <c r="U14" t="s">
        <v>390</v>
      </c>
      <c r="V14" t="s">
        <v>391</v>
      </c>
      <c r="W14" t="s">
        <v>392</v>
      </c>
      <c r="X14" t="s">
        <v>84</v>
      </c>
      <c r="Y14" t="s">
        <v>393</v>
      </c>
      <c r="Z14" t="s">
        <v>394</v>
      </c>
      <c r="AA14" t="s">
        <v>74</v>
      </c>
      <c r="AB14" t="s">
        <v>395</v>
      </c>
      <c r="AC14" t="s">
        <v>396</v>
      </c>
      <c r="AD14" t="s">
        <v>396</v>
      </c>
      <c r="AE14" t="s">
        <v>397</v>
      </c>
      <c r="AF14" t="s">
        <v>74</v>
      </c>
      <c r="AG14">
        <v>38</v>
      </c>
      <c r="AH14">
        <v>0</v>
      </c>
      <c r="AI14">
        <v>0</v>
      </c>
      <c r="AJ14">
        <v>6</v>
      </c>
      <c r="AK14">
        <v>6</v>
      </c>
      <c r="AL14" t="s">
        <v>92</v>
      </c>
      <c r="AM14" t="s">
        <v>93</v>
      </c>
      <c r="AN14" t="s">
        <v>94</v>
      </c>
      <c r="AO14" t="s">
        <v>74</v>
      </c>
      <c r="AP14" t="s">
        <v>398</v>
      </c>
      <c r="AQ14" t="s">
        <v>74</v>
      </c>
      <c r="AR14" t="s">
        <v>388</v>
      </c>
      <c r="AS14" t="s">
        <v>399</v>
      </c>
      <c r="AT14" t="s">
        <v>400</v>
      </c>
      <c r="AU14">
        <v>2022</v>
      </c>
      <c r="AV14">
        <v>11</v>
      </c>
      <c r="AW14">
        <v>15</v>
      </c>
      <c r="AX14" t="s">
        <v>74</v>
      </c>
      <c r="AY14" t="s">
        <v>74</v>
      </c>
      <c r="AZ14" t="s">
        <v>74</v>
      </c>
      <c r="BA14" t="s">
        <v>74</v>
      </c>
      <c r="BB14" t="s">
        <v>74</v>
      </c>
      <c r="BC14" t="s">
        <v>74</v>
      </c>
      <c r="BD14">
        <v>2380</v>
      </c>
      <c r="BE14" t="s">
        <v>401</v>
      </c>
      <c r="BF14" t="str">
        <f>HYPERLINK("http://dx.doi.org/10.3390/foods11152380","http://dx.doi.org/10.3390/foods11152380")</f>
        <v>http://dx.doi.org/10.3390/foods11152380</v>
      </c>
      <c r="BG14" t="s">
        <v>74</v>
      </c>
      <c r="BH14" t="s">
        <v>74</v>
      </c>
      <c r="BI14">
        <v>13</v>
      </c>
      <c r="BJ14" t="s">
        <v>402</v>
      </c>
      <c r="BK14" t="s">
        <v>101</v>
      </c>
      <c r="BL14" t="s">
        <v>402</v>
      </c>
      <c r="BM14" t="s">
        <v>403</v>
      </c>
      <c r="BN14">
        <v>35954146</v>
      </c>
      <c r="BO14" t="s">
        <v>103</v>
      </c>
      <c r="BP14" t="s">
        <v>74</v>
      </c>
      <c r="BQ14" t="s">
        <v>74</v>
      </c>
      <c r="BR14" t="s">
        <v>104</v>
      </c>
      <c r="BS14" t="s">
        <v>404</v>
      </c>
      <c r="BT14" t="str">
        <f>HYPERLINK("https%3A%2F%2Fwww.webofscience.com%2Fwos%2Fwoscc%2Ffull-record%2FWOS:000839768600001","View Full Record in Web of Science")</f>
        <v>View Full Record in Web of Science</v>
      </c>
    </row>
    <row r="15" spans="1:72" x14ac:dyDescent="0.25">
      <c r="A15" t="s">
        <v>72</v>
      </c>
      <c r="B15" t="s">
        <v>405</v>
      </c>
      <c r="C15" t="s">
        <v>74</v>
      </c>
      <c r="D15" t="s">
        <v>74</v>
      </c>
      <c r="E15" t="s">
        <v>74</v>
      </c>
      <c r="F15" t="s">
        <v>406</v>
      </c>
      <c r="G15" t="s">
        <v>74</v>
      </c>
      <c r="H15" t="s">
        <v>74</v>
      </c>
      <c r="I15" t="s">
        <v>407</v>
      </c>
      <c r="J15" t="s">
        <v>77</v>
      </c>
      <c r="K15" t="s">
        <v>74</v>
      </c>
      <c r="L15" t="s">
        <v>74</v>
      </c>
      <c r="M15" t="s">
        <v>78</v>
      </c>
      <c r="N15" t="s">
        <v>79</v>
      </c>
      <c r="O15" t="s">
        <v>74</v>
      </c>
      <c r="P15" t="s">
        <v>74</v>
      </c>
      <c r="Q15" t="s">
        <v>74</v>
      </c>
      <c r="R15" t="s">
        <v>74</v>
      </c>
      <c r="S15" t="s">
        <v>74</v>
      </c>
      <c r="T15" t="s">
        <v>408</v>
      </c>
      <c r="U15" t="s">
        <v>409</v>
      </c>
      <c r="V15" t="s">
        <v>410</v>
      </c>
      <c r="W15" t="s">
        <v>411</v>
      </c>
      <c r="X15" t="s">
        <v>84</v>
      </c>
      <c r="Y15" t="s">
        <v>412</v>
      </c>
      <c r="Z15" t="s">
        <v>413</v>
      </c>
      <c r="AA15" t="s">
        <v>74</v>
      </c>
      <c r="AB15" t="s">
        <v>414</v>
      </c>
      <c r="AC15" t="s">
        <v>396</v>
      </c>
      <c r="AD15" t="s">
        <v>396</v>
      </c>
      <c r="AE15" t="s">
        <v>415</v>
      </c>
      <c r="AF15" t="s">
        <v>74</v>
      </c>
      <c r="AG15">
        <v>37</v>
      </c>
      <c r="AH15">
        <v>1</v>
      </c>
      <c r="AI15">
        <v>1</v>
      </c>
      <c r="AJ15">
        <v>2</v>
      </c>
      <c r="AK15">
        <v>2</v>
      </c>
      <c r="AL15" t="s">
        <v>92</v>
      </c>
      <c r="AM15" t="s">
        <v>93</v>
      </c>
      <c r="AN15" t="s">
        <v>94</v>
      </c>
      <c r="AO15" t="s">
        <v>74</v>
      </c>
      <c r="AP15" t="s">
        <v>95</v>
      </c>
      <c r="AQ15" t="s">
        <v>74</v>
      </c>
      <c r="AR15" t="s">
        <v>96</v>
      </c>
      <c r="AS15" t="s">
        <v>97</v>
      </c>
      <c r="AT15" t="s">
        <v>416</v>
      </c>
      <c r="AU15">
        <v>2022</v>
      </c>
      <c r="AV15">
        <v>14</v>
      </c>
      <c r="AW15">
        <v>18</v>
      </c>
      <c r="AX15" t="s">
        <v>74</v>
      </c>
      <c r="AY15" t="s">
        <v>74</v>
      </c>
      <c r="AZ15" t="s">
        <v>74</v>
      </c>
      <c r="BA15" t="s">
        <v>74</v>
      </c>
      <c r="BB15" t="s">
        <v>74</v>
      </c>
      <c r="BC15" t="s">
        <v>74</v>
      </c>
      <c r="BD15">
        <v>3832</v>
      </c>
      <c r="BE15" t="s">
        <v>417</v>
      </c>
      <c r="BF15" t="str">
        <f>HYPERLINK("http://dx.doi.org/10.3390/polym14183832","http://dx.doi.org/10.3390/polym14183832")</f>
        <v>http://dx.doi.org/10.3390/polym14183832</v>
      </c>
      <c r="BG15" t="s">
        <v>74</v>
      </c>
      <c r="BH15" t="s">
        <v>74</v>
      </c>
      <c r="BI15">
        <v>13</v>
      </c>
      <c r="BJ15" t="s">
        <v>100</v>
      </c>
      <c r="BK15" t="s">
        <v>101</v>
      </c>
      <c r="BL15" t="s">
        <v>100</v>
      </c>
      <c r="BM15" t="s">
        <v>418</v>
      </c>
      <c r="BN15">
        <v>36145978</v>
      </c>
      <c r="BO15" t="s">
        <v>129</v>
      </c>
      <c r="BP15" t="s">
        <v>74</v>
      </c>
      <c r="BQ15" t="s">
        <v>74</v>
      </c>
      <c r="BR15" t="s">
        <v>104</v>
      </c>
      <c r="BS15" t="s">
        <v>419</v>
      </c>
      <c r="BT15" t="str">
        <f>HYPERLINK("https%3A%2F%2Fwww.webofscience.com%2Fwos%2Fwoscc%2Ffull-record%2FWOS:000857042400001","View Full Record in Web of Science")</f>
        <v>View Full Record in Web of Science</v>
      </c>
    </row>
    <row r="16" spans="1:72" x14ac:dyDescent="0.25">
      <c r="A16" t="s">
        <v>72</v>
      </c>
      <c r="B16" t="s">
        <v>420</v>
      </c>
      <c r="C16" t="s">
        <v>74</v>
      </c>
      <c r="D16" t="s">
        <v>74</v>
      </c>
      <c r="E16" t="s">
        <v>74</v>
      </c>
      <c r="F16" t="s">
        <v>421</v>
      </c>
      <c r="G16" t="s">
        <v>74</v>
      </c>
      <c r="H16" t="s">
        <v>74</v>
      </c>
      <c r="I16" t="s">
        <v>422</v>
      </c>
      <c r="J16" t="s">
        <v>423</v>
      </c>
      <c r="K16" t="s">
        <v>74</v>
      </c>
      <c r="L16" t="s">
        <v>74</v>
      </c>
      <c r="M16" t="s">
        <v>78</v>
      </c>
      <c r="N16" t="s">
        <v>79</v>
      </c>
      <c r="O16" t="s">
        <v>74</v>
      </c>
      <c r="P16" t="s">
        <v>74</v>
      </c>
      <c r="Q16" t="s">
        <v>74</v>
      </c>
      <c r="R16" t="s">
        <v>74</v>
      </c>
      <c r="S16" t="s">
        <v>74</v>
      </c>
      <c r="T16" t="s">
        <v>424</v>
      </c>
      <c r="U16" t="s">
        <v>425</v>
      </c>
      <c r="V16" t="s">
        <v>426</v>
      </c>
      <c r="W16" t="s">
        <v>427</v>
      </c>
      <c r="X16" t="s">
        <v>272</v>
      </c>
      <c r="Y16" t="s">
        <v>428</v>
      </c>
      <c r="Z16" t="s">
        <v>429</v>
      </c>
      <c r="AA16" t="s">
        <v>74</v>
      </c>
      <c r="AB16" t="s">
        <v>430</v>
      </c>
      <c r="AC16" t="s">
        <v>431</v>
      </c>
      <c r="AD16" t="s">
        <v>431</v>
      </c>
      <c r="AE16" t="s">
        <v>432</v>
      </c>
      <c r="AF16" t="s">
        <v>74</v>
      </c>
      <c r="AG16">
        <v>33</v>
      </c>
      <c r="AH16">
        <v>0</v>
      </c>
      <c r="AI16">
        <v>0</v>
      </c>
      <c r="AJ16">
        <v>1</v>
      </c>
      <c r="AK16">
        <v>1</v>
      </c>
      <c r="AL16" t="s">
        <v>433</v>
      </c>
      <c r="AM16" t="s">
        <v>147</v>
      </c>
      <c r="AN16" t="s">
        <v>434</v>
      </c>
      <c r="AO16" t="s">
        <v>435</v>
      </c>
      <c r="AP16" t="s">
        <v>436</v>
      </c>
      <c r="AQ16" t="s">
        <v>74</v>
      </c>
      <c r="AR16" t="s">
        <v>437</v>
      </c>
      <c r="AS16" t="s">
        <v>438</v>
      </c>
      <c r="AT16" t="s">
        <v>416</v>
      </c>
      <c r="AU16">
        <v>2022</v>
      </c>
      <c r="AV16">
        <v>191</v>
      </c>
      <c r="AW16" t="s">
        <v>74</v>
      </c>
      <c r="AX16" t="s">
        <v>74</v>
      </c>
      <c r="AY16" t="s">
        <v>74</v>
      </c>
      <c r="AZ16" t="s">
        <v>74</v>
      </c>
      <c r="BA16" t="s">
        <v>74</v>
      </c>
      <c r="BB16" t="s">
        <v>74</v>
      </c>
      <c r="BC16" t="s">
        <v>74</v>
      </c>
      <c r="BD16">
        <v>112079</v>
      </c>
      <c r="BE16" t="s">
        <v>439</v>
      </c>
      <c r="BF16" t="str">
        <f>HYPERLINK("http://dx.doi.org/10.1016/j.matchar.2022.112079","http://dx.doi.org/10.1016/j.matchar.2022.112079")</f>
        <v>http://dx.doi.org/10.1016/j.matchar.2022.112079</v>
      </c>
      <c r="BG16" t="s">
        <v>74</v>
      </c>
      <c r="BH16" t="s">
        <v>440</v>
      </c>
      <c r="BI16">
        <v>8</v>
      </c>
      <c r="BJ16" t="s">
        <v>441</v>
      </c>
      <c r="BK16" t="s">
        <v>101</v>
      </c>
      <c r="BL16" t="s">
        <v>442</v>
      </c>
      <c r="BM16" t="s">
        <v>443</v>
      </c>
      <c r="BN16" t="s">
        <v>74</v>
      </c>
      <c r="BO16" t="s">
        <v>74</v>
      </c>
      <c r="BP16" t="s">
        <v>74</v>
      </c>
      <c r="BQ16" t="s">
        <v>74</v>
      </c>
      <c r="BR16" t="s">
        <v>104</v>
      </c>
      <c r="BS16" t="s">
        <v>444</v>
      </c>
      <c r="BT16" t="str">
        <f>HYPERLINK("https%3A%2F%2Fwww.webofscience.com%2Fwos%2Fwoscc%2Ffull-record%2FWOS:000830381300002","View Full Record in Web of Science")</f>
        <v>View Full Record in Web of Science</v>
      </c>
    </row>
    <row r="17" spans="1:72" x14ac:dyDescent="0.25">
      <c r="A17" t="s">
        <v>72</v>
      </c>
      <c r="B17" t="s">
        <v>445</v>
      </c>
      <c r="C17" t="s">
        <v>74</v>
      </c>
      <c r="D17" t="s">
        <v>74</v>
      </c>
      <c r="E17" t="s">
        <v>74</v>
      </c>
      <c r="F17" t="s">
        <v>446</v>
      </c>
      <c r="G17" t="s">
        <v>74</v>
      </c>
      <c r="H17" t="s">
        <v>74</v>
      </c>
      <c r="I17" t="s">
        <v>447</v>
      </c>
      <c r="J17" t="s">
        <v>448</v>
      </c>
      <c r="K17" t="s">
        <v>74</v>
      </c>
      <c r="L17" t="s">
        <v>74</v>
      </c>
      <c r="M17" t="s">
        <v>78</v>
      </c>
      <c r="N17" t="s">
        <v>79</v>
      </c>
      <c r="O17" t="s">
        <v>74</v>
      </c>
      <c r="P17" t="s">
        <v>74</v>
      </c>
      <c r="Q17" t="s">
        <v>74</v>
      </c>
      <c r="R17" t="s">
        <v>74</v>
      </c>
      <c r="S17" t="s">
        <v>74</v>
      </c>
      <c r="T17" t="s">
        <v>449</v>
      </c>
      <c r="U17" t="s">
        <v>450</v>
      </c>
      <c r="V17" t="s">
        <v>451</v>
      </c>
      <c r="W17" t="s">
        <v>452</v>
      </c>
      <c r="X17" t="s">
        <v>84</v>
      </c>
      <c r="Y17" t="s">
        <v>453</v>
      </c>
      <c r="Z17" t="s">
        <v>454</v>
      </c>
      <c r="AA17" t="s">
        <v>455</v>
      </c>
      <c r="AB17" t="s">
        <v>456</v>
      </c>
      <c r="AC17" t="s">
        <v>457</v>
      </c>
      <c r="AD17" t="s">
        <v>457</v>
      </c>
      <c r="AE17" t="s">
        <v>458</v>
      </c>
      <c r="AF17" t="s">
        <v>74</v>
      </c>
      <c r="AG17">
        <v>54</v>
      </c>
      <c r="AH17">
        <v>0</v>
      </c>
      <c r="AI17">
        <v>0</v>
      </c>
      <c r="AJ17">
        <v>2</v>
      </c>
      <c r="AK17">
        <v>2</v>
      </c>
      <c r="AL17" t="s">
        <v>459</v>
      </c>
      <c r="AM17" t="s">
        <v>460</v>
      </c>
      <c r="AN17" t="s">
        <v>461</v>
      </c>
      <c r="AO17" t="s">
        <v>74</v>
      </c>
      <c r="AP17" t="s">
        <v>462</v>
      </c>
      <c r="AQ17" t="s">
        <v>74</v>
      </c>
      <c r="AR17" t="s">
        <v>463</v>
      </c>
      <c r="AS17" t="s">
        <v>464</v>
      </c>
      <c r="AT17" t="s">
        <v>465</v>
      </c>
      <c r="AU17">
        <v>2022</v>
      </c>
      <c r="AV17">
        <v>18</v>
      </c>
      <c r="AW17">
        <v>1</v>
      </c>
      <c r="AX17" t="s">
        <v>74</v>
      </c>
      <c r="AY17" t="s">
        <v>74</v>
      </c>
      <c r="AZ17" t="s">
        <v>74</v>
      </c>
      <c r="BA17" t="s">
        <v>74</v>
      </c>
      <c r="BB17" t="s">
        <v>74</v>
      </c>
      <c r="BC17" t="s">
        <v>74</v>
      </c>
      <c r="BD17">
        <v>59</v>
      </c>
      <c r="BE17" t="s">
        <v>466</v>
      </c>
      <c r="BF17" t="str">
        <f>HYPERLINK("http://dx.doi.org/10.1186/s13002-022-00557-1","http://dx.doi.org/10.1186/s13002-022-00557-1")</f>
        <v>http://dx.doi.org/10.1186/s13002-022-00557-1</v>
      </c>
      <c r="BG17" t="s">
        <v>74</v>
      </c>
      <c r="BH17" t="s">
        <v>74</v>
      </c>
      <c r="BI17">
        <v>12</v>
      </c>
      <c r="BJ17" t="s">
        <v>467</v>
      </c>
      <c r="BK17" t="s">
        <v>101</v>
      </c>
      <c r="BL17" t="s">
        <v>468</v>
      </c>
      <c r="BM17" t="s">
        <v>469</v>
      </c>
      <c r="BN17">
        <v>36117158</v>
      </c>
      <c r="BO17" t="s">
        <v>129</v>
      </c>
      <c r="BP17" t="s">
        <v>74</v>
      </c>
      <c r="BQ17" t="s">
        <v>74</v>
      </c>
      <c r="BR17" t="s">
        <v>104</v>
      </c>
      <c r="BS17" t="s">
        <v>470</v>
      </c>
      <c r="BT17" t="str">
        <f>HYPERLINK("https%3A%2F%2Fwww.webofscience.com%2Fwos%2Fwoscc%2Ffull-record%2FWOS:000855526900001","View Full Record in Web of Science")</f>
        <v>View Full Record in Web of Science</v>
      </c>
    </row>
    <row r="18" spans="1:72" x14ac:dyDescent="0.25">
      <c r="A18" t="s">
        <v>72</v>
      </c>
      <c r="B18" t="s">
        <v>471</v>
      </c>
      <c r="C18" t="s">
        <v>74</v>
      </c>
      <c r="D18" t="s">
        <v>74</v>
      </c>
      <c r="E18" t="s">
        <v>74</v>
      </c>
      <c r="F18" t="s">
        <v>472</v>
      </c>
      <c r="G18" t="s">
        <v>74</v>
      </c>
      <c r="H18" t="s">
        <v>74</v>
      </c>
      <c r="I18" t="s">
        <v>473</v>
      </c>
      <c r="J18" t="s">
        <v>474</v>
      </c>
      <c r="K18" t="s">
        <v>74</v>
      </c>
      <c r="L18" t="s">
        <v>74</v>
      </c>
      <c r="M18" t="s">
        <v>78</v>
      </c>
      <c r="N18" t="s">
        <v>79</v>
      </c>
      <c r="O18" t="s">
        <v>74</v>
      </c>
      <c r="P18" t="s">
        <v>74</v>
      </c>
      <c r="Q18" t="s">
        <v>74</v>
      </c>
      <c r="R18" t="s">
        <v>74</v>
      </c>
      <c r="S18" t="s">
        <v>74</v>
      </c>
      <c r="T18" t="s">
        <v>475</v>
      </c>
      <c r="U18" t="s">
        <v>476</v>
      </c>
      <c r="V18" t="s">
        <v>477</v>
      </c>
      <c r="W18" t="s">
        <v>478</v>
      </c>
      <c r="X18" t="s">
        <v>84</v>
      </c>
      <c r="Y18" t="s">
        <v>479</v>
      </c>
      <c r="Z18" t="s">
        <v>480</v>
      </c>
      <c r="AA18" t="s">
        <v>74</v>
      </c>
      <c r="AB18" t="s">
        <v>481</v>
      </c>
      <c r="AC18" t="s">
        <v>482</v>
      </c>
      <c r="AD18" t="s">
        <v>483</v>
      </c>
      <c r="AE18" t="s">
        <v>484</v>
      </c>
      <c r="AF18" t="s">
        <v>74</v>
      </c>
      <c r="AG18">
        <v>51</v>
      </c>
      <c r="AH18">
        <v>1</v>
      </c>
      <c r="AI18">
        <v>1</v>
      </c>
      <c r="AJ18">
        <v>0</v>
      </c>
      <c r="AK18">
        <v>0</v>
      </c>
      <c r="AL18" t="s">
        <v>485</v>
      </c>
      <c r="AM18" t="s">
        <v>486</v>
      </c>
      <c r="AN18" t="s">
        <v>487</v>
      </c>
      <c r="AO18" t="s">
        <v>74</v>
      </c>
      <c r="AP18" t="s">
        <v>488</v>
      </c>
      <c r="AQ18" t="s">
        <v>74</v>
      </c>
      <c r="AR18" t="s">
        <v>474</v>
      </c>
      <c r="AS18" t="s">
        <v>489</v>
      </c>
      <c r="AT18" t="s">
        <v>124</v>
      </c>
      <c r="AU18">
        <v>2022</v>
      </c>
      <c r="AV18">
        <v>8</v>
      </c>
      <c r="AW18">
        <v>6</v>
      </c>
      <c r="AX18" t="s">
        <v>74</v>
      </c>
      <c r="AY18" t="s">
        <v>74</v>
      </c>
      <c r="AZ18" t="s">
        <v>74</v>
      </c>
      <c r="BA18" t="s">
        <v>74</v>
      </c>
      <c r="BB18" t="s">
        <v>74</v>
      </c>
      <c r="BC18" t="s">
        <v>74</v>
      </c>
      <c r="BD18" t="s">
        <v>490</v>
      </c>
      <c r="BE18" t="s">
        <v>491</v>
      </c>
      <c r="BF18" t="str">
        <f>HYPERLINK("http://dx.doi.org/10.1016/j.heliyon.2022.e09673","http://dx.doi.org/10.1016/j.heliyon.2022.e09673")</f>
        <v>http://dx.doi.org/10.1016/j.heliyon.2022.e09673</v>
      </c>
      <c r="BG18" t="s">
        <v>74</v>
      </c>
      <c r="BH18" t="s">
        <v>492</v>
      </c>
      <c r="BI18">
        <v>9</v>
      </c>
      <c r="BJ18" t="s">
        <v>493</v>
      </c>
      <c r="BK18" t="s">
        <v>101</v>
      </c>
      <c r="BL18" t="s">
        <v>494</v>
      </c>
      <c r="BM18" t="s">
        <v>495</v>
      </c>
      <c r="BN18">
        <v>35711992</v>
      </c>
      <c r="BO18" t="s">
        <v>129</v>
      </c>
      <c r="BP18" t="s">
        <v>74</v>
      </c>
      <c r="BQ18" t="s">
        <v>74</v>
      </c>
      <c r="BR18" t="s">
        <v>104</v>
      </c>
      <c r="BS18" t="s">
        <v>496</v>
      </c>
      <c r="BT18" t="str">
        <f>HYPERLINK("https%3A%2F%2Fwww.webofscience.com%2Fwos%2Fwoscc%2Ffull-record%2FWOS:000836523000021","View Full Record in Web of Science")</f>
        <v>View Full Record in Web of Science</v>
      </c>
    </row>
    <row r="19" spans="1:72" x14ac:dyDescent="0.25">
      <c r="A19" t="s">
        <v>72</v>
      </c>
      <c r="B19" t="s">
        <v>497</v>
      </c>
      <c r="C19" t="s">
        <v>74</v>
      </c>
      <c r="D19" t="s">
        <v>74</v>
      </c>
      <c r="E19" t="s">
        <v>74</v>
      </c>
      <c r="F19" t="s">
        <v>498</v>
      </c>
      <c r="G19" t="s">
        <v>74</v>
      </c>
      <c r="H19" t="s">
        <v>74</v>
      </c>
      <c r="I19" t="s">
        <v>499</v>
      </c>
      <c r="J19" t="s">
        <v>500</v>
      </c>
      <c r="K19" t="s">
        <v>74</v>
      </c>
      <c r="L19" t="s">
        <v>74</v>
      </c>
      <c r="M19" t="s">
        <v>78</v>
      </c>
      <c r="N19" t="s">
        <v>79</v>
      </c>
      <c r="O19" t="s">
        <v>74</v>
      </c>
      <c r="P19" t="s">
        <v>74</v>
      </c>
      <c r="Q19" t="s">
        <v>74</v>
      </c>
      <c r="R19" t="s">
        <v>74</v>
      </c>
      <c r="S19" t="s">
        <v>74</v>
      </c>
      <c r="T19" t="s">
        <v>74</v>
      </c>
      <c r="U19" t="s">
        <v>74</v>
      </c>
      <c r="V19" t="s">
        <v>501</v>
      </c>
      <c r="W19" t="s">
        <v>502</v>
      </c>
      <c r="X19" t="s">
        <v>140</v>
      </c>
      <c r="Y19" t="s">
        <v>503</v>
      </c>
      <c r="Z19" t="s">
        <v>504</v>
      </c>
      <c r="AA19" t="s">
        <v>505</v>
      </c>
      <c r="AB19" t="s">
        <v>506</v>
      </c>
      <c r="AC19" t="s">
        <v>507</v>
      </c>
      <c r="AD19" t="s">
        <v>508</v>
      </c>
      <c r="AE19" t="s">
        <v>509</v>
      </c>
      <c r="AF19" t="s">
        <v>74</v>
      </c>
      <c r="AG19">
        <v>27</v>
      </c>
      <c r="AH19">
        <v>2</v>
      </c>
      <c r="AI19">
        <v>2</v>
      </c>
      <c r="AJ19">
        <v>4</v>
      </c>
      <c r="AK19">
        <v>7</v>
      </c>
      <c r="AL19" t="s">
        <v>510</v>
      </c>
      <c r="AM19" t="s">
        <v>460</v>
      </c>
      <c r="AN19" t="s">
        <v>511</v>
      </c>
      <c r="AO19" t="s">
        <v>512</v>
      </c>
      <c r="AP19" t="s">
        <v>513</v>
      </c>
      <c r="AQ19" t="s">
        <v>74</v>
      </c>
      <c r="AR19" t="s">
        <v>514</v>
      </c>
      <c r="AS19" t="s">
        <v>515</v>
      </c>
      <c r="AT19" t="s">
        <v>516</v>
      </c>
      <c r="AU19">
        <v>2022</v>
      </c>
      <c r="AV19">
        <v>2022</v>
      </c>
      <c r="AW19" t="s">
        <v>74</v>
      </c>
      <c r="AX19" t="s">
        <v>74</v>
      </c>
      <c r="AY19" t="s">
        <v>74</v>
      </c>
      <c r="AZ19" t="s">
        <v>74</v>
      </c>
      <c r="BA19" t="s">
        <v>74</v>
      </c>
      <c r="BB19" t="s">
        <v>74</v>
      </c>
      <c r="BC19" t="s">
        <v>74</v>
      </c>
      <c r="BD19">
        <v>7287487</v>
      </c>
      <c r="BE19" t="s">
        <v>517</v>
      </c>
      <c r="BF19" t="str">
        <f>HYPERLINK("http://dx.doi.org/10.1155/2022/7287487","http://dx.doi.org/10.1155/2022/7287487")</f>
        <v>http://dx.doi.org/10.1155/2022/7287487</v>
      </c>
      <c r="BG19" t="s">
        <v>74</v>
      </c>
      <c r="BH19" t="s">
        <v>74</v>
      </c>
      <c r="BI19">
        <v>7</v>
      </c>
      <c r="BJ19" t="s">
        <v>518</v>
      </c>
      <c r="BK19" t="s">
        <v>180</v>
      </c>
      <c r="BL19" t="s">
        <v>518</v>
      </c>
      <c r="BM19" t="s">
        <v>519</v>
      </c>
      <c r="BN19">
        <v>35265708</v>
      </c>
      <c r="BO19" t="s">
        <v>103</v>
      </c>
      <c r="BP19" t="s">
        <v>74</v>
      </c>
      <c r="BQ19" t="s">
        <v>74</v>
      </c>
      <c r="BR19" t="s">
        <v>104</v>
      </c>
      <c r="BS19" t="s">
        <v>520</v>
      </c>
      <c r="BT19" t="str">
        <f>HYPERLINK("https%3A%2F%2Fwww.webofscience.com%2Fwos%2Fwoscc%2Ffull-record%2FWOS:000778350600001","View Full Record in Web of Science")</f>
        <v>View Full Record in Web of Science</v>
      </c>
    </row>
    <row r="20" spans="1:72" x14ac:dyDescent="0.25">
      <c r="A20" t="s">
        <v>72</v>
      </c>
      <c r="B20" t="s">
        <v>521</v>
      </c>
      <c r="C20" t="s">
        <v>74</v>
      </c>
      <c r="D20" t="s">
        <v>74</v>
      </c>
      <c r="E20" t="s">
        <v>74</v>
      </c>
      <c r="F20" t="s">
        <v>522</v>
      </c>
      <c r="G20" t="s">
        <v>74</v>
      </c>
      <c r="H20" t="s">
        <v>74</v>
      </c>
      <c r="I20" t="s">
        <v>523</v>
      </c>
      <c r="J20" t="s">
        <v>267</v>
      </c>
      <c r="K20" t="s">
        <v>74</v>
      </c>
      <c r="L20" t="s">
        <v>74</v>
      </c>
      <c r="M20" t="s">
        <v>78</v>
      </c>
      <c r="N20" t="s">
        <v>162</v>
      </c>
      <c r="O20" t="s">
        <v>74</v>
      </c>
      <c r="P20" t="s">
        <v>74</v>
      </c>
      <c r="Q20" t="s">
        <v>74</v>
      </c>
      <c r="R20" t="s">
        <v>74</v>
      </c>
      <c r="S20" t="s">
        <v>74</v>
      </c>
      <c r="T20" t="s">
        <v>524</v>
      </c>
      <c r="U20" t="s">
        <v>525</v>
      </c>
      <c r="V20" t="s">
        <v>526</v>
      </c>
      <c r="W20" t="s">
        <v>527</v>
      </c>
      <c r="X20" t="s">
        <v>528</v>
      </c>
      <c r="Y20" t="s">
        <v>529</v>
      </c>
      <c r="Z20" t="s">
        <v>530</v>
      </c>
      <c r="AA20" t="s">
        <v>531</v>
      </c>
      <c r="AB20" t="s">
        <v>532</v>
      </c>
      <c r="AC20" t="s">
        <v>533</v>
      </c>
      <c r="AD20" t="s">
        <v>534</v>
      </c>
      <c r="AE20" t="s">
        <v>535</v>
      </c>
      <c r="AF20" t="s">
        <v>74</v>
      </c>
      <c r="AG20">
        <v>199</v>
      </c>
      <c r="AH20">
        <v>0</v>
      </c>
      <c r="AI20">
        <v>0</v>
      </c>
      <c r="AJ20">
        <v>9</v>
      </c>
      <c r="AK20">
        <v>9</v>
      </c>
      <c r="AL20" t="s">
        <v>92</v>
      </c>
      <c r="AM20" t="s">
        <v>93</v>
      </c>
      <c r="AN20" t="s">
        <v>94</v>
      </c>
      <c r="AO20" t="s">
        <v>74</v>
      </c>
      <c r="AP20" t="s">
        <v>278</v>
      </c>
      <c r="AQ20" t="s">
        <v>74</v>
      </c>
      <c r="AR20" t="s">
        <v>279</v>
      </c>
      <c r="AS20" t="s">
        <v>280</v>
      </c>
      <c r="AT20" t="s">
        <v>231</v>
      </c>
      <c r="AU20">
        <v>2022</v>
      </c>
      <c r="AV20">
        <v>14</v>
      </c>
      <c r="AW20">
        <v>14</v>
      </c>
      <c r="AX20" t="s">
        <v>74</v>
      </c>
      <c r="AY20" t="s">
        <v>74</v>
      </c>
      <c r="AZ20" t="s">
        <v>74</v>
      </c>
      <c r="BA20" t="s">
        <v>74</v>
      </c>
      <c r="BB20" t="s">
        <v>74</v>
      </c>
      <c r="BC20" t="s">
        <v>74</v>
      </c>
      <c r="BD20">
        <v>8588</v>
      </c>
      <c r="BE20" t="s">
        <v>536</v>
      </c>
      <c r="BF20" t="str">
        <f>HYPERLINK("http://dx.doi.org/10.3390/su14148588","http://dx.doi.org/10.3390/su14148588")</f>
        <v>http://dx.doi.org/10.3390/su14148588</v>
      </c>
      <c r="BG20" t="s">
        <v>74</v>
      </c>
      <c r="BH20" t="s">
        <v>74</v>
      </c>
      <c r="BI20">
        <v>26</v>
      </c>
      <c r="BJ20" t="s">
        <v>283</v>
      </c>
      <c r="BK20" t="s">
        <v>284</v>
      </c>
      <c r="BL20" t="s">
        <v>285</v>
      </c>
      <c r="BM20" t="s">
        <v>537</v>
      </c>
      <c r="BN20" t="s">
        <v>74</v>
      </c>
      <c r="BO20" t="s">
        <v>183</v>
      </c>
      <c r="BP20" t="s">
        <v>74</v>
      </c>
      <c r="BQ20" t="s">
        <v>74</v>
      </c>
      <c r="BR20" t="s">
        <v>104</v>
      </c>
      <c r="BS20" t="s">
        <v>538</v>
      </c>
      <c r="BT20" t="str">
        <f>HYPERLINK("https%3A%2F%2Fwww.webofscience.com%2Fwos%2Fwoscc%2Ffull-record%2FWOS:000833234900001","View Full Record in Web of Science")</f>
        <v>View Full Record in Web of Science</v>
      </c>
    </row>
    <row r="21" spans="1:72" x14ac:dyDescent="0.25">
      <c r="A21" t="s">
        <v>72</v>
      </c>
      <c r="B21" t="s">
        <v>539</v>
      </c>
      <c r="C21" t="s">
        <v>74</v>
      </c>
      <c r="D21" t="s">
        <v>74</v>
      </c>
      <c r="E21" t="s">
        <v>74</v>
      </c>
      <c r="F21" t="s">
        <v>540</v>
      </c>
      <c r="G21" t="s">
        <v>74</v>
      </c>
      <c r="H21" t="s">
        <v>74</v>
      </c>
      <c r="I21" t="s">
        <v>541</v>
      </c>
      <c r="J21" t="s">
        <v>315</v>
      </c>
      <c r="K21" t="s">
        <v>74</v>
      </c>
      <c r="L21" t="s">
        <v>74</v>
      </c>
      <c r="M21" t="s">
        <v>78</v>
      </c>
      <c r="N21" t="s">
        <v>79</v>
      </c>
      <c r="O21" t="s">
        <v>74</v>
      </c>
      <c r="P21" t="s">
        <v>74</v>
      </c>
      <c r="Q21" t="s">
        <v>74</v>
      </c>
      <c r="R21" t="s">
        <v>74</v>
      </c>
      <c r="S21" t="s">
        <v>74</v>
      </c>
      <c r="T21" t="s">
        <v>542</v>
      </c>
      <c r="U21" t="s">
        <v>543</v>
      </c>
      <c r="V21" t="s">
        <v>544</v>
      </c>
      <c r="W21" t="s">
        <v>545</v>
      </c>
      <c r="X21" t="s">
        <v>546</v>
      </c>
      <c r="Y21" t="s">
        <v>547</v>
      </c>
      <c r="Z21" t="s">
        <v>548</v>
      </c>
      <c r="AA21" t="s">
        <v>549</v>
      </c>
      <c r="AB21" t="s">
        <v>550</v>
      </c>
      <c r="AC21" t="s">
        <v>551</v>
      </c>
      <c r="AD21" t="s">
        <v>431</v>
      </c>
      <c r="AE21" t="s">
        <v>552</v>
      </c>
      <c r="AF21" t="s">
        <v>74</v>
      </c>
      <c r="AG21">
        <v>59</v>
      </c>
      <c r="AH21">
        <v>1</v>
      </c>
      <c r="AI21">
        <v>1</v>
      </c>
      <c r="AJ21">
        <v>5</v>
      </c>
      <c r="AK21">
        <v>8</v>
      </c>
      <c r="AL21" t="s">
        <v>92</v>
      </c>
      <c r="AM21" t="s">
        <v>93</v>
      </c>
      <c r="AN21" t="s">
        <v>94</v>
      </c>
      <c r="AO21" t="s">
        <v>74</v>
      </c>
      <c r="AP21" t="s">
        <v>328</v>
      </c>
      <c r="AQ21" t="s">
        <v>74</v>
      </c>
      <c r="AR21" t="s">
        <v>329</v>
      </c>
      <c r="AS21" t="s">
        <v>330</v>
      </c>
      <c r="AT21" t="s">
        <v>124</v>
      </c>
      <c r="AU21">
        <v>2022</v>
      </c>
      <c r="AV21">
        <v>22</v>
      </c>
      <c r="AW21">
        <v>11</v>
      </c>
      <c r="AX21" t="s">
        <v>74</v>
      </c>
      <c r="AY21" t="s">
        <v>74</v>
      </c>
      <c r="AZ21" t="s">
        <v>74</v>
      </c>
      <c r="BA21" t="s">
        <v>74</v>
      </c>
      <c r="BB21" t="s">
        <v>74</v>
      </c>
      <c r="BC21" t="s">
        <v>74</v>
      </c>
      <c r="BD21">
        <v>3999</v>
      </c>
      <c r="BE21" t="s">
        <v>553</v>
      </c>
      <c r="BF21" t="str">
        <f>HYPERLINK("http://dx.doi.org/10.3390/s22113999","http://dx.doi.org/10.3390/s22113999")</f>
        <v>http://dx.doi.org/10.3390/s22113999</v>
      </c>
      <c r="BG21" t="s">
        <v>74</v>
      </c>
      <c r="BH21" t="s">
        <v>74</v>
      </c>
      <c r="BI21">
        <v>21</v>
      </c>
      <c r="BJ21" t="s">
        <v>332</v>
      </c>
      <c r="BK21" t="s">
        <v>101</v>
      </c>
      <c r="BL21" t="s">
        <v>333</v>
      </c>
      <c r="BM21" t="s">
        <v>554</v>
      </c>
      <c r="BN21">
        <v>35684618</v>
      </c>
      <c r="BO21" t="s">
        <v>103</v>
      </c>
      <c r="BP21" t="s">
        <v>74</v>
      </c>
      <c r="BQ21" t="s">
        <v>74</v>
      </c>
      <c r="BR21" t="s">
        <v>104</v>
      </c>
      <c r="BS21" t="s">
        <v>555</v>
      </c>
      <c r="BT21" t="str">
        <f>HYPERLINK("https%3A%2F%2Fwww.webofscience.com%2Fwos%2Fwoscc%2Ffull-record%2FWOS:000808950000001","View Full Record in Web of Science")</f>
        <v>View Full Record in Web of Science</v>
      </c>
    </row>
    <row r="22" spans="1:72" x14ac:dyDescent="0.25">
      <c r="A22" t="s">
        <v>72</v>
      </c>
      <c r="B22" t="s">
        <v>556</v>
      </c>
      <c r="C22" t="s">
        <v>74</v>
      </c>
      <c r="D22" t="s">
        <v>74</v>
      </c>
      <c r="E22" t="s">
        <v>74</v>
      </c>
      <c r="F22" t="s">
        <v>557</v>
      </c>
      <c r="G22" t="s">
        <v>74</v>
      </c>
      <c r="H22" t="s">
        <v>74</v>
      </c>
      <c r="I22" t="s">
        <v>558</v>
      </c>
      <c r="J22" t="s">
        <v>559</v>
      </c>
      <c r="K22" t="s">
        <v>74</v>
      </c>
      <c r="L22" t="s">
        <v>74</v>
      </c>
      <c r="M22" t="s">
        <v>78</v>
      </c>
      <c r="N22" t="s">
        <v>79</v>
      </c>
      <c r="O22" t="s">
        <v>74</v>
      </c>
      <c r="P22" t="s">
        <v>74</v>
      </c>
      <c r="Q22" t="s">
        <v>74</v>
      </c>
      <c r="R22" t="s">
        <v>74</v>
      </c>
      <c r="S22" t="s">
        <v>74</v>
      </c>
      <c r="T22" t="s">
        <v>560</v>
      </c>
      <c r="U22" t="s">
        <v>561</v>
      </c>
      <c r="V22" t="s">
        <v>562</v>
      </c>
      <c r="W22" t="s">
        <v>563</v>
      </c>
      <c r="X22" t="s">
        <v>564</v>
      </c>
      <c r="Y22" t="s">
        <v>565</v>
      </c>
      <c r="Z22" t="s">
        <v>566</v>
      </c>
      <c r="AA22" t="s">
        <v>567</v>
      </c>
      <c r="AB22" t="s">
        <v>568</v>
      </c>
      <c r="AC22" t="s">
        <v>569</v>
      </c>
      <c r="AD22" t="s">
        <v>570</v>
      </c>
      <c r="AE22" t="s">
        <v>571</v>
      </c>
      <c r="AF22" t="s">
        <v>74</v>
      </c>
      <c r="AG22">
        <v>38</v>
      </c>
      <c r="AH22">
        <v>1</v>
      </c>
      <c r="AI22">
        <v>1</v>
      </c>
      <c r="AJ22">
        <v>6</v>
      </c>
      <c r="AK22">
        <v>6</v>
      </c>
      <c r="AL22" t="s">
        <v>92</v>
      </c>
      <c r="AM22" t="s">
        <v>93</v>
      </c>
      <c r="AN22" t="s">
        <v>94</v>
      </c>
      <c r="AO22" t="s">
        <v>74</v>
      </c>
      <c r="AP22" t="s">
        <v>572</v>
      </c>
      <c r="AQ22" t="s">
        <v>74</v>
      </c>
      <c r="AR22" t="s">
        <v>559</v>
      </c>
      <c r="AS22" t="s">
        <v>573</v>
      </c>
      <c r="AT22" t="s">
        <v>124</v>
      </c>
      <c r="AU22">
        <v>2022</v>
      </c>
      <c r="AV22">
        <v>2022</v>
      </c>
      <c r="AW22">
        <v>2</v>
      </c>
      <c r="AX22" t="s">
        <v>74</v>
      </c>
      <c r="AY22" t="s">
        <v>74</v>
      </c>
      <c r="AZ22" t="s">
        <v>74</v>
      </c>
      <c r="BA22" t="s">
        <v>74</v>
      </c>
      <c r="BB22" t="s">
        <v>74</v>
      </c>
      <c r="BC22" t="s">
        <v>74</v>
      </c>
      <c r="BD22" t="s">
        <v>574</v>
      </c>
      <c r="BE22" t="s">
        <v>575</v>
      </c>
      <c r="BF22" t="str">
        <f>HYPERLINK("http://dx.doi.org/10.3390/M1387","http://dx.doi.org/10.3390/M1387")</f>
        <v>http://dx.doi.org/10.3390/M1387</v>
      </c>
      <c r="BG22" t="s">
        <v>74</v>
      </c>
      <c r="BH22" t="s">
        <v>74</v>
      </c>
      <c r="BI22">
        <v>10</v>
      </c>
      <c r="BJ22" t="s">
        <v>576</v>
      </c>
      <c r="BK22" t="s">
        <v>180</v>
      </c>
      <c r="BL22" t="s">
        <v>206</v>
      </c>
      <c r="BM22" t="s">
        <v>577</v>
      </c>
      <c r="BN22" t="s">
        <v>74</v>
      </c>
      <c r="BO22" t="s">
        <v>183</v>
      </c>
      <c r="BP22" t="s">
        <v>74</v>
      </c>
      <c r="BQ22" t="s">
        <v>74</v>
      </c>
      <c r="BR22" t="s">
        <v>104</v>
      </c>
      <c r="BS22" t="s">
        <v>578</v>
      </c>
      <c r="BT22" t="str">
        <f>HYPERLINK("https%3A%2F%2Fwww.webofscience.com%2Fwos%2Fwoscc%2Ffull-record%2FWOS:000818434400001","View Full Record in Web of Science")</f>
        <v>View Full Record in Web of Science</v>
      </c>
    </row>
    <row r="23" spans="1:72" x14ac:dyDescent="0.25">
      <c r="A23" t="s">
        <v>72</v>
      </c>
      <c r="B23" t="s">
        <v>579</v>
      </c>
      <c r="C23" t="s">
        <v>74</v>
      </c>
      <c r="D23" t="s">
        <v>74</v>
      </c>
      <c r="E23" t="s">
        <v>74</v>
      </c>
      <c r="F23" t="s">
        <v>580</v>
      </c>
      <c r="G23" t="s">
        <v>74</v>
      </c>
      <c r="H23" t="s">
        <v>74</v>
      </c>
      <c r="I23" t="s">
        <v>581</v>
      </c>
      <c r="J23" t="s">
        <v>582</v>
      </c>
      <c r="K23" t="s">
        <v>74</v>
      </c>
      <c r="L23" t="s">
        <v>74</v>
      </c>
      <c r="M23" t="s">
        <v>78</v>
      </c>
      <c r="N23" t="s">
        <v>79</v>
      </c>
      <c r="O23" t="s">
        <v>74</v>
      </c>
      <c r="P23" t="s">
        <v>74</v>
      </c>
      <c r="Q23" t="s">
        <v>74</v>
      </c>
      <c r="R23" t="s">
        <v>74</v>
      </c>
      <c r="S23" t="s">
        <v>74</v>
      </c>
      <c r="T23" t="s">
        <v>583</v>
      </c>
      <c r="U23" t="s">
        <v>584</v>
      </c>
      <c r="V23" t="s">
        <v>585</v>
      </c>
      <c r="W23" t="s">
        <v>586</v>
      </c>
      <c r="X23" t="s">
        <v>564</v>
      </c>
      <c r="Y23" t="s">
        <v>587</v>
      </c>
      <c r="Z23" t="s">
        <v>588</v>
      </c>
      <c r="AA23" t="s">
        <v>589</v>
      </c>
      <c r="AB23" t="s">
        <v>590</v>
      </c>
      <c r="AC23" t="s">
        <v>591</v>
      </c>
      <c r="AD23" t="s">
        <v>592</v>
      </c>
      <c r="AE23" t="s">
        <v>593</v>
      </c>
      <c r="AF23" t="s">
        <v>74</v>
      </c>
      <c r="AG23">
        <v>60</v>
      </c>
      <c r="AH23">
        <v>1</v>
      </c>
      <c r="AI23">
        <v>1</v>
      </c>
      <c r="AJ23">
        <v>6</v>
      </c>
      <c r="AK23">
        <v>6</v>
      </c>
      <c r="AL23" t="s">
        <v>251</v>
      </c>
      <c r="AM23" t="s">
        <v>252</v>
      </c>
      <c r="AN23" t="s">
        <v>253</v>
      </c>
      <c r="AO23" t="s">
        <v>594</v>
      </c>
      <c r="AP23" t="s">
        <v>595</v>
      </c>
      <c r="AQ23" t="s">
        <v>74</v>
      </c>
      <c r="AR23" t="s">
        <v>596</v>
      </c>
      <c r="AS23" t="s">
        <v>597</v>
      </c>
      <c r="AT23" t="s">
        <v>598</v>
      </c>
      <c r="AU23">
        <v>2022</v>
      </c>
      <c r="AV23">
        <v>1268</v>
      </c>
      <c r="AW23" t="s">
        <v>74</v>
      </c>
      <c r="AX23" t="s">
        <v>74</v>
      </c>
      <c r="AY23" t="s">
        <v>74</v>
      </c>
      <c r="AZ23" t="s">
        <v>74</v>
      </c>
      <c r="BA23" t="s">
        <v>74</v>
      </c>
      <c r="BB23" t="s">
        <v>74</v>
      </c>
      <c r="BC23" t="s">
        <v>74</v>
      </c>
      <c r="BD23">
        <v>133713</v>
      </c>
      <c r="BE23" t="s">
        <v>599</v>
      </c>
      <c r="BF23" t="str">
        <f>HYPERLINK("http://dx.doi.org/10.1016/j.molstruc.2022.133713","http://dx.doi.org/10.1016/j.molstruc.2022.133713")</f>
        <v>http://dx.doi.org/10.1016/j.molstruc.2022.133713</v>
      </c>
      <c r="BG23" t="s">
        <v>74</v>
      </c>
      <c r="BH23" t="s">
        <v>440</v>
      </c>
      <c r="BI23">
        <v>11</v>
      </c>
      <c r="BJ23" t="s">
        <v>600</v>
      </c>
      <c r="BK23" t="s">
        <v>101</v>
      </c>
      <c r="BL23" t="s">
        <v>206</v>
      </c>
      <c r="BM23" t="s">
        <v>601</v>
      </c>
      <c r="BN23" t="s">
        <v>74</v>
      </c>
      <c r="BO23" t="s">
        <v>74</v>
      </c>
      <c r="BP23" t="s">
        <v>74</v>
      </c>
      <c r="BQ23" t="s">
        <v>74</v>
      </c>
      <c r="BR23" t="s">
        <v>104</v>
      </c>
      <c r="BS23" t="s">
        <v>602</v>
      </c>
      <c r="BT23" t="str">
        <f>HYPERLINK("https%3A%2F%2Fwww.webofscience.com%2Fwos%2Fwoscc%2Ffull-record%2FWOS:000831707400002","View Full Record in Web of Science")</f>
        <v>View Full Record in Web of Science</v>
      </c>
    </row>
    <row r="24" spans="1:72" x14ac:dyDescent="0.25">
      <c r="A24" t="s">
        <v>72</v>
      </c>
      <c r="B24" t="s">
        <v>158</v>
      </c>
      <c r="C24" t="s">
        <v>74</v>
      </c>
      <c r="D24" t="s">
        <v>74</v>
      </c>
      <c r="E24" t="s">
        <v>74</v>
      </c>
      <c r="F24" t="s">
        <v>159</v>
      </c>
      <c r="G24" t="s">
        <v>74</v>
      </c>
      <c r="H24" t="s">
        <v>74</v>
      </c>
      <c r="I24" t="s">
        <v>603</v>
      </c>
      <c r="J24" t="s">
        <v>604</v>
      </c>
      <c r="K24" t="s">
        <v>74</v>
      </c>
      <c r="L24" t="s">
        <v>74</v>
      </c>
      <c r="M24" t="s">
        <v>78</v>
      </c>
      <c r="N24" t="s">
        <v>79</v>
      </c>
      <c r="O24" t="s">
        <v>74</v>
      </c>
      <c r="P24" t="s">
        <v>74</v>
      </c>
      <c r="Q24" t="s">
        <v>74</v>
      </c>
      <c r="R24" t="s">
        <v>74</v>
      </c>
      <c r="S24" t="s">
        <v>74</v>
      </c>
      <c r="T24" t="s">
        <v>605</v>
      </c>
      <c r="U24" t="s">
        <v>606</v>
      </c>
      <c r="V24" t="s">
        <v>607</v>
      </c>
      <c r="W24" t="s">
        <v>608</v>
      </c>
      <c r="X24" t="s">
        <v>84</v>
      </c>
      <c r="Y24" t="s">
        <v>609</v>
      </c>
      <c r="Z24" t="s">
        <v>168</v>
      </c>
      <c r="AA24" t="s">
        <v>74</v>
      </c>
      <c r="AB24" t="s">
        <v>610</v>
      </c>
      <c r="AC24" t="s">
        <v>611</v>
      </c>
      <c r="AD24" t="s">
        <v>611</v>
      </c>
      <c r="AE24" t="s">
        <v>612</v>
      </c>
      <c r="AF24" t="s">
        <v>74</v>
      </c>
      <c r="AG24">
        <v>49</v>
      </c>
      <c r="AH24">
        <v>0</v>
      </c>
      <c r="AI24">
        <v>0</v>
      </c>
      <c r="AJ24">
        <v>5</v>
      </c>
      <c r="AK24">
        <v>10</v>
      </c>
      <c r="AL24" t="s">
        <v>613</v>
      </c>
      <c r="AM24" t="s">
        <v>614</v>
      </c>
      <c r="AN24" t="s">
        <v>615</v>
      </c>
      <c r="AO24" t="s">
        <v>616</v>
      </c>
      <c r="AP24" t="s">
        <v>617</v>
      </c>
      <c r="AQ24" t="s">
        <v>74</v>
      </c>
      <c r="AR24" t="s">
        <v>618</v>
      </c>
      <c r="AS24" t="s">
        <v>619</v>
      </c>
      <c r="AT24" t="s">
        <v>620</v>
      </c>
      <c r="AU24">
        <v>2022</v>
      </c>
      <c r="AV24">
        <v>61</v>
      </c>
      <c r="AW24">
        <v>4</v>
      </c>
      <c r="AX24" t="s">
        <v>74</v>
      </c>
      <c r="AY24" t="s">
        <v>74</v>
      </c>
      <c r="AZ24" t="s">
        <v>74</v>
      </c>
      <c r="BA24" t="s">
        <v>74</v>
      </c>
      <c r="BB24">
        <v>464</v>
      </c>
      <c r="BC24">
        <v>474</v>
      </c>
      <c r="BD24" t="s">
        <v>74</v>
      </c>
      <c r="BE24" t="s">
        <v>621</v>
      </c>
      <c r="BF24" t="str">
        <f>HYPERLINK("http://dx.doi.org/10.1080/00084433.2022.2046902","http://dx.doi.org/10.1080/00084433.2022.2046902")</f>
        <v>http://dx.doi.org/10.1080/00084433.2022.2046902</v>
      </c>
      <c r="BG24" t="s">
        <v>74</v>
      </c>
      <c r="BH24" t="s">
        <v>233</v>
      </c>
      <c r="BI24">
        <v>11</v>
      </c>
      <c r="BJ24" t="s">
        <v>622</v>
      </c>
      <c r="BK24" t="s">
        <v>101</v>
      </c>
      <c r="BL24" t="s">
        <v>622</v>
      </c>
      <c r="BM24" t="s">
        <v>623</v>
      </c>
      <c r="BN24" t="s">
        <v>74</v>
      </c>
      <c r="BO24" t="s">
        <v>74</v>
      </c>
      <c r="BP24" t="s">
        <v>74</v>
      </c>
      <c r="BQ24" t="s">
        <v>74</v>
      </c>
      <c r="BR24" t="s">
        <v>104</v>
      </c>
      <c r="BS24" t="s">
        <v>624</v>
      </c>
      <c r="BT24" t="str">
        <f>HYPERLINK("https%3A%2F%2Fwww.webofscience.com%2Fwos%2Fwoscc%2Ffull-record%2FWOS:000766118600001","View Full Record in Web of Science")</f>
        <v>View Full Record in Web of Science</v>
      </c>
    </row>
    <row r="25" spans="1:72" x14ac:dyDescent="0.25">
      <c r="A25" t="s">
        <v>72</v>
      </c>
      <c r="B25" t="s">
        <v>625</v>
      </c>
      <c r="C25" t="s">
        <v>74</v>
      </c>
      <c r="D25" t="s">
        <v>74</v>
      </c>
      <c r="E25" t="s">
        <v>74</v>
      </c>
      <c r="F25" t="s">
        <v>626</v>
      </c>
      <c r="G25" t="s">
        <v>74</v>
      </c>
      <c r="H25" t="s">
        <v>74</v>
      </c>
      <c r="I25" t="s">
        <v>627</v>
      </c>
      <c r="J25" t="s">
        <v>315</v>
      </c>
      <c r="K25" t="s">
        <v>74</v>
      </c>
      <c r="L25" t="s">
        <v>74</v>
      </c>
      <c r="M25" t="s">
        <v>78</v>
      </c>
      <c r="N25" t="s">
        <v>79</v>
      </c>
      <c r="O25" t="s">
        <v>74</v>
      </c>
      <c r="P25" t="s">
        <v>74</v>
      </c>
      <c r="Q25" t="s">
        <v>74</v>
      </c>
      <c r="R25" t="s">
        <v>74</v>
      </c>
      <c r="S25" t="s">
        <v>74</v>
      </c>
      <c r="T25" t="s">
        <v>628</v>
      </c>
      <c r="U25" t="s">
        <v>74</v>
      </c>
      <c r="V25" t="s">
        <v>629</v>
      </c>
      <c r="W25" t="s">
        <v>630</v>
      </c>
      <c r="X25" t="s">
        <v>631</v>
      </c>
      <c r="Y25" t="s">
        <v>632</v>
      </c>
      <c r="Z25" t="s">
        <v>633</v>
      </c>
      <c r="AA25" t="s">
        <v>634</v>
      </c>
      <c r="AB25" t="s">
        <v>635</v>
      </c>
      <c r="AC25" t="s">
        <v>636</v>
      </c>
      <c r="AD25" t="s">
        <v>431</v>
      </c>
      <c r="AE25" t="s">
        <v>637</v>
      </c>
      <c r="AF25" t="s">
        <v>74</v>
      </c>
      <c r="AG25">
        <v>57</v>
      </c>
      <c r="AH25">
        <v>0</v>
      </c>
      <c r="AI25">
        <v>0</v>
      </c>
      <c r="AJ25">
        <v>3</v>
      </c>
      <c r="AK25">
        <v>3</v>
      </c>
      <c r="AL25" t="s">
        <v>92</v>
      </c>
      <c r="AM25" t="s">
        <v>93</v>
      </c>
      <c r="AN25" t="s">
        <v>94</v>
      </c>
      <c r="AO25" t="s">
        <v>74</v>
      </c>
      <c r="AP25" t="s">
        <v>328</v>
      </c>
      <c r="AQ25" t="s">
        <v>74</v>
      </c>
      <c r="AR25" t="s">
        <v>329</v>
      </c>
      <c r="AS25" t="s">
        <v>330</v>
      </c>
      <c r="AT25" t="s">
        <v>231</v>
      </c>
      <c r="AU25">
        <v>2022</v>
      </c>
      <c r="AV25">
        <v>22</v>
      </c>
      <c r="AW25">
        <v>13</v>
      </c>
      <c r="AX25" t="s">
        <v>74</v>
      </c>
      <c r="AY25" t="s">
        <v>74</v>
      </c>
      <c r="AZ25" t="s">
        <v>74</v>
      </c>
      <c r="BA25" t="s">
        <v>74</v>
      </c>
      <c r="BB25" t="s">
        <v>74</v>
      </c>
      <c r="BC25" t="s">
        <v>74</v>
      </c>
      <c r="BD25">
        <v>4898</v>
      </c>
      <c r="BE25" t="s">
        <v>638</v>
      </c>
      <c r="BF25" t="str">
        <f>HYPERLINK("http://dx.doi.org/10.3390/s22134898","http://dx.doi.org/10.3390/s22134898")</f>
        <v>http://dx.doi.org/10.3390/s22134898</v>
      </c>
      <c r="BG25" t="s">
        <v>74</v>
      </c>
      <c r="BH25" t="s">
        <v>74</v>
      </c>
      <c r="BI25">
        <v>20</v>
      </c>
      <c r="BJ25" t="s">
        <v>332</v>
      </c>
      <c r="BK25" t="s">
        <v>101</v>
      </c>
      <c r="BL25" t="s">
        <v>333</v>
      </c>
      <c r="BM25" t="s">
        <v>639</v>
      </c>
      <c r="BN25">
        <v>35808393</v>
      </c>
      <c r="BO25" t="s">
        <v>103</v>
      </c>
      <c r="BP25" t="s">
        <v>74</v>
      </c>
      <c r="BQ25" t="s">
        <v>74</v>
      </c>
      <c r="BR25" t="s">
        <v>104</v>
      </c>
      <c r="BS25" t="s">
        <v>640</v>
      </c>
      <c r="BT25" t="str">
        <f>HYPERLINK("https%3A%2F%2Fwww.webofscience.com%2Fwos%2Fwoscc%2Ffull-record%2FWOS:000825652500001","View Full Record in Web of Science")</f>
        <v>View Full Record in Web of Science</v>
      </c>
    </row>
    <row r="26" spans="1:72" x14ac:dyDescent="0.25">
      <c r="A26" t="s">
        <v>72</v>
      </c>
      <c r="B26" t="s">
        <v>641</v>
      </c>
      <c r="C26" t="s">
        <v>74</v>
      </c>
      <c r="D26" t="s">
        <v>74</v>
      </c>
      <c r="E26" t="s">
        <v>74</v>
      </c>
      <c r="F26" t="s">
        <v>642</v>
      </c>
      <c r="G26" t="s">
        <v>74</v>
      </c>
      <c r="H26" t="s">
        <v>74</v>
      </c>
      <c r="I26" t="s">
        <v>643</v>
      </c>
      <c r="J26" t="s">
        <v>644</v>
      </c>
      <c r="K26" t="s">
        <v>74</v>
      </c>
      <c r="L26" t="s">
        <v>74</v>
      </c>
      <c r="M26" t="s">
        <v>78</v>
      </c>
      <c r="N26" t="s">
        <v>79</v>
      </c>
      <c r="O26" t="s">
        <v>74</v>
      </c>
      <c r="P26" t="s">
        <v>74</v>
      </c>
      <c r="Q26" t="s">
        <v>74</v>
      </c>
      <c r="R26" t="s">
        <v>74</v>
      </c>
      <c r="S26" t="s">
        <v>74</v>
      </c>
      <c r="T26" t="s">
        <v>645</v>
      </c>
      <c r="U26" t="s">
        <v>646</v>
      </c>
      <c r="V26" t="s">
        <v>647</v>
      </c>
      <c r="W26" t="s">
        <v>648</v>
      </c>
      <c r="X26" t="s">
        <v>140</v>
      </c>
      <c r="Y26" t="s">
        <v>649</v>
      </c>
      <c r="Z26" t="s">
        <v>650</v>
      </c>
      <c r="AA26" t="s">
        <v>74</v>
      </c>
      <c r="AB26" t="s">
        <v>74</v>
      </c>
      <c r="AC26" t="s">
        <v>651</v>
      </c>
      <c r="AD26" t="s">
        <v>652</v>
      </c>
      <c r="AE26" t="s">
        <v>653</v>
      </c>
      <c r="AF26" t="s">
        <v>74</v>
      </c>
      <c r="AG26">
        <v>127</v>
      </c>
      <c r="AH26">
        <v>0</v>
      </c>
      <c r="AI26">
        <v>0</v>
      </c>
      <c r="AJ26">
        <v>4</v>
      </c>
      <c r="AK26">
        <v>4</v>
      </c>
      <c r="AL26" t="s">
        <v>644</v>
      </c>
      <c r="AM26" t="s">
        <v>654</v>
      </c>
      <c r="AN26" t="s">
        <v>655</v>
      </c>
      <c r="AO26" t="s">
        <v>656</v>
      </c>
      <c r="AP26" t="s">
        <v>657</v>
      </c>
      <c r="AQ26" t="s">
        <v>74</v>
      </c>
      <c r="AR26" t="s">
        <v>658</v>
      </c>
      <c r="AS26" t="s">
        <v>659</v>
      </c>
      <c r="AT26" t="s">
        <v>660</v>
      </c>
      <c r="AU26">
        <v>2022</v>
      </c>
      <c r="AV26">
        <v>70</v>
      </c>
      <c r="AW26" t="s">
        <v>74</v>
      </c>
      <c r="AX26" t="s">
        <v>74</v>
      </c>
      <c r="AY26" t="s">
        <v>74</v>
      </c>
      <c r="AZ26" t="s">
        <v>74</v>
      </c>
      <c r="BA26" t="s">
        <v>74</v>
      </c>
      <c r="BB26">
        <v>504</v>
      </c>
      <c r="BC26">
        <v>525</v>
      </c>
      <c r="BD26" t="s">
        <v>74</v>
      </c>
      <c r="BE26" t="s">
        <v>661</v>
      </c>
      <c r="BF26" t="str">
        <f>HYPERLINK("http://dx.doi.org/10.15517/rev.biol.trop.2022.49628","http://dx.doi.org/10.15517/rev.biol.trop.2022.49628")</f>
        <v>http://dx.doi.org/10.15517/rev.biol.trop.2022.49628</v>
      </c>
      <c r="BG26" t="s">
        <v>74</v>
      </c>
      <c r="BH26" t="s">
        <v>74</v>
      </c>
      <c r="BI26">
        <v>22</v>
      </c>
      <c r="BJ26" t="s">
        <v>662</v>
      </c>
      <c r="BK26" t="s">
        <v>101</v>
      </c>
      <c r="BL26" t="s">
        <v>663</v>
      </c>
      <c r="BM26" t="s">
        <v>664</v>
      </c>
      <c r="BN26" t="s">
        <v>74</v>
      </c>
      <c r="BO26" t="s">
        <v>74</v>
      </c>
      <c r="BP26" t="s">
        <v>74</v>
      </c>
      <c r="BQ26" t="s">
        <v>74</v>
      </c>
      <c r="BR26" t="s">
        <v>104</v>
      </c>
      <c r="BS26" t="s">
        <v>665</v>
      </c>
      <c r="BT26" t="str">
        <f>HYPERLINK("https%3A%2F%2Fwww.webofscience.com%2Fwos%2Fwoscc%2Ffull-record%2FWOS:000839530900001","View Full Record in Web of Science")</f>
        <v>View Full Record in Web of Science</v>
      </c>
    </row>
    <row r="27" spans="1:72" x14ac:dyDescent="0.25">
      <c r="A27" t="s">
        <v>72</v>
      </c>
      <c r="B27" t="s">
        <v>666</v>
      </c>
      <c r="C27" t="s">
        <v>74</v>
      </c>
      <c r="D27" t="s">
        <v>74</v>
      </c>
      <c r="E27" t="s">
        <v>74</v>
      </c>
      <c r="F27" t="s">
        <v>667</v>
      </c>
      <c r="G27" t="s">
        <v>74</v>
      </c>
      <c r="H27" t="s">
        <v>74</v>
      </c>
      <c r="I27" t="s">
        <v>668</v>
      </c>
      <c r="J27" t="s">
        <v>669</v>
      </c>
      <c r="K27" t="s">
        <v>74</v>
      </c>
      <c r="L27" t="s">
        <v>74</v>
      </c>
      <c r="M27" t="s">
        <v>78</v>
      </c>
      <c r="N27" t="s">
        <v>162</v>
      </c>
      <c r="O27" t="s">
        <v>74</v>
      </c>
      <c r="P27" t="s">
        <v>74</v>
      </c>
      <c r="Q27" t="s">
        <v>74</v>
      </c>
      <c r="R27" t="s">
        <v>74</v>
      </c>
      <c r="S27" t="s">
        <v>74</v>
      </c>
      <c r="T27" t="s">
        <v>670</v>
      </c>
      <c r="U27" t="s">
        <v>671</v>
      </c>
      <c r="V27" t="s">
        <v>672</v>
      </c>
      <c r="W27" t="s">
        <v>673</v>
      </c>
      <c r="X27" t="s">
        <v>674</v>
      </c>
      <c r="Y27" t="s">
        <v>675</v>
      </c>
      <c r="Z27" t="s">
        <v>676</v>
      </c>
      <c r="AA27" t="s">
        <v>677</v>
      </c>
      <c r="AB27" t="s">
        <v>678</v>
      </c>
      <c r="AC27" t="s">
        <v>679</v>
      </c>
      <c r="AD27" t="s">
        <v>680</v>
      </c>
      <c r="AE27" t="s">
        <v>681</v>
      </c>
      <c r="AF27" t="s">
        <v>74</v>
      </c>
      <c r="AG27">
        <v>169</v>
      </c>
      <c r="AH27">
        <v>4</v>
      </c>
      <c r="AI27">
        <v>4</v>
      </c>
      <c r="AJ27">
        <v>4</v>
      </c>
      <c r="AK27">
        <v>4</v>
      </c>
      <c r="AL27" t="s">
        <v>92</v>
      </c>
      <c r="AM27" t="s">
        <v>93</v>
      </c>
      <c r="AN27" t="s">
        <v>94</v>
      </c>
      <c r="AO27" t="s">
        <v>74</v>
      </c>
      <c r="AP27" t="s">
        <v>682</v>
      </c>
      <c r="AQ27" t="s">
        <v>74</v>
      </c>
      <c r="AR27" t="s">
        <v>669</v>
      </c>
      <c r="AS27" t="s">
        <v>683</v>
      </c>
      <c r="AT27" t="s">
        <v>400</v>
      </c>
      <c r="AU27">
        <v>2022</v>
      </c>
      <c r="AV27">
        <v>27</v>
      </c>
      <c r="AW27">
        <v>15</v>
      </c>
      <c r="AX27" t="s">
        <v>74</v>
      </c>
      <c r="AY27" t="s">
        <v>74</v>
      </c>
      <c r="AZ27" t="s">
        <v>74</v>
      </c>
      <c r="BA27" t="s">
        <v>74</v>
      </c>
      <c r="BB27" t="s">
        <v>74</v>
      </c>
      <c r="BC27" t="s">
        <v>74</v>
      </c>
      <c r="BD27">
        <v>4723</v>
      </c>
      <c r="BE27" t="s">
        <v>684</v>
      </c>
      <c r="BF27" t="str">
        <f>HYPERLINK("http://dx.doi.org/10.3390/molecules27154723","http://dx.doi.org/10.3390/molecules27154723")</f>
        <v>http://dx.doi.org/10.3390/molecules27154723</v>
      </c>
      <c r="BG27" t="s">
        <v>74</v>
      </c>
      <c r="BH27" t="s">
        <v>74</v>
      </c>
      <c r="BI27">
        <v>82</v>
      </c>
      <c r="BJ27" t="s">
        <v>685</v>
      </c>
      <c r="BK27" t="s">
        <v>101</v>
      </c>
      <c r="BL27" t="s">
        <v>686</v>
      </c>
      <c r="BM27" t="s">
        <v>687</v>
      </c>
      <c r="BN27">
        <v>35897899</v>
      </c>
      <c r="BO27" t="s">
        <v>688</v>
      </c>
      <c r="BP27" t="s">
        <v>74</v>
      </c>
      <c r="BQ27" t="s">
        <v>74</v>
      </c>
      <c r="BR27" t="s">
        <v>104</v>
      </c>
      <c r="BS27" t="s">
        <v>689</v>
      </c>
      <c r="BT27" t="str">
        <f>HYPERLINK("https%3A%2F%2Fwww.webofscience.com%2Fwos%2Fwoscc%2Ffull-record%2FWOS:000839778900001","View Full Record in Web of Science")</f>
        <v>View Full Record in Web of Science</v>
      </c>
    </row>
    <row r="28" spans="1:72" x14ac:dyDescent="0.25">
      <c r="A28" t="s">
        <v>72</v>
      </c>
      <c r="B28" t="s">
        <v>690</v>
      </c>
      <c r="C28" t="s">
        <v>74</v>
      </c>
      <c r="D28" t="s">
        <v>74</v>
      </c>
      <c r="E28" t="s">
        <v>74</v>
      </c>
      <c r="F28" t="s">
        <v>691</v>
      </c>
      <c r="G28" t="s">
        <v>74</v>
      </c>
      <c r="H28" t="s">
        <v>74</v>
      </c>
      <c r="I28" t="s">
        <v>692</v>
      </c>
      <c r="J28" t="s">
        <v>693</v>
      </c>
      <c r="K28" t="s">
        <v>74</v>
      </c>
      <c r="L28" t="s">
        <v>74</v>
      </c>
      <c r="M28" t="s">
        <v>78</v>
      </c>
      <c r="N28" t="s">
        <v>79</v>
      </c>
      <c r="O28" t="s">
        <v>74</v>
      </c>
      <c r="P28" t="s">
        <v>74</v>
      </c>
      <c r="Q28" t="s">
        <v>74</v>
      </c>
      <c r="R28" t="s">
        <v>74</v>
      </c>
      <c r="S28" t="s">
        <v>74</v>
      </c>
      <c r="T28" t="s">
        <v>74</v>
      </c>
      <c r="U28" t="s">
        <v>694</v>
      </c>
      <c r="V28" t="s">
        <v>695</v>
      </c>
      <c r="W28" t="s">
        <v>696</v>
      </c>
      <c r="X28" t="s">
        <v>697</v>
      </c>
      <c r="Y28" t="s">
        <v>698</v>
      </c>
      <c r="Z28" t="s">
        <v>699</v>
      </c>
      <c r="AA28" t="s">
        <v>700</v>
      </c>
      <c r="AB28" t="s">
        <v>701</v>
      </c>
      <c r="AC28" t="s">
        <v>702</v>
      </c>
      <c r="AD28" t="s">
        <v>703</v>
      </c>
      <c r="AE28" t="s">
        <v>704</v>
      </c>
      <c r="AF28" t="s">
        <v>74</v>
      </c>
      <c r="AG28">
        <v>61</v>
      </c>
      <c r="AH28">
        <v>0</v>
      </c>
      <c r="AI28">
        <v>0</v>
      </c>
      <c r="AJ28">
        <v>0</v>
      </c>
      <c r="AK28">
        <v>4</v>
      </c>
      <c r="AL28" t="s">
        <v>225</v>
      </c>
      <c r="AM28" t="s">
        <v>226</v>
      </c>
      <c r="AN28" t="s">
        <v>227</v>
      </c>
      <c r="AO28" t="s">
        <v>705</v>
      </c>
      <c r="AP28" t="s">
        <v>74</v>
      </c>
      <c r="AQ28" t="s">
        <v>74</v>
      </c>
      <c r="AR28" t="s">
        <v>706</v>
      </c>
      <c r="AS28" t="s">
        <v>707</v>
      </c>
      <c r="AT28" t="s">
        <v>708</v>
      </c>
      <c r="AU28">
        <v>2022</v>
      </c>
      <c r="AV28">
        <v>137</v>
      </c>
      <c r="AW28">
        <v>5</v>
      </c>
      <c r="AX28" t="s">
        <v>74</v>
      </c>
      <c r="AY28" t="s">
        <v>74</v>
      </c>
      <c r="AZ28" t="s">
        <v>74</v>
      </c>
      <c r="BA28" t="s">
        <v>74</v>
      </c>
      <c r="BB28" t="s">
        <v>74</v>
      </c>
      <c r="BC28" t="s">
        <v>74</v>
      </c>
      <c r="BD28">
        <v>553</v>
      </c>
      <c r="BE28" t="s">
        <v>709</v>
      </c>
      <c r="BF28" t="str">
        <f>HYPERLINK("http://dx.doi.org/10.1140/epjp/s13360-022-02732-5","http://dx.doi.org/10.1140/epjp/s13360-022-02732-5")</f>
        <v>http://dx.doi.org/10.1140/epjp/s13360-022-02732-5</v>
      </c>
      <c r="BG28" t="s">
        <v>74</v>
      </c>
      <c r="BH28" t="s">
        <v>74</v>
      </c>
      <c r="BI28">
        <v>8</v>
      </c>
      <c r="BJ28" t="s">
        <v>710</v>
      </c>
      <c r="BK28" t="s">
        <v>101</v>
      </c>
      <c r="BL28" t="s">
        <v>711</v>
      </c>
      <c r="BM28" t="s">
        <v>712</v>
      </c>
      <c r="BN28" t="s">
        <v>74</v>
      </c>
      <c r="BO28" t="s">
        <v>74</v>
      </c>
      <c r="BP28" t="s">
        <v>74</v>
      </c>
      <c r="BQ28" t="s">
        <v>74</v>
      </c>
      <c r="BR28" t="s">
        <v>104</v>
      </c>
      <c r="BS28" t="s">
        <v>713</v>
      </c>
      <c r="BT28" t="str">
        <f>HYPERLINK("https%3A%2F%2Fwww.webofscience.com%2Fwos%2Fwoscc%2Ffull-record%2FWOS:000791376200002","View Full Record in Web of Science")</f>
        <v>View Full Record in Web of Science</v>
      </c>
    </row>
    <row r="29" spans="1:72" x14ac:dyDescent="0.25">
      <c r="A29" t="s">
        <v>72</v>
      </c>
      <c r="B29" t="s">
        <v>714</v>
      </c>
      <c r="C29" t="s">
        <v>74</v>
      </c>
      <c r="D29" t="s">
        <v>74</v>
      </c>
      <c r="E29" t="s">
        <v>74</v>
      </c>
      <c r="F29" t="s">
        <v>715</v>
      </c>
      <c r="G29" t="s">
        <v>74</v>
      </c>
      <c r="H29" t="s">
        <v>74</v>
      </c>
      <c r="I29" t="s">
        <v>716</v>
      </c>
      <c r="J29" t="s">
        <v>717</v>
      </c>
      <c r="K29" t="s">
        <v>74</v>
      </c>
      <c r="L29" t="s">
        <v>74</v>
      </c>
      <c r="M29" t="s">
        <v>78</v>
      </c>
      <c r="N29" t="s">
        <v>135</v>
      </c>
      <c r="O29" t="s">
        <v>74</v>
      </c>
      <c r="P29" t="s">
        <v>74</v>
      </c>
      <c r="Q29" t="s">
        <v>74</v>
      </c>
      <c r="R29" t="s">
        <v>74</v>
      </c>
      <c r="S29" t="s">
        <v>74</v>
      </c>
      <c r="T29" t="s">
        <v>718</v>
      </c>
      <c r="U29" t="s">
        <v>719</v>
      </c>
      <c r="V29" t="s">
        <v>720</v>
      </c>
      <c r="W29" t="s">
        <v>721</v>
      </c>
      <c r="X29" t="s">
        <v>722</v>
      </c>
      <c r="Y29" t="s">
        <v>723</v>
      </c>
      <c r="Z29" t="s">
        <v>724</v>
      </c>
      <c r="AA29" t="s">
        <v>74</v>
      </c>
      <c r="AB29" t="s">
        <v>74</v>
      </c>
      <c r="AC29" t="s">
        <v>725</v>
      </c>
      <c r="AD29" t="s">
        <v>726</v>
      </c>
      <c r="AE29" t="s">
        <v>727</v>
      </c>
      <c r="AF29" t="s">
        <v>74</v>
      </c>
      <c r="AG29">
        <v>55</v>
      </c>
      <c r="AH29">
        <v>0</v>
      </c>
      <c r="AI29">
        <v>0</v>
      </c>
      <c r="AJ29">
        <v>0</v>
      </c>
      <c r="AK29">
        <v>0</v>
      </c>
      <c r="AL29" t="s">
        <v>225</v>
      </c>
      <c r="AM29" t="s">
        <v>226</v>
      </c>
      <c r="AN29" t="s">
        <v>227</v>
      </c>
      <c r="AO29" t="s">
        <v>728</v>
      </c>
      <c r="AP29" t="s">
        <v>729</v>
      </c>
      <c r="AQ29" t="s">
        <v>74</v>
      </c>
      <c r="AR29" t="s">
        <v>730</v>
      </c>
      <c r="AS29" t="s">
        <v>731</v>
      </c>
      <c r="AT29" t="s">
        <v>74</v>
      </c>
      <c r="AU29" t="s">
        <v>74</v>
      </c>
      <c r="AV29" t="s">
        <v>74</v>
      </c>
      <c r="AW29" t="s">
        <v>74</v>
      </c>
      <c r="AX29" t="s">
        <v>74</v>
      </c>
      <c r="AY29" t="s">
        <v>74</v>
      </c>
      <c r="AZ29" t="s">
        <v>74</v>
      </c>
      <c r="BA29" t="s">
        <v>74</v>
      </c>
      <c r="BB29" t="s">
        <v>74</v>
      </c>
      <c r="BC29" t="s">
        <v>74</v>
      </c>
      <c r="BD29" t="s">
        <v>74</v>
      </c>
      <c r="BE29" t="s">
        <v>732</v>
      </c>
      <c r="BF29" t="str">
        <f>HYPERLINK("http://dx.doi.org/10.1007/s40065-022-00410-z","http://dx.doi.org/10.1007/s40065-022-00410-z")</f>
        <v>http://dx.doi.org/10.1007/s40065-022-00410-z</v>
      </c>
      <c r="BG29" t="s">
        <v>74</v>
      </c>
      <c r="BH29" t="s">
        <v>153</v>
      </c>
      <c r="BI29">
        <v>17</v>
      </c>
      <c r="BJ29" t="s">
        <v>733</v>
      </c>
      <c r="BK29" t="s">
        <v>180</v>
      </c>
      <c r="BL29" t="s">
        <v>733</v>
      </c>
      <c r="BM29" t="s">
        <v>734</v>
      </c>
      <c r="BN29" t="s">
        <v>74</v>
      </c>
      <c r="BO29" t="s">
        <v>735</v>
      </c>
      <c r="BP29" t="s">
        <v>74</v>
      </c>
      <c r="BQ29" t="s">
        <v>74</v>
      </c>
      <c r="BR29" t="s">
        <v>104</v>
      </c>
      <c r="BS29" t="s">
        <v>736</v>
      </c>
      <c r="BT29" t="str">
        <f>HYPERLINK("https%3A%2F%2Fwww.webofscience.com%2Fwos%2Fwoscc%2Ffull-record%2FWOS:000896479600001","View Full Record in Web of Science")</f>
        <v>View Full Record in Web of Science</v>
      </c>
    </row>
    <row r="30" spans="1:72" x14ac:dyDescent="0.25">
      <c r="A30" t="s">
        <v>72</v>
      </c>
      <c r="B30" t="s">
        <v>737</v>
      </c>
      <c r="C30" t="s">
        <v>74</v>
      </c>
      <c r="D30" t="s">
        <v>74</v>
      </c>
      <c r="E30" t="s">
        <v>74</v>
      </c>
      <c r="F30" t="s">
        <v>738</v>
      </c>
      <c r="G30" t="s">
        <v>74</v>
      </c>
      <c r="H30" t="s">
        <v>74</v>
      </c>
      <c r="I30" t="s">
        <v>739</v>
      </c>
      <c r="J30" t="s">
        <v>315</v>
      </c>
      <c r="K30" t="s">
        <v>74</v>
      </c>
      <c r="L30" t="s">
        <v>74</v>
      </c>
      <c r="M30" t="s">
        <v>78</v>
      </c>
      <c r="N30" t="s">
        <v>79</v>
      </c>
      <c r="O30" t="s">
        <v>74</v>
      </c>
      <c r="P30" t="s">
        <v>74</v>
      </c>
      <c r="Q30" t="s">
        <v>74</v>
      </c>
      <c r="R30" t="s">
        <v>74</v>
      </c>
      <c r="S30" t="s">
        <v>74</v>
      </c>
      <c r="T30" t="s">
        <v>740</v>
      </c>
      <c r="U30" t="s">
        <v>741</v>
      </c>
      <c r="V30" t="s">
        <v>742</v>
      </c>
      <c r="W30" t="s">
        <v>743</v>
      </c>
      <c r="X30" t="s">
        <v>744</v>
      </c>
      <c r="Y30" t="s">
        <v>745</v>
      </c>
      <c r="Z30" t="s">
        <v>746</v>
      </c>
      <c r="AA30" t="s">
        <v>747</v>
      </c>
      <c r="AB30" t="s">
        <v>748</v>
      </c>
      <c r="AC30" t="s">
        <v>749</v>
      </c>
      <c r="AD30" t="s">
        <v>750</v>
      </c>
      <c r="AE30" t="s">
        <v>751</v>
      </c>
      <c r="AF30" t="s">
        <v>74</v>
      </c>
      <c r="AG30">
        <v>64</v>
      </c>
      <c r="AH30">
        <v>3</v>
      </c>
      <c r="AI30">
        <v>3</v>
      </c>
      <c r="AJ30">
        <v>3</v>
      </c>
      <c r="AK30">
        <v>10</v>
      </c>
      <c r="AL30" t="s">
        <v>92</v>
      </c>
      <c r="AM30" t="s">
        <v>93</v>
      </c>
      <c r="AN30" t="s">
        <v>94</v>
      </c>
      <c r="AO30" t="s">
        <v>74</v>
      </c>
      <c r="AP30" t="s">
        <v>328</v>
      </c>
      <c r="AQ30" t="s">
        <v>74</v>
      </c>
      <c r="AR30" t="s">
        <v>329</v>
      </c>
      <c r="AS30" t="s">
        <v>330</v>
      </c>
      <c r="AT30" t="s">
        <v>752</v>
      </c>
      <c r="AU30">
        <v>2022</v>
      </c>
      <c r="AV30">
        <v>22</v>
      </c>
      <c r="AW30">
        <v>4</v>
      </c>
      <c r="AX30" t="s">
        <v>74</v>
      </c>
      <c r="AY30" t="s">
        <v>74</v>
      </c>
      <c r="AZ30" t="s">
        <v>74</v>
      </c>
      <c r="BA30" t="s">
        <v>74</v>
      </c>
      <c r="BB30" t="s">
        <v>74</v>
      </c>
      <c r="BC30" t="s">
        <v>74</v>
      </c>
      <c r="BD30">
        <v>1484</v>
      </c>
      <c r="BE30" t="s">
        <v>753</v>
      </c>
      <c r="BF30" t="str">
        <f>HYPERLINK("http://dx.doi.org/10.3390/s22041484","http://dx.doi.org/10.3390/s22041484")</f>
        <v>http://dx.doi.org/10.3390/s22041484</v>
      </c>
      <c r="BG30" t="s">
        <v>74</v>
      </c>
      <c r="BH30" t="s">
        <v>74</v>
      </c>
      <c r="BI30">
        <v>33</v>
      </c>
      <c r="BJ30" t="s">
        <v>332</v>
      </c>
      <c r="BK30" t="s">
        <v>101</v>
      </c>
      <c r="BL30" t="s">
        <v>333</v>
      </c>
      <c r="BM30" t="s">
        <v>754</v>
      </c>
      <c r="BN30">
        <v>35214386</v>
      </c>
      <c r="BO30" t="s">
        <v>129</v>
      </c>
      <c r="BP30" t="s">
        <v>74</v>
      </c>
      <c r="BQ30" t="s">
        <v>74</v>
      </c>
      <c r="BR30" t="s">
        <v>104</v>
      </c>
      <c r="BS30" t="s">
        <v>755</v>
      </c>
      <c r="BT30" t="str">
        <f>HYPERLINK("https%3A%2F%2Fwww.webofscience.com%2Fwos%2Fwoscc%2Ffull-record%2FWOS:000771467600001","View Full Record in Web of Science")</f>
        <v>View Full Record in Web of Science</v>
      </c>
    </row>
    <row r="31" spans="1:72" x14ac:dyDescent="0.25">
      <c r="A31" t="s">
        <v>72</v>
      </c>
      <c r="B31" t="s">
        <v>756</v>
      </c>
      <c r="C31" t="s">
        <v>74</v>
      </c>
      <c r="D31" t="s">
        <v>74</v>
      </c>
      <c r="E31" t="s">
        <v>74</v>
      </c>
      <c r="F31" t="s">
        <v>757</v>
      </c>
      <c r="G31" t="s">
        <v>74</v>
      </c>
      <c r="H31" t="s">
        <v>74</v>
      </c>
      <c r="I31" t="s">
        <v>758</v>
      </c>
      <c r="J31" t="s">
        <v>759</v>
      </c>
      <c r="K31" t="s">
        <v>74</v>
      </c>
      <c r="L31" t="s">
        <v>74</v>
      </c>
      <c r="M31" t="s">
        <v>78</v>
      </c>
      <c r="N31" t="s">
        <v>79</v>
      </c>
      <c r="O31" t="s">
        <v>74</v>
      </c>
      <c r="P31" t="s">
        <v>74</v>
      </c>
      <c r="Q31" t="s">
        <v>74</v>
      </c>
      <c r="R31" t="s">
        <v>74</v>
      </c>
      <c r="S31" t="s">
        <v>74</v>
      </c>
      <c r="T31" t="s">
        <v>760</v>
      </c>
      <c r="U31" t="s">
        <v>761</v>
      </c>
      <c r="V31" t="s">
        <v>762</v>
      </c>
      <c r="W31" t="s">
        <v>763</v>
      </c>
      <c r="X31" t="s">
        <v>764</v>
      </c>
      <c r="Y31" t="s">
        <v>765</v>
      </c>
      <c r="Z31" t="s">
        <v>766</v>
      </c>
      <c r="AA31" t="s">
        <v>767</v>
      </c>
      <c r="AB31" t="s">
        <v>768</v>
      </c>
      <c r="AC31" t="s">
        <v>769</v>
      </c>
      <c r="AD31" t="s">
        <v>770</v>
      </c>
      <c r="AE31" t="s">
        <v>771</v>
      </c>
      <c r="AF31" t="s">
        <v>74</v>
      </c>
      <c r="AG31">
        <v>76</v>
      </c>
      <c r="AH31">
        <v>0</v>
      </c>
      <c r="AI31">
        <v>0</v>
      </c>
      <c r="AJ31">
        <v>7</v>
      </c>
      <c r="AK31">
        <v>15</v>
      </c>
      <c r="AL31" t="s">
        <v>772</v>
      </c>
      <c r="AM31" t="s">
        <v>773</v>
      </c>
      <c r="AN31" t="s">
        <v>774</v>
      </c>
      <c r="AO31" t="s">
        <v>775</v>
      </c>
      <c r="AP31" t="s">
        <v>776</v>
      </c>
      <c r="AQ31" t="s">
        <v>74</v>
      </c>
      <c r="AR31" t="s">
        <v>777</v>
      </c>
      <c r="AS31" t="s">
        <v>778</v>
      </c>
      <c r="AT31" t="s">
        <v>74</v>
      </c>
      <c r="AU31">
        <v>2022</v>
      </c>
      <c r="AV31">
        <v>22</v>
      </c>
      <c r="AW31">
        <v>2</v>
      </c>
      <c r="AX31" t="s">
        <v>74</v>
      </c>
      <c r="AY31" t="s">
        <v>74</v>
      </c>
      <c r="AZ31" t="s">
        <v>74</v>
      </c>
      <c r="BA31" t="s">
        <v>74</v>
      </c>
      <c r="BB31">
        <v>139</v>
      </c>
      <c r="BC31">
        <v>153</v>
      </c>
      <c r="BD31" t="s">
        <v>74</v>
      </c>
      <c r="BE31" t="s">
        <v>779</v>
      </c>
      <c r="BF31" t="str">
        <f>HYPERLINK("http://dx.doi.org/10.5295/cdg.211558el","http://dx.doi.org/10.5295/cdg.211558el")</f>
        <v>http://dx.doi.org/10.5295/cdg.211558el</v>
      </c>
      <c r="BG31" t="s">
        <v>74</v>
      </c>
      <c r="BH31" t="s">
        <v>233</v>
      </c>
      <c r="BI31">
        <v>15</v>
      </c>
      <c r="BJ31" t="s">
        <v>780</v>
      </c>
      <c r="BK31" t="s">
        <v>180</v>
      </c>
      <c r="BL31" t="s">
        <v>781</v>
      </c>
      <c r="BM31" t="s">
        <v>782</v>
      </c>
      <c r="BN31" t="s">
        <v>74</v>
      </c>
      <c r="BO31" t="s">
        <v>383</v>
      </c>
      <c r="BP31" t="s">
        <v>74</v>
      </c>
      <c r="BQ31" t="s">
        <v>74</v>
      </c>
      <c r="BR31" t="s">
        <v>104</v>
      </c>
      <c r="BS31" t="s">
        <v>783</v>
      </c>
      <c r="BT31" t="str">
        <f>HYPERLINK("https%3A%2F%2Fwww.webofscience.com%2Fwos%2Fwoscc%2Ffull-record%2FWOS:000765439100001","View Full Record in Web of Science")</f>
        <v>View Full Record in Web of Science</v>
      </c>
    </row>
    <row r="32" spans="1:72" x14ac:dyDescent="0.25">
      <c r="A32" t="s">
        <v>72</v>
      </c>
      <c r="B32" t="s">
        <v>784</v>
      </c>
      <c r="C32" t="s">
        <v>74</v>
      </c>
      <c r="D32" t="s">
        <v>74</v>
      </c>
      <c r="E32" t="s">
        <v>74</v>
      </c>
      <c r="F32" t="s">
        <v>785</v>
      </c>
      <c r="G32" t="s">
        <v>74</v>
      </c>
      <c r="H32" t="s">
        <v>74</v>
      </c>
      <c r="I32" t="s">
        <v>786</v>
      </c>
      <c r="J32" t="s">
        <v>787</v>
      </c>
      <c r="K32" t="s">
        <v>74</v>
      </c>
      <c r="L32" t="s">
        <v>74</v>
      </c>
      <c r="M32" t="s">
        <v>78</v>
      </c>
      <c r="N32" t="s">
        <v>79</v>
      </c>
      <c r="O32" t="s">
        <v>74</v>
      </c>
      <c r="P32" t="s">
        <v>74</v>
      </c>
      <c r="Q32" t="s">
        <v>74</v>
      </c>
      <c r="R32" t="s">
        <v>74</v>
      </c>
      <c r="S32" t="s">
        <v>74</v>
      </c>
      <c r="T32" t="s">
        <v>788</v>
      </c>
      <c r="U32" t="s">
        <v>789</v>
      </c>
      <c r="V32" t="s">
        <v>790</v>
      </c>
      <c r="W32" t="s">
        <v>791</v>
      </c>
      <c r="X32" t="s">
        <v>722</v>
      </c>
      <c r="Y32" t="s">
        <v>792</v>
      </c>
      <c r="Z32" t="s">
        <v>793</v>
      </c>
      <c r="AA32" t="s">
        <v>74</v>
      </c>
      <c r="AB32" t="s">
        <v>794</v>
      </c>
      <c r="AC32" t="s">
        <v>795</v>
      </c>
      <c r="AD32" t="s">
        <v>796</v>
      </c>
      <c r="AE32" t="s">
        <v>797</v>
      </c>
      <c r="AF32" t="s">
        <v>74</v>
      </c>
      <c r="AG32">
        <v>49</v>
      </c>
      <c r="AH32">
        <v>0</v>
      </c>
      <c r="AI32">
        <v>0</v>
      </c>
      <c r="AJ32">
        <v>17</v>
      </c>
      <c r="AK32">
        <v>17</v>
      </c>
      <c r="AL32" t="s">
        <v>798</v>
      </c>
      <c r="AM32" t="s">
        <v>799</v>
      </c>
      <c r="AN32" t="s">
        <v>800</v>
      </c>
      <c r="AO32" t="s">
        <v>801</v>
      </c>
      <c r="AP32" t="s">
        <v>802</v>
      </c>
      <c r="AQ32" t="s">
        <v>74</v>
      </c>
      <c r="AR32" t="s">
        <v>803</v>
      </c>
      <c r="AS32" t="s">
        <v>804</v>
      </c>
      <c r="AT32" t="s">
        <v>281</v>
      </c>
      <c r="AU32">
        <v>2022</v>
      </c>
      <c r="AV32">
        <v>57</v>
      </c>
      <c r="AW32">
        <v>11</v>
      </c>
      <c r="AX32" t="s">
        <v>74</v>
      </c>
      <c r="AY32" t="s">
        <v>74</v>
      </c>
      <c r="AZ32" t="s">
        <v>805</v>
      </c>
      <c r="BA32" t="s">
        <v>74</v>
      </c>
      <c r="BB32">
        <v>7379</v>
      </c>
      <c r="BC32">
        <v>7390</v>
      </c>
      <c r="BD32" t="s">
        <v>74</v>
      </c>
      <c r="BE32" t="s">
        <v>806</v>
      </c>
      <c r="BF32" t="str">
        <f>HYPERLINK("http://dx.doi.org/10.1111/ijfs.16093","http://dx.doi.org/10.1111/ijfs.16093")</f>
        <v>http://dx.doi.org/10.1111/ijfs.16093</v>
      </c>
      <c r="BG32" t="s">
        <v>74</v>
      </c>
      <c r="BH32" t="s">
        <v>807</v>
      </c>
      <c r="BI32">
        <v>12</v>
      </c>
      <c r="BJ32" t="s">
        <v>402</v>
      </c>
      <c r="BK32" t="s">
        <v>101</v>
      </c>
      <c r="BL32" t="s">
        <v>402</v>
      </c>
      <c r="BM32" t="s">
        <v>808</v>
      </c>
      <c r="BN32" t="s">
        <v>74</v>
      </c>
      <c r="BO32" t="s">
        <v>74</v>
      </c>
      <c r="BP32" t="s">
        <v>74</v>
      </c>
      <c r="BQ32" t="s">
        <v>74</v>
      </c>
      <c r="BR32" t="s">
        <v>104</v>
      </c>
      <c r="BS32" t="s">
        <v>809</v>
      </c>
      <c r="BT32" t="str">
        <f>HYPERLINK("https%3A%2F%2Fwww.webofscience.com%2Fwos%2Fwoscc%2Ffull-record%2FWOS:000861500500001","View Full Record in Web of Science")</f>
        <v>View Full Record in Web of Science</v>
      </c>
    </row>
    <row r="33" spans="1:72" x14ac:dyDescent="0.25">
      <c r="A33" t="s">
        <v>72</v>
      </c>
      <c r="B33" t="s">
        <v>810</v>
      </c>
      <c r="C33" t="s">
        <v>74</v>
      </c>
      <c r="D33" t="s">
        <v>74</v>
      </c>
      <c r="E33" t="s">
        <v>74</v>
      </c>
      <c r="F33" t="s">
        <v>811</v>
      </c>
      <c r="G33" t="s">
        <v>74</v>
      </c>
      <c r="H33" t="s">
        <v>74</v>
      </c>
      <c r="I33" t="s">
        <v>812</v>
      </c>
      <c r="J33" t="s">
        <v>813</v>
      </c>
      <c r="K33" t="s">
        <v>74</v>
      </c>
      <c r="L33" t="s">
        <v>74</v>
      </c>
      <c r="M33" t="s">
        <v>78</v>
      </c>
      <c r="N33" t="s">
        <v>135</v>
      </c>
      <c r="O33" t="s">
        <v>74</v>
      </c>
      <c r="P33" t="s">
        <v>74</v>
      </c>
      <c r="Q33" t="s">
        <v>74</v>
      </c>
      <c r="R33" t="s">
        <v>74</v>
      </c>
      <c r="S33" t="s">
        <v>74</v>
      </c>
      <c r="T33" t="s">
        <v>814</v>
      </c>
      <c r="U33" t="s">
        <v>815</v>
      </c>
      <c r="V33" t="s">
        <v>816</v>
      </c>
      <c r="W33" t="s">
        <v>817</v>
      </c>
      <c r="X33" t="s">
        <v>818</v>
      </c>
      <c r="Y33" t="s">
        <v>819</v>
      </c>
      <c r="Z33" t="s">
        <v>820</v>
      </c>
      <c r="AA33" t="s">
        <v>74</v>
      </c>
      <c r="AB33" t="s">
        <v>821</v>
      </c>
      <c r="AC33" t="s">
        <v>822</v>
      </c>
      <c r="AD33" t="s">
        <v>822</v>
      </c>
      <c r="AE33" t="s">
        <v>823</v>
      </c>
      <c r="AF33" t="s">
        <v>74</v>
      </c>
      <c r="AG33">
        <v>39</v>
      </c>
      <c r="AH33">
        <v>0</v>
      </c>
      <c r="AI33">
        <v>0</v>
      </c>
      <c r="AJ33">
        <v>3</v>
      </c>
      <c r="AK33">
        <v>3</v>
      </c>
      <c r="AL33" t="s">
        <v>824</v>
      </c>
      <c r="AM33" t="s">
        <v>825</v>
      </c>
      <c r="AN33" t="s">
        <v>826</v>
      </c>
      <c r="AO33" t="s">
        <v>827</v>
      </c>
      <c r="AP33" t="s">
        <v>828</v>
      </c>
      <c r="AQ33" t="s">
        <v>74</v>
      </c>
      <c r="AR33" t="s">
        <v>829</v>
      </c>
      <c r="AS33" t="s">
        <v>830</v>
      </c>
      <c r="AT33" t="s">
        <v>74</v>
      </c>
      <c r="AU33" t="s">
        <v>74</v>
      </c>
      <c r="AV33" t="s">
        <v>74</v>
      </c>
      <c r="AW33" t="s">
        <v>74</v>
      </c>
      <c r="AX33" t="s">
        <v>74</v>
      </c>
      <c r="AY33" t="s">
        <v>74</v>
      </c>
      <c r="AZ33" t="s">
        <v>74</v>
      </c>
      <c r="BA33" t="s">
        <v>74</v>
      </c>
      <c r="BB33" t="s">
        <v>74</v>
      </c>
      <c r="BC33" t="s">
        <v>74</v>
      </c>
      <c r="BD33" t="s">
        <v>74</v>
      </c>
      <c r="BE33" t="s">
        <v>831</v>
      </c>
      <c r="BF33" t="str">
        <f>HYPERLINK("http://dx.doi.org/10.1002/srin.202200686","http://dx.doi.org/10.1002/srin.202200686")</f>
        <v>http://dx.doi.org/10.1002/srin.202200686</v>
      </c>
      <c r="BG33" t="s">
        <v>74</v>
      </c>
      <c r="BH33" t="s">
        <v>832</v>
      </c>
      <c r="BI33">
        <v>9</v>
      </c>
      <c r="BJ33" t="s">
        <v>622</v>
      </c>
      <c r="BK33" t="s">
        <v>101</v>
      </c>
      <c r="BL33" t="s">
        <v>622</v>
      </c>
      <c r="BM33" t="s">
        <v>833</v>
      </c>
      <c r="BN33" t="s">
        <v>74</v>
      </c>
      <c r="BO33" t="s">
        <v>74</v>
      </c>
      <c r="BP33" t="s">
        <v>74</v>
      </c>
      <c r="BQ33" t="s">
        <v>74</v>
      </c>
      <c r="BR33" t="s">
        <v>104</v>
      </c>
      <c r="BS33" t="s">
        <v>834</v>
      </c>
      <c r="BT33" t="str">
        <f>HYPERLINK("https%3A%2F%2Fwww.webofscience.com%2Fwos%2Fwoscc%2Ffull-record%2FWOS:000884302500001","View Full Record in Web of Science")</f>
        <v>View Full Record in Web of Science</v>
      </c>
    </row>
    <row r="34" spans="1:72" x14ac:dyDescent="0.25">
      <c r="A34" t="s">
        <v>72</v>
      </c>
      <c r="B34" t="s">
        <v>835</v>
      </c>
      <c r="C34" t="s">
        <v>74</v>
      </c>
      <c r="D34" t="s">
        <v>74</v>
      </c>
      <c r="E34" t="s">
        <v>74</v>
      </c>
      <c r="F34" t="s">
        <v>836</v>
      </c>
      <c r="G34" t="s">
        <v>74</v>
      </c>
      <c r="H34" t="s">
        <v>74</v>
      </c>
      <c r="I34" t="s">
        <v>837</v>
      </c>
      <c r="J34" t="s">
        <v>838</v>
      </c>
      <c r="K34" t="s">
        <v>74</v>
      </c>
      <c r="L34" t="s">
        <v>74</v>
      </c>
      <c r="M34" t="s">
        <v>78</v>
      </c>
      <c r="N34" t="s">
        <v>79</v>
      </c>
      <c r="O34" t="s">
        <v>74</v>
      </c>
      <c r="P34" t="s">
        <v>74</v>
      </c>
      <c r="Q34" t="s">
        <v>74</v>
      </c>
      <c r="R34" t="s">
        <v>74</v>
      </c>
      <c r="S34" t="s">
        <v>74</v>
      </c>
      <c r="T34" t="s">
        <v>839</v>
      </c>
      <c r="U34" t="s">
        <v>840</v>
      </c>
      <c r="V34" t="s">
        <v>841</v>
      </c>
      <c r="W34" t="s">
        <v>842</v>
      </c>
      <c r="X34" t="s">
        <v>843</v>
      </c>
      <c r="Y34" t="s">
        <v>844</v>
      </c>
      <c r="Z34" t="s">
        <v>168</v>
      </c>
      <c r="AA34" t="s">
        <v>74</v>
      </c>
      <c r="AB34" t="s">
        <v>610</v>
      </c>
      <c r="AC34" t="s">
        <v>845</v>
      </c>
      <c r="AD34" t="s">
        <v>845</v>
      </c>
      <c r="AE34" t="s">
        <v>846</v>
      </c>
      <c r="AF34" t="s">
        <v>74</v>
      </c>
      <c r="AG34">
        <v>28</v>
      </c>
      <c r="AH34">
        <v>2</v>
      </c>
      <c r="AI34">
        <v>2</v>
      </c>
      <c r="AJ34">
        <v>2</v>
      </c>
      <c r="AK34">
        <v>8</v>
      </c>
      <c r="AL34" t="s">
        <v>847</v>
      </c>
      <c r="AM34" t="s">
        <v>848</v>
      </c>
      <c r="AN34" t="s">
        <v>849</v>
      </c>
      <c r="AO34" t="s">
        <v>850</v>
      </c>
      <c r="AP34" t="s">
        <v>74</v>
      </c>
      <c r="AQ34" t="s">
        <v>74</v>
      </c>
      <c r="AR34" t="s">
        <v>851</v>
      </c>
      <c r="AS34" t="s">
        <v>852</v>
      </c>
      <c r="AT34" t="s">
        <v>853</v>
      </c>
      <c r="AU34">
        <v>2022</v>
      </c>
      <c r="AV34">
        <v>21</v>
      </c>
      <c r="AW34">
        <v>1</v>
      </c>
      <c r="AX34" t="s">
        <v>74</v>
      </c>
      <c r="AY34" t="s">
        <v>74</v>
      </c>
      <c r="AZ34" t="s">
        <v>74</v>
      </c>
      <c r="BA34" t="s">
        <v>74</v>
      </c>
      <c r="BB34" t="s">
        <v>74</v>
      </c>
      <c r="BC34" t="s">
        <v>74</v>
      </c>
      <c r="BD34" t="s">
        <v>854</v>
      </c>
      <c r="BE34" t="s">
        <v>855</v>
      </c>
      <c r="BF34" t="str">
        <f>HYPERLINK("http://dx.doi.org/10.24275/rmiq/Cat2606","http://dx.doi.org/10.24275/rmiq/Cat2606")</f>
        <v>http://dx.doi.org/10.24275/rmiq/Cat2606</v>
      </c>
      <c r="BG34" t="s">
        <v>74</v>
      </c>
      <c r="BH34" t="s">
        <v>74</v>
      </c>
      <c r="BI34">
        <v>10</v>
      </c>
      <c r="BJ34" t="s">
        <v>856</v>
      </c>
      <c r="BK34" t="s">
        <v>101</v>
      </c>
      <c r="BL34" t="s">
        <v>857</v>
      </c>
      <c r="BM34" t="s">
        <v>858</v>
      </c>
      <c r="BN34" t="s">
        <v>74</v>
      </c>
      <c r="BO34" t="s">
        <v>859</v>
      </c>
      <c r="BP34" t="s">
        <v>74</v>
      </c>
      <c r="BQ34" t="s">
        <v>74</v>
      </c>
      <c r="BR34" t="s">
        <v>104</v>
      </c>
      <c r="BS34" t="s">
        <v>860</v>
      </c>
      <c r="BT34" t="str">
        <f>HYPERLINK("https%3A%2F%2Fwww.webofscience.com%2Fwos%2Fwoscc%2Ffull-record%2FWOS:000745695100001","View Full Record in Web of Science")</f>
        <v>View Full Record in Web of Science</v>
      </c>
    </row>
    <row r="35" spans="1:72" x14ac:dyDescent="0.25">
      <c r="A35" t="s">
        <v>72</v>
      </c>
      <c r="B35" t="s">
        <v>861</v>
      </c>
      <c r="C35" t="s">
        <v>74</v>
      </c>
      <c r="D35" t="s">
        <v>74</v>
      </c>
      <c r="E35" t="s">
        <v>74</v>
      </c>
      <c r="F35" t="s">
        <v>862</v>
      </c>
      <c r="G35" t="s">
        <v>74</v>
      </c>
      <c r="H35" t="s">
        <v>74</v>
      </c>
      <c r="I35" t="s">
        <v>863</v>
      </c>
      <c r="J35" t="s">
        <v>864</v>
      </c>
      <c r="K35" t="s">
        <v>74</v>
      </c>
      <c r="L35" t="s">
        <v>74</v>
      </c>
      <c r="M35" t="s">
        <v>78</v>
      </c>
      <c r="N35" t="s">
        <v>79</v>
      </c>
      <c r="O35" t="s">
        <v>74</v>
      </c>
      <c r="P35" t="s">
        <v>74</v>
      </c>
      <c r="Q35" t="s">
        <v>74</v>
      </c>
      <c r="R35" t="s">
        <v>74</v>
      </c>
      <c r="S35" t="s">
        <v>74</v>
      </c>
      <c r="T35" t="s">
        <v>865</v>
      </c>
      <c r="U35" t="s">
        <v>866</v>
      </c>
      <c r="V35" t="s">
        <v>867</v>
      </c>
      <c r="W35" t="s">
        <v>868</v>
      </c>
      <c r="X35" t="s">
        <v>869</v>
      </c>
      <c r="Y35" t="s">
        <v>870</v>
      </c>
      <c r="Z35" t="s">
        <v>871</v>
      </c>
      <c r="AA35" t="s">
        <v>74</v>
      </c>
      <c r="AB35" t="s">
        <v>74</v>
      </c>
      <c r="AC35" t="s">
        <v>872</v>
      </c>
      <c r="AD35" t="s">
        <v>873</v>
      </c>
      <c r="AE35" t="s">
        <v>874</v>
      </c>
      <c r="AF35" t="s">
        <v>74</v>
      </c>
      <c r="AG35">
        <v>66</v>
      </c>
      <c r="AH35">
        <v>0</v>
      </c>
      <c r="AI35">
        <v>0</v>
      </c>
      <c r="AJ35">
        <v>4</v>
      </c>
      <c r="AK35">
        <v>7</v>
      </c>
      <c r="AL35" t="s">
        <v>485</v>
      </c>
      <c r="AM35" t="s">
        <v>486</v>
      </c>
      <c r="AN35" t="s">
        <v>487</v>
      </c>
      <c r="AO35" t="s">
        <v>875</v>
      </c>
      <c r="AP35" t="s">
        <v>876</v>
      </c>
      <c r="AQ35" t="s">
        <v>74</v>
      </c>
      <c r="AR35" t="s">
        <v>877</v>
      </c>
      <c r="AS35" t="s">
        <v>878</v>
      </c>
      <c r="AT35" t="s">
        <v>879</v>
      </c>
      <c r="AU35">
        <v>2022</v>
      </c>
      <c r="AV35">
        <v>256</v>
      </c>
      <c r="AW35" t="s">
        <v>74</v>
      </c>
      <c r="AX35" t="s">
        <v>74</v>
      </c>
      <c r="AY35" t="s">
        <v>74</v>
      </c>
      <c r="AZ35" t="s">
        <v>74</v>
      </c>
      <c r="BA35" t="s">
        <v>74</v>
      </c>
      <c r="BB35" t="s">
        <v>74</v>
      </c>
      <c r="BC35" t="s">
        <v>74</v>
      </c>
      <c r="BD35">
        <v>113997</v>
      </c>
      <c r="BE35" t="s">
        <v>880</v>
      </c>
      <c r="BF35" t="str">
        <f>HYPERLINK("http://dx.doi.org/10.1016/j.engstruct.2022.113997","http://dx.doi.org/10.1016/j.engstruct.2022.113997")</f>
        <v>http://dx.doi.org/10.1016/j.engstruct.2022.113997</v>
      </c>
      <c r="BG35" t="s">
        <v>74</v>
      </c>
      <c r="BH35" t="s">
        <v>881</v>
      </c>
      <c r="BI35">
        <v>19</v>
      </c>
      <c r="BJ35" t="s">
        <v>882</v>
      </c>
      <c r="BK35" t="s">
        <v>101</v>
      </c>
      <c r="BL35" t="s">
        <v>309</v>
      </c>
      <c r="BM35" t="s">
        <v>883</v>
      </c>
      <c r="BN35" t="s">
        <v>74</v>
      </c>
      <c r="BO35" t="s">
        <v>74</v>
      </c>
      <c r="BP35" t="s">
        <v>74</v>
      </c>
      <c r="BQ35" t="s">
        <v>74</v>
      </c>
      <c r="BR35" t="s">
        <v>104</v>
      </c>
      <c r="BS35" t="s">
        <v>884</v>
      </c>
      <c r="BT35" t="str">
        <f>HYPERLINK("https%3A%2F%2Fwww.webofscience.com%2Fwos%2Fwoscc%2Ffull-record%2FWOS:000772608300001","View Full Record in Web of Science")</f>
        <v>View Full Record in Web of Science</v>
      </c>
    </row>
    <row r="36" spans="1:72" x14ac:dyDescent="0.25">
      <c r="A36" t="s">
        <v>72</v>
      </c>
      <c r="B36" t="s">
        <v>885</v>
      </c>
      <c r="C36" t="s">
        <v>74</v>
      </c>
      <c r="D36" t="s">
        <v>74</v>
      </c>
      <c r="E36" t="s">
        <v>74</v>
      </c>
      <c r="F36" t="s">
        <v>886</v>
      </c>
      <c r="G36" t="s">
        <v>74</v>
      </c>
      <c r="H36" t="s">
        <v>74</v>
      </c>
      <c r="I36" t="s">
        <v>887</v>
      </c>
      <c r="J36" t="s">
        <v>888</v>
      </c>
      <c r="K36" t="s">
        <v>74</v>
      </c>
      <c r="L36" t="s">
        <v>74</v>
      </c>
      <c r="M36" t="s">
        <v>78</v>
      </c>
      <c r="N36" t="s">
        <v>79</v>
      </c>
      <c r="O36" t="s">
        <v>74</v>
      </c>
      <c r="P36" t="s">
        <v>74</v>
      </c>
      <c r="Q36" t="s">
        <v>74</v>
      </c>
      <c r="R36" t="s">
        <v>74</v>
      </c>
      <c r="S36" t="s">
        <v>74</v>
      </c>
      <c r="T36" t="s">
        <v>74</v>
      </c>
      <c r="U36" t="s">
        <v>889</v>
      </c>
      <c r="V36" t="s">
        <v>890</v>
      </c>
      <c r="W36" t="s">
        <v>891</v>
      </c>
      <c r="X36" t="s">
        <v>892</v>
      </c>
      <c r="Y36" t="s">
        <v>893</v>
      </c>
      <c r="Z36" t="s">
        <v>454</v>
      </c>
      <c r="AA36" t="s">
        <v>455</v>
      </c>
      <c r="AB36" t="s">
        <v>894</v>
      </c>
      <c r="AC36" t="s">
        <v>895</v>
      </c>
      <c r="AD36" t="s">
        <v>896</v>
      </c>
      <c r="AE36" t="s">
        <v>897</v>
      </c>
      <c r="AF36" t="s">
        <v>74</v>
      </c>
      <c r="AG36">
        <v>58</v>
      </c>
      <c r="AH36">
        <v>0</v>
      </c>
      <c r="AI36">
        <v>0</v>
      </c>
      <c r="AJ36">
        <v>3</v>
      </c>
      <c r="AK36">
        <v>3</v>
      </c>
      <c r="AL36" t="s">
        <v>898</v>
      </c>
      <c r="AM36" t="s">
        <v>899</v>
      </c>
      <c r="AN36" t="s">
        <v>900</v>
      </c>
      <c r="AO36" t="s">
        <v>901</v>
      </c>
      <c r="AP36" t="s">
        <v>74</v>
      </c>
      <c r="AQ36" t="s">
        <v>74</v>
      </c>
      <c r="AR36" t="s">
        <v>902</v>
      </c>
      <c r="AS36" t="s">
        <v>903</v>
      </c>
      <c r="AT36" t="s">
        <v>904</v>
      </c>
      <c r="AU36">
        <v>2022</v>
      </c>
      <c r="AV36">
        <v>12</v>
      </c>
      <c r="AW36">
        <v>1</v>
      </c>
      <c r="AX36" t="s">
        <v>74</v>
      </c>
      <c r="AY36" t="s">
        <v>74</v>
      </c>
      <c r="AZ36" t="s">
        <v>74</v>
      </c>
      <c r="BA36" t="s">
        <v>74</v>
      </c>
      <c r="BB36" t="s">
        <v>74</v>
      </c>
      <c r="BC36" t="s">
        <v>74</v>
      </c>
      <c r="BD36">
        <v>16402</v>
      </c>
      <c r="BE36" t="s">
        <v>905</v>
      </c>
      <c r="BF36" t="str">
        <f>HYPERLINK("http://dx.doi.org/10.1038/s41598-022-20439-6","http://dx.doi.org/10.1038/s41598-022-20439-6")</f>
        <v>http://dx.doi.org/10.1038/s41598-022-20439-6</v>
      </c>
      <c r="BG36" t="s">
        <v>74</v>
      </c>
      <c r="BH36" t="s">
        <v>74</v>
      </c>
      <c r="BI36">
        <v>12</v>
      </c>
      <c r="BJ36" t="s">
        <v>493</v>
      </c>
      <c r="BK36" t="s">
        <v>101</v>
      </c>
      <c r="BL36" t="s">
        <v>494</v>
      </c>
      <c r="BM36" t="s">
        <v>906</v>
      </c>
      <c r="BN36">
        <v>36180534</v>
      </c>
      <c r="BO36" t="s">
        <v>103</v>
      </c>
      <c r="BP36" t="s">
        <v>74</v>
      </c>
      <c r="BQ36" t="s">
        <v>74</v>
      </c>
      <c r="BR36" t="s">
        <v>104</v>
      </c>
      <c r="BS36" t="s">
        <v>907</v>
      </c>
      <c r="BT36" t="str">
        <f>HYPERLINK("https%3A%2F%2Fwww.webofscience.com%2Fwos%2Fwoscc%2Ffull-record%2FWOS:000862424900045","View Full Record in Web of Science")</f>
        <v>View Full Record in Web of Science</v>
      </c>
    </row>
    <row r="37" spans="1:72" x14ac:dyDescent="0.25">
      <c r="A37" t="s">
        <v>72</v>
      </c>
      <c r="B37" t="s">
        <v>908</v>
      </c>
      <c r="C37" t="s">
        <v>74</v>
      </c>
      <c r="D37" t="s">
        <v>74</v>
      </c>
      <c r="E37" t="s">
        <v>74</v>
      </c>
      <c r="F37" t="s">
        <v>909</v>
      </c>
      <c r="G37" t="s">
        <v>74</v>
      </c>
      <c r="H37" t="s">
        <v>74</v>
      </c>
      <c r="I37" t="s">
        <v>910</v>
      </c>
      <c r="J37" t="s">
        <v>911</v>
      </c>
      <c r="K37" t="s">
        <v>74</v>
      </c>
      <c r="L37" t="s">
        <v>74</v>
      </c>
      <c r="M37" t="s">
        <v>78</v>
      </c>
      <c r="N37" t="s">
        <v>135</v>
      </c>
      <c r="O37" t="s">
        <v>74</v>
      </c>
      <c r="P37" t="s">
        <v>74</v>
      </c>
      <c r="Q37" t="s">
        <v>74</v>
      </c>
      <c r="R37" t="s">
        <v>74</v>
      </c>
      <c r="S37" t="s">
        <v>74</v>
      </c>
      <c r="T37" t="s">
        <v>912</v>
      </c>
      <c r="U37" t="s">
        <v>913</v>
      </c>
      <c r="V37" t="s">
        <v>914</v>
      </c>
      <c r="W37" t="s">
        <v>915</v>
      </c>
      <c r="X37" t="s">
        <v>916</v>
      </c>
      <c r="Y37" t="s">
        <v>917</v>
      </c>
      <c r="Z37" t="s">
        <v>918</v>
      </c>
      <c r="AA37" t="s">
        <v>919</v>
      </c>
      <c r="AB37" t="s">
        <v>920</v>
      </c>
      <c r="AC37" t="s">
        <v>921</v>
      </c>
      <c r="AD37" t="s">
        <v>922</v>
      </c>
      <c r="AE37" t="s">
        <v>923</v>
      </c>
      <c r="AF37" t="s">
        <v>74</v>
      </c>
      <c r="AG37">
        <v>40</v>
      </c>
      <c r="AH37">
        <v>0</v>
      </c>
      <c r="AI37">
        <v>0</v>
      </c>
      <c r="AJ37">
        <v>3</v>
      </c>
      <c r="AK37">
        <v>3</v>
      </c>
      <c r="AL37" t="s">
        <v>924</v>
      </c>
      <c r="AM37" t="s">
        <v>925</v>
      </c>
      <c r="AN37" t="s">
        <v>926</v>
      </c>
      <c r="AO37" t="s">
        <v>927</v>
      </c>
      <c r="AP37" t="s">
        <v>928</v>
      </c>
      <c r="AQ37" t="s">
        <v>74</v>
      </c>
      <c r="AR37" t="s">
        <v>929</v>
      </c>
      <c r="AS37" t="s">
        <v>930</v>
      </c>
      <c r="AT37" t="s">
        <v>74</v>
      </c>
      <c r="AU37" t="s">
        <v>74</v>
      </c>
      <c r="AV37" t="s">
        <v>74</v>
      </c>
      <c r="AW37" t="s">
        <v>74</v>
      </c>
      <c r="AX37" t="s">
        <v>74</v>
      </c>
      <c r="AY37" t="s">
        <v>74</v>
      </c>
      <c r="AZ37" t="s">
        <v>74</v>
      </c>
      <c r="BA37" t="s">
        <v>74</v>
      </c>
      <c r="BB37" t="s">
        <v>74</v>
      </c>
      <c r="BC37" t="s">
        <v>74</v>
      </c>
      <c r="BD37" t="s">
        <v>74</v>
      </c>
      <c r="BE37" t="s">
        <v>931</v>
      </c>
      <c r="BF37" t="str">
        <f>HYPERLINK("http://dx.doi.org/10.1080/01969722.2022.2110687","http://dx.doi.org/10.1080/01969722.2022.2110687")</f>
        <v>http://dx.doi.org/10.1080/01969722.2022.2110687</v>
      </c>
      <c r="BG37" t="s">
        <v>74</v>
      </c>
      <c r="BH37" t="s">
        <v>932</v>
      </c>
      <c r="BI37">
        <v>15</v>
      </c>
      <c r="BJ37" t="s">
        <v>933</v>
      </c>
      <c r="BK37" t="s">
        <v>101</v>
      </c>
      <c r="BL37" t="s">
        <v>934</v>
      </c>
      <c r="BM37" t="s">
        <v>935</v>
      </c>
      <c r="BN37" t="s">
        <v>74</v>
      </c>
      <c r="BO37" t="s">
        <v>74</v>
      </c>
      <c r="BP37" t="s">
        <v>74</v>
      </c>
      <c r="BQ37" t="s">
        <v>74</v>
      </c>
      <c r="BR37" t="s">
        <v>104</v>
      </c>
      <c r="BS37" t="s">
        <v>936</v>
      </c>
      <c r="BT37" t="str">
        <f>HYPERLINK("https%3A%2F%2Fwww.webofscience.com%2Fwos%2Fwoscc%2Ffull-record%2FWOS:000840365000001","View Full Record in Web of Science")</f>
        <v>View Full Record in Web of Science</v>
      </c>
    </row>
    <row r="38" spans="1:72" x14ac:dyDescent="0.25">
      <c r="A38" t="s">
        <v>72</v>
      </c>
      <c r="B38" t="s">
        <v>937</v>
      </c>
      <c r="C38" t="s">
        <v>74</v>
      </c>
      <c r="D38" t="s">
        <v>74</v>
      </c>
      <c r="E38" t="s">
        <v>74</v>
      </c>
      <c r="F38" t="s">
        <v>938</v>
      </c>
      <c r="G38" t="s">
        <v>74</v>
      </c>
      <c r="H38" t="s">
        <v>74</v>
      </c>
      <c r="I38" t="s">
        <v>939</v>
      </c>
      <c r="J38" t="s">
        <v>940</v>
      </c>
      <c r="K38" t="s">
        <v>74</v>
      </c>
      <c r="L38" t="s">
        <v>74</v>
      </c>
      <c r="M38" t="s">
        <v>78</v>
      </c>
      <c r="N38" t="s">
        <v>79</v>
      </c>
      <c r="O38" t="s">
        <v>74</v>
      </c>
      <c r="P38" t="s">
        <v>74</v>
      </c>
      <c r="Q38" t="s">
        <v>74</v>
      </c>
      <c r="R38" t="s">
        <v>74</v>
      </c>
      <c r="S38" t="s">
        <v>74</v>
      </c>
      <c r="T38" t="s">
        <v>941</v>
      </c>
      <c r="U38" t="s">
        <v>942</v>
      </c>
      <c r="V38" t="s">
        <v>943</v>
      </c>
      <c r="W38" t="s">
        <v>944</v>
      </c>
      <c r="X38" t="s">
        <v>140</v>
      </c>
      <c r="Y38" t="s">
        <v>945</v>
      </c>
      <c r="Z38" t="s">
        <v>946</v>
      </c>
      <c r="AA38" t="s">
        <v>74</v>
      </c>
      <c r="AB38" t="s">
        <v>947</v>
      </c>
      <c r="AC38" t="s">
        <v>948</v>
      </c>
      <c r="AD38" t="s">
        <v>949</v>
      </c>
      <c r="AE38" t="s">
        <v>950</v>
      </c>
      <c r="AF38" t="s">
        <v>74</v>
      </c>
      <c r="AG38">
        <v>38</v>
      </c>
      <c r="AH38">
        <v>1</v>
      </c>
      <c r="AI38">
        <v>1</v>
      </c>
      <c r="AJ38">
        <v>0</v>
      </c>
      <c r="AK38">
        <v>0</v>
      </c>
      <c r="AL38" t="s">
        <v>251</v>
      </c>
      <c r="AM38" t="s">
        <v>252</v>
      </c>
      <c r="AN38" t="s">
        <v>253</v>
      </c>
      <c r="AO38" t="s">
        <v>951</v>
      </c>
      <c r="AP38" t="s">
        <v>952</v>
      </c>
      <c r="AQ38" t="s">
        <v>74</v>
      </c>
      <c r="AR38" t="s">
        <v>953</v>
      </c>
      <c r="AS38" t="s">
        <v>954</v>
      </c>
      <c r="AT38" t="s">
        <v>400</v>
      </c>
      <c r="AU38">
        <v>2022</v>
      </c>
      <c r="AV38">
        <v>34</v>
      </c>
      <c r="AW38">
        <v>6</v>
      </c>
      <c r="AX38" t="s">
        <v>74</v>
      </c>
      <c r="AY38" t="s">
        <v>74</v>
      </c>
      <c r="AZ38" t="s">
        <v>74</v>
      </c>
      <c r="BA38" t="s">
        <v>74</v>
      </c>
      <c r="BB38" t="s">
        <v>74</v>
      </c>
      <c r="BC38" t="s">
        <v>74</v>
      </c>
      <c r="BD38">
        <v>102202</v>
      </c>
      <c r="BE38" t="s">
        <v>955</v>
      </c>
      <c r="BF38" t="str">
        <f>HYPERLINK("http://dx.doi.org/10.1016/j.jksus.2022.102202","http://dx.doi.org/10.1016/j.jksus.2022.102202")</f>
        <v>http://dx.doi.org/10.1016/j.jksus.2022.102202</v>
      </c>
      <c r="BG38" t="s">
        <v>74</v>
      </c>
      <c r="BH38" t="s">
        <v>440</v>
      </c>
      <c r="BI38">
        <v>10</v>
      </c>
      <c r="BJ38" t="s">
        <v>493</v>
      </c>
      <c r="BK38" t="s">
        <v>101</v>
      </c>
      <c r="BL38" t="s">
        <v>494</v>
      </c>
      <c r="BM38" t="s">
        <v>956</v>
      </c>
      <c r="BN38" t="s">
        <v>74</v>
      </c>
      <c r="BO38" t="s">
        <v>183</v>
      </c>
      <c r="BP38" t="s">
        <v>74</v>
      </c>
      <c r="BQ38" t="s">
        <v>74</v>
      </c>
      <c r="BR38" t="s">
        <v>104</v>
      </c>
      <c r="BS38" t="s">
        <v>957</v>
      </c>
      <c r="BT38" t="str">
        <f>HYPERLINK("https%3A%2F%2Fwww.webofscience.com%2Fwos%2Fwoscc%2Ffull-record%2FWOS:000828153000011","View Full Record in Web of Science")</f>
        <v>View Full Record in Web of Science</v>
      </c>
    </row>
    <row r="39" spans="1:72" x14ac:dyDescent="0.25">
      <c r="A39" t="s">
        <v>72</v>
      </c>
      <c r="B39" t="s">
        <v>958</v>
      </c>
      <c r="C39" t="s">
        <v>74</v>
      </c>
      <c r="D39" t="s">
        <v>74</v>
      </c>
      <c r="E39" t="s">
        <v>74</v>
      </c>
      <c r="F39" t="s">
        <v>959</v>
      </c>
      <c r="G39" t="s">
        <v>74</v>
      </c>
      <c r="H39" t="s">
        <v>74</v>
      </c>
      <c r="I39" t="s">
        <v>960</v>
      </c>
      <c r="J39" t="s">
        <v>961</v>
      </c>
      <c r="K39" t="s">
        <v>74</v>
      </c>
      <c r="L39" t="s">
        <v>74</v>
      </c>
      <c r="M39" t="s">
        <v>78</v>
      </c>
      <c r="N39" t="s">
        <v>79</v>
      </c>
      <c r="O39" t="s">
        <v>74</v>
      </c>
      <c r="P39" t="s">
        <v>74</v>
      </c>
      <c r="Q39" t="s">
        <v>74</v>
      </c>
      <c r="R39" t="s">
        <v>74</v>
      </c>
      <c r="S39" t="s">
        <v>74</v>
      </c>
      <c r="T39" t="s">
        <v>962</v>
      </c>
      <c r="U39" t="s">
        <v>963</v>
      </c>
      <c r="V39" t="s">
        <v>964</v>
      </c>
      <c r="W39" t="s">
        <v>965</v>
      </c>
      <c r="X39" t="s">
        <v>84</v>
      </c>
      <c r="Y39" t="s">
        <v>966</v>
      </c>
      <c r="Z39" t="s">
        <v>967</v>
      </c>
      <c r="AA39" t="s">
        <v>74</v>
      </c>
      <c r="AB39" t="s">
        <v>968</v>
      </c>
      <c r="AC39" t="s">
        <v>969</v>
      </c>
      <c r="AD39" t="s">
        <v>970</v>
      </c>
      <c r="AE39" t="s">
        <v>971</v>
      </c>
      <c r="AF39" t="s">
        <v>74</v>
      </c>
      <c r="AG39">
        <v>66</v>
      </c>
      <c r="AH39">
        <v>1</v>
      </c>
      <c r="AI39">
        <v>1</v>
      </c>
      <c r="AJ39">
        <v>4</v>
      </c>
      <c r="AK39">
        <v>5</v>
      </c>
      <c r="AL39" t="s">
        <v>972</v>
      </c>
      <c r="AM39" t="s">
        <v>973</v>
      </c>
      <c r="AN39" t="s">
        <v>974</v>
      </c>
      <c r="AO39" t="s">
        <v>975</v>
      </c>
      <c r="AP39" t="s">
        <v>976</v>
      </c>
      <c r="AQ39" t="s">
        <v>74</v>
      </c>
      <c r="AR39" t="s">
        <v>977</v>
      </c>
      <c r="AS39" t="s">
        <v>978</v>
      </c>
      <c r="AT39" t="s">
        <v>124</v>
      </c>
      <c r="AU39">
        <v>2022</v>
      </c>
      <c r="AV39">
        <v>42</v>
      </c>
      <c r="AW39">
        <v>3</v>
      </c>
      <c r="AX39" t="s">
        <v>74</v>
      </c>
      <c r="AY39" t="s">
        <v>74</v>
      </c>
      <c r="AZ39" t="s">
        <v>74</v>
      </c>
      <c r="BA39" t="s">
        <v>74</v>
      </c>
      <c r="BB39">
        <v>2259</v>
      </c>
      <c r="BC39">
        <v>2268</v>
      </c>
      <c r="BD39" t="s">
        <v>74</v>
      </c>
      <c r="BE39" t="s">
        <v>979</v>
      </c>
      <c r="BF39" t="str">
        <f>HYPERLINK("http://dx.doi.org/10.1007/s42690-022-00748-z","http://dx.doi.org/10.1007/s42690-022-00748-z")</f>
        <v>http://dx.doi.org/10.1007/s42690-022-00748-z</v>
      </c>
      <c r="BG39" t="s">
        <v>74</v>
      </c>
      <c r="BH39" t="s">
        <v>354</v>
      </c>
      <c r="BI39">
        <v>10</v>
      </c>
      <c r="BJ39" t="s">
        <v>980</v>
      </c>
      <c r="BK39" t="s">
        <v>101</v>
      </c>
      <c r="BL39" t="s">
        <v>980</v>
      </c>
      <c r="BM39" t="s">
        <v>981</v>
      </c>
      <c r="BN39" t="s">
        <v>74</v>
      </c>
      <c r="BO39" t="s">
        <v>74</v>
      </c>
      <c r="BP39" t="s">
        <v>74</v>
      </c>
      <c r="BQ39" t="s">
        <v>74</v>
      </c>
      <c r="BR39" t="s">
        <v>104</v>
      </c>
      <c r="BS39" t="s">
        <v>982</v>
      </c>
      <c r="BT39" t="str">
        <f>HYPERLINK("https%3A%2F%2Fwww.webofscience.com%2Fwos%2Fwoscc%2Ffull-record%2FWOS:000750320500001","View Full Record in Web of Science")</f>
        <v>View Full Record in Web of Science</v>
      </c>
    </row>
    <row r="40" spans="1:72" x14ac:dyDescent="0.25">
      <c r="A40" t="s">
        <v>72</v>
      </c>
      <c r="B40" t="s">
        <v>983</v>
      </c>
      <c r="C40" t="s">
        <v>74</v>
      </c>
      <c r="D40" t="s">
        <v>74</v>
      </c>
      <c r="E40" t="s">
        <v>74</v>
      </c>
      <c r="F40" t="s">
        <v>984</v>
      </c>
      <c r="G40" t="s">
        <v>74</v>
      </c>
      <c r="H40" t="s">
        <v>74</v>
      </c>
      <c r="I40" t="s">
        <v>985</v>
      </c>
      <c r="J40" t="s">
        <v>986</v>
      </c>
      <c r="K40" t="s">
        <v>74</v>
      </c>
      <c r="L40" t="s">
        <v>74</v>
      </c>
      <c r="M40" t="s">
        <v>78</v>
      </c>
      <c r="N40" t="s">
        <v>79</v>
      </c>
      <c r="O40" t="s">
        <v>74</v>
      </c>
      <c r="P40" t="s">
        <v>74</v>
      </c>
      <c r="Q40" t="s">
        <v>74</v>
      </c>
      <c r="R40" t="s">
        <v>74</v>
      </c>
      <c r="S40" t="s">
        <v>74</v>
      </c>
      <c r="T40" t="s">
        <v>987</v>
      </c>
      <c r="U40" t="s">
        <v>988</v>
      </c>
      <c r="V40" t="s">
        <v>989</v>
      </c>
      <c r="W40" t="s">
        <v>990</v>
      </c>
      <c r="X40" t="s">
        <v>991</v>
      </c>
      <c r="Y40" t="s">
        <v>992</v>
      </c>
      <c r="Z40" t="s">
        <v>993</v>
      </c>
      <c r="AA40" t="s">
        <v>994</v>
      </c>
      <c r="AB40" t="s">
        <v>995</v>
      </c>
      <c r="AC40" t="s">
        <v>996</v>
      </c>
      <c r="AD40" t="s">
        <v>997</v>
      </c>
      <c r="AE40" t="s">
        <v>998</v>
      </c>
      <c r="AF40" t="s">
        <v>74</v>
      </c>
      <c r="AG40">
        <v>86</v>
      </c>
      <c r="AH40">
        <v>4</v>
      </c>
      <c r="AI40">
        <v>4</v>
      </c>
      <c r="AJ40">
        <v>1</v>
      </c>
      <c r="AK40">
        <v>2</v>
      </c>
      <c r="AL40" t="s">
        <v>824</v>
      </c>
      <c r="AM40" t="s">
        <v>825</v>
      </c>
      <c r="AN40" t="s">
        <v>826</v>
      </c>
      <c r="AO40" t="s">
        <v>999</v>
      </c>
      <c r="AP40" t="s">
        <v>74</v>
      </c>
      <c r="AQ40" t="s">
        <v>74</v>
      </c>
      <c r="AR40" t="s">
        <v>986</v>
      </c>
      <c r="AS40" t="s">
        <v>1000</v>
      </c>
      <c r="AT40" t="s">
        <v>1001</v>
      </c>
      <c r="AU40">
        <v>2022</v>
      </c>
      <c r="AV40">
        <v>7</v>
      </c>
      <c r="AW40">
        <v>10</v>
      </c>
      <c r="AX40" t="s">
        <v>74</v>
      </c>
      <c r="AY40" t="s">
        <v>74</v>
      </c>
      <c r="AZ40" t="s">
        <v>74</v>
      </c>
      <c r="BA40" t="s">
        <v>74</v>
      </c>
      <c r="BB40" t="s">
        <v>74</v>
      </c>
      <c r="BC40" t="s">
        <v>74</v>
      </c>
      <c r="BD40" t="s">
        <v>1002</v>
      </c>
      <c r="BE40" t="s">
        <v>1003</v>
      </c>
      <c r="BF40" t="str">
        <f>HYPERLINK("http://dx.doi.org/10.1002/slct.202104360","http://dx.doi.org/10.1002/slct.202104360")</f>
        <v>http://dx.doi.org/10.1002/slct.202104360</v>
      </c>
      <c r="BG40" t="s">
        <v>74</v>
      </c>
      <c r="BH40" t="s">
        <v>74</v>
      </c>
      <c r="BI40">
        <v>10</v>
      </c>
      <c r="BJ40" t="s">
        <v>205</v>
      </c>
      <c r="BK40" t="s">
        <v>101</v>
      </c>
      <c r="BL40" t="s">
        <v>206</v>
      </c>
      <c r="BM40" t="s">
        <v>1004</v>
      </c>
      <c r="BN40" t="s">
        <v>74</v>
      </c>
      <c r="BO40" t="s">
        <v>74</v>
      </c>
      <c r="BP40" t="s">
        <v>74</v>
      </c>
      <c r="BQ40" t="s">
        <v>74</v>
      </c>
      <c r="BR40" t="s">
        <v>104</v>
      </c>
      <c r="BS40" t="s">
        <v>1005</v>
      </c>
      <c r="BT40" t="str">
        <f>HYPERLINK("https%3A%2F%2Fwww.webofscience.com%2Fwos%2Fwoscc%2Ffull-record%2FWOS:000771395600045","View Full Record in Web of Science")</f>
        <v>View Full Record in Web of Science</v>
      </c>
    </row>
    <row r="41" spans="1:72" x14ac:dyDescent="0.25">
      <c r="A41" t="s">
        <v>72</v>
      </c>
      <c r="B41" t="s">
        <v>1006</v>
      </c>
      <c r="C41" t="s">
        <v>74</v>
      </c>
      <c r="D41" t="s">
        <v>74</v>
      </c>
      <c r="E41" t="s">
        <v>74</v>
      </c>
      <c r="F41" t="s">
        <v>1007</v>
      </c>
      <c r="G41" t="s">
        <v>74</v>
      </c>
      <c r="H41" t="s">
        <v>74</v>
      </c>
      <c r="I41" t="s">
        <v>1008</v>
      </c>
      <c r="J41" t="s">
        <v>1009</v>
      </c>
      <c r="K41" t="s">
        <v>74</v>
      </c>
      <c r="L41" t="s">
        <v>74</v>
      </c>
      <c r="M41" t="s">
        <v>78</v>
      </c>
      <c r="N41" t="s">
        <v>135</v>
      </c>
      <c r="O41" t="s">
        <v>74</v>
      </c>
      <c r="P41" t="s">
        <v>74</v>
      </c>
      <c r="Q41" t="s">
        <v>74</v>
      </c>
      <c r="R41" t="s">
        <v>74</v>
      </c>
      <c r="S41" t="s">
        <v>74</v>
      </c>
      <c r="T41" t="s">
        <v>1010</v>
      </c>
      <c r="U41" t="s">
        <v>1011</v>
      </c>
      <c r="V41" t="s">
        <v>1012</v>
      </c>
      <c r="W41" t="s">
        <v>1013</v>
      </c>
      <c r="X41" t="s">
        <v>1014</v>
      </c>
      <c r="Y41" t="s">
        <v>1015</v>
      </c>
      <c r="Z41" t="s">
        <v>1016</v>
      </c>
      <c r="AA41" t="s">
        <v>1017</v>
      </c>
      <c r="AB41" t="s">
        <v>1018</v>
      </c>
      <c r="AC41" t="s">
        <v>1019</v>
      </c>
      <c r="AD41" t="s">
        <v>1020</v>
      </c>
      <c r="AE41" t="s">
        <v>1021</v>
      </c>
      <c r="AF41" t="s">
        <v>74</v>
      </c>
      <c r="AG41">
        <v>48</v>
      </c>
      <c r="AH41">
        <v>0</v>
      </c>
      <c r="AI41">
        <v>0</v>
      </c>
      <c r="AJ41">
        <v>9</v>
      </c>
      <c r="AK41">
        <v>9</v>
      </c>
      <c r="AL41" t="s">
        <v>1022</v>
      </c>
      <c r="AM41" t="s">
        <v>1023</v>
      </c>
      <c r="AN41" t="s">
        <v>1024</v>
      </c>
      <c r="AO41" t="s">
        <v>1025</v>
      </c>
      <c r="AP41" t="s">
        <v>74</v>
      </c>
      <c r="AQ41" t="s">
        <v>74</v>
      </c>
      <c r="AR41" t="s">
        <v>1026</v>
      </c>
      <c r="AS41" t="s">
        <v>1027</v>
      </c>
      <c r="AT41" t="s">
        <v>74</v>
      </c>
      <c r="AU41" t="s">
        <v>74</v>
      </c>
      <c r="AV41" t="s">
        <v>74</v>
      </c>
      <c r="AW41" t="s">
        <v>74</v>
      </c>
      <c r="AX41" t="s">
        <v>74</v>
      </c>
      <c r="AY41" t="s">
        <v>74</v>
      </c>
      <c r="AZ41" t="s">
        <v>74</v>
      </c>
      <c r="BA41" t="s">
        <v>74</v>
      </c>
      <c r="BB41" t="s">
        <v>74</v>
      </c>
      <c r="BC41" t="s">
        <v>74</v>
      </c>
      <c r="BD41" t="s">
        <v>74</v>
      </c>
      <c r="BE41" t="s">
        <v>1028</v>
      </c>
      <c r="BF41" t="str">
        <f>HYPERLINK("http://dx.doi.org/10.1021/acssuschemeng.2c03209","http://dx.doi.org/10.1021/acssuschemeng.2c03209")</f>
        <v>http://dx.doi.org/10.1021/acssuschemeng.2c03209</v>
      </c>
      <c r="BG41" t="s">
        <v>74</v>
      </c>
      <c r="BH41" t="s">
        <v>807</v>
      </c>
      <c r="BI41">
        <v>11</v>
      </c>
      <c r="BJ41" t="s">
        <v>1029</v>
      </c>
      <c r="BK41" t="s">
        <v>101</v>
      </c>
      <c r="BL41" t="s">
        <v>1030</v>
      </c>
      <c r="BM41" t="s">
        <v>1031</v>
      </c>
      <c r="BN41" t="s">
        <v>74</v>
      </c>
      <c r="BO41" t="s">
        <v>74</v>
      </c>
      <c r="BP41" t="s">
        <v>74</v>
      </c>
      <c r="BQ41" t="s">
        <v>74</v>
      </c>
      <c r="BR41" t="s">
        <v>104</v>
      </c>
      <c r="BS41" t="s">
        <v>1032</v>
      </c>
      <c r="BT41" t="str">
        <f>HYPERLINK("https%3A%2F%2Fwww.webofscience.com%2Fwos%2Fwoscc%2Ffull-record%2FWOS:000854359500001","View Full Record in Web of Science")</f>
        <v>View Full Record in Web of Science</v>
      </c>
    </row>
    <row r="42" spans="1:72" x14ac:dyDescent="0.25">
      <c r="A42" t="s">
        <v>72</v>
      </c>
      <c r="B42" t="s">
        <v>1033</v>
      </c>
      <c r="C42" t="s">
        <v>74</v>
      </c>
      <c r="D42" t="s">
        <v>74</v>
      </c>
      <c r="E42" t="s">
        <v>74</v>
      </c>
      <c r="F42" t="s">
        <v>1034</v>
      </c>
      <c r="G42" t="s">
        <v>74</v>
      </c>
      <c r="H42" t="s">
        <v>74</v>
      </c>
      <c r="I42" t="s">
        <v>1035</v>
      </c>
      <c r="J42" t="s">
        <v>1036</v>
      </c>
      <c r="K42" t="s">
        <v>74</v>
      </c>
      <c r="L42" t="s">
        <v>74</v>
      </c>
      <c r="M42" t="s">
        <v>78</v>
      </c>
      <c r="N42" t="s">
        <v>79</v>
      </c>
      <c r="O42" t="s">
        <v>74</v>
      </c>
      <c r="P42" t="s">
        <v>74</v>
      </c>
      <c r="Q42" t="s">
        <v>74</v>
      </c>
      <c r="R42" t="s">
        <v>74</v>
      </c>
      <c r="S42" t="s">
        <v>74</v>
      </c>
      <c r="T42" t="s">
        <v>1037</v>
      </c>
      <c r="U42" t="s">
        <v>1038</v>
      </c>
      <c r="V42" t="s">
        <v>1039</v>
      </c>
      <c r="W42" t="s">
        <v>1040</v>
      </c>
      <c r="X42" t="s">
        <v>1041</v>
      </c>
      <c r="Y42" t="s">
        <v>1042</v>
      </c>
      <c r="Z42" t="s">
        <v>1043</v>
      </c>
      <c r="AA42" t="s">
        <v>1044</v>
      </c>
      <c r="AB42" t="s">
        <v>1045</v>
      </c>
      <c r="AC42" t="s">
        <v>1046</v>
      </c>
      <c r="AD42" t="s">
        <v>1047</v>
      </c>
      <c r="AE42" t="s">
        <v>1048</v>
      </c>
      <c r="AF42" t="s">
        <v>74</v>
      </c>
      <c r="AG42">
        <v>70</v>
      </c>
      <c r="AH42">
        <v>1</v>
      </c>
      <c r="AI42">
        <v>1</v>
      </c>
      <c r="AJ42">
        <v>0</v>
      </c>
      <c r="AK42">
        <v>3</v>
      </c>
      <c r="AL42" t="s">
        <v>92</v>
      </c>
      <c r="AM42" t="s">
        <v>93</v>
      </c>
      <c r="AN42" t="s">
        <v>94</v>
      </c>
      <c r="AO42" t="s">
        <v>74</v>
      </c>
      <c r="AP42" t="s">
        <v>1049</v>
      </c>
      <c r="AQ42" t="s">
        <v>74</v>
      </c>
      <c r="AR42" t="s">
        <v>1036</v>
      </c>
      <c r="AS42" t="s">
        <v>1050</v>
      </c>
      <c r="AT42" t="s">
        <v>98</v>
      </c>
      <c r="AU42">
        <v>2022</v>
      </c>
      <c r="AV42">
        <v>15</v>
      </c>
      <c r="AW42">
        <v>2</v>
      </c>
      <c r="AX42" t="s">
        <v>74</v>
      </c>
      <c r="AY42" t="s">
        <v>74</v>
      </c>
      <c r="AZ42" t="s">
        <v>74</v>
      </c>
      <c r="BA42" t="s">
        <v>74</v>
      </c>
      <c r="BB42" t="s">
        <v>74</v>
      </c>
      <c r="BC42" t="s">
        <v>74</v>
      </c>
      <c r="BD42">
        <v>597</v>
      </c>
      <c r="BE42" t="s">
        <v>1051</v>
      </c>
      <c r="BF42" t="str">
        <f>HYPERLINK("http://dx.doi.org/10.3390/ma15020597","http://dx.doi.org/10.3390/ma15020597")</f>
        <v>http://dx.doi.org/10.3390/ma15020597</v>
      </c>
      <c r="BG42" t="s">
        <v>74</v>
      </c>
      <c r="BH42" t="s">
        <v>74</v>
      </c>
      <c r="BI42">
        <v>15</v>
      </c>
      <c r="BJ42" t="s">
        <v>1052</v>
      </c>
      <c r="BK42" t="s">
        <v>101</v>
      </c>
      <c r="BL42" t="s">
        <v>1053</v>
      </c>
      <c r="BM42" t="s">
        <v>1054</v>
      </c>
      <c r="BN42">
        <v>35057314</v>
      </c>
      <c r="BO42" t="s">
        <v>129</v>
      </c>
      <c r="BP42" t="s">
        <v>74</v>
      </c>
      <c r="BQ42" t="s">
        <v>74</v>
      </c>
      <c r="BR42" t="s">
        <v>104</v>
      </c>
      <c r="BS42" t="s">
        <v>1055</v>
      </c>
      <c r="BT42" t="str">
        <f>HYPERLINK("https%3A%2F%2Fwww.webofscience.com%2Fwos%2Fwoscc%2Ffull-record%2FWOS:000758779400001","View Full Record in Web of Science")</f>
        <v>View Full Record in Web of Science</v>
      </c>
    </row>
    <row r="43" spans="1:72" x14ac:dyDescent="0.25">
      <c r="A43" t="s">
        <v>72</v>
      </c>
      <c r="B43" t="s">
        <v>1056</v>
      </c>
      <c r="C43" t="s">
        <v>74</v>
      </c>
      <c r="D43" t="s">
        <v>74</v>
      </c>
      <c r="E43" t="s">
        <v>74</v>
      </c>
      <c r="F43" t="s">
        <v>1057</v>
      </c>
      <c r="G43" t="s">
        <v>74</v>
      </c>
      <c r="H43" t="s">
        <v>74</v>
      </c>
      <c r="I43" t="s">
        <v>1058</v>
      </c>
      <c r="J43" t="s">
        <v>582</v>
      </c>
      <c r="K43" t="s">
        <v>74</v>
      </c>
      <c r="L43" t="s">
        <v>74</v>
      </c>
      <c r="M43" t="s">
        <v>78</v>
      </c>
      <c r="N43" t="s">
        <v>79</v>
      </c>
      <c r="O43" t="s">
        <v>74</v>
      </c>
      <c r="P43" t="s">
        <v>74</v>
      </c>
      <c r="Q43" t="s">
        <v>74</v>
      </c>
      <c r="R43" t="s">
        <v>74</v>
      </c>
      <c r="S43" t="s">
        <v>74</v>
      </c>
      <c r="T43" t="s">
        <v>1059</v>
      </c>
      <c r="U43" t="s">
        <v>1060</v>
      </c>
      <c r="V43" t="s">
        <v>1061</v>
      </c>
      <c r="W43" t="s">
        <v>1062</v>
      </c>
      <c r="X43" t="s">
        <v>1063</v>
      </c>
      <c r="Y43" t="s">
        <v>1064</v>
      </c>
      <c r="Z43" t="s">
        <v>588</v>
      </c>
      <c r="AA43" t="s">
        <v>74</v>
      </c>
      <c r="AB43" t="s">
        <v>74</v>
      </c>
      <c r="AC43" t="s">
        <v>1065</v>
      </c>
      <c r="AD43" t="s">
        <v>1066</v>
      </c>
      <c r="AE43" t="s">
        <v>1067</v>
      </c>
      <c r="AF43" t="s">
        <v>74</v>
      </c>
      <c r="AG43">
        <v>60</v>
      </c>
      <c r="AH43">
        <v>2</v>
      </c>
      <c r="AI43">
        <v>2</v>
      </c>
      <c r="AJ43">
        <v>0</v>
      </c>
      <c r="AK43">
        <v>0</v>
      </c>
      <c r="AL43" t="s">
        <v>251</v>
      </c>
      <c r="AM43" t="s">
        <v>252</v>
      </c>
      <c r="AN43" t="s">
        <v>253</v>
      </c>
      <c r="AO43" t="s">
        <v>594</v>
      </c>
      <c r="AP43" t="s">
        <v>595</v>
      </c>
      <c r="AQ43" t="s">
        <v>74</v>
      </c>
      <c r="AR43" t="s">
        <v>596</v>
      </c>
      <c r="AS43" t="s">
        <v>597</v>
      </c>
      <c r="AT43" t="s">
        <v>1068</v>
      </c>
      <c r="AU43">
        <v>2023</v>
      </c>
      <c r="AV43">
        <v>1274</v>
      </c>
      <c r="AW43" t="s">
        <v>74</v>
      </c>
      <c r="AX43">
        <v>1</v>
      </c>
      <c r="AY43" t="s">
        <v>74</v>
      </c>
      <c r="AZ43" t="s">
        <v>74</v>
      </c>
      <c r="BA43" t="s">
        <v>74</v>
      </c>
      <c r="BB43" t="s">
        <v>74</v>
      </c>
      <c r="BC43" t="s">
        <v>74</v>
      </c>
      <c r="BD43">
        <v>134414</v>
      </c>
      <c r="BE43" t="s">
        <v>1069</v>
      </c>
      <c r="BF43" t="str">
        <f>HYPERLINK("http://dx.doi.org/10.1016/j.molstruc.2022.134414","http://dx.doi.org/10.1016/j.molstruc.2022.134414")</f>
        <v>http://dx.doi.org/10.1016/j.molstruc.2022.134414</v>
      </c>
      <c r="BG43" t="s">
        <v>74</v>
      </c>
      <c r="BH43" t="s">
        <v>74</v>
      </c>
      <c r="BI43">
        <v>11</v>
      </c>
      <c r="BJ43" t="s">
        <v>600</v>
      </c>
      <c r="BK43" t="s">
        <v>101</v>
      </c>
      <c r="BL43" t="s">
        <v>206</v>
      </c>
      <c r="BM43" t="s">
        <v>1070</v>
      </c>
      <c r="BN43" t="s">
        <v>74</v>
      </c>
      <c r="BO43" t="s">
        <v>74</v>
      </c>
      <c r="BP43" t="s">
        <v>74</v>
      </c>
      <c r="BQ43" t="s">
        <v>74</v>
      </c>
      <c r="BR43" t="s">
        <v>104</v>
      </c>
      <c r="BS43" t="s">
        <v>1071</v>
      </c>
      <c r="BT43" t="str">
        <f>HYPERLINK("https%3A%2F%2Fwww.webofscience.com%2Fwos%2Fwoscc%2Ffull-record%2FWOS:000904993000010","View Full Record in Web of Science")</f>
        <v>View Full Record in Web of Science</v>
      </c>
    </row>
    <row r="44" spans="1:72" x14ac:dyDescent="0.25">
      <c r="A44" t="s">
        <v>72</v>
      </c>
      <c r="B44" t="s">
        <v>1072</v>
      </c>
      <c r="C44" t="s">
        <v>74</v>
      </c>
      <c r="D44" t="s">
        <v>74</v>
      </c>
      <c r="E44" t="s">
        <v>74</v>
      </c>
      <c r="F44" t="s">
        <v>1073</v>
      </c>
      <c r="G44" t="s">
        <v>74</v>
      </c>
      <c r="H44" t="s">
        <v>74</v>
      </c>
      <c r="I44" t="s">
        <v>1074</v>
      </c>
      <c r="J44" t="s">
        <v>1075</v>
      </c>
      <c r="K44" t="s">
        <v>74</v>
      </c>
      <c r="L44" t="s">
        <v>74</v>
      </c>
      <c r="M44" t="s">
        <v>78</v>
      </c>
      <c r="N44" t="s">
        <v>79</v>
      </c>
      <c r="O44" t="s">
        <v>74</v>
      </c>
      <c r="P44" t="s">
        <v>74</v>
      </c>
      <c r="Q44" t="s">
        <v>74</v>
      </c>
      <c r="R44" t="s">
        <v>74</v>
      </c>
      <c r="S44" t="s">
        <v>74</v>
      </c>
      <c r="T44" t="s">
        <v>1076</v>
      </c>
      <c r="U44" t="s">
        <v>1077</v>
      </c>
      <c r="V44" t="s">
        <v>1078</v>
      </c>
      <c r="W44" t="s">
        <v>1079</v>
      </c>
      <c r="X44" t="s">
        <v>1080</v>
      </c>
      <c r="Y44" t="s">
        <v>1081</v>
      </c>
      <c r="Z44" t="s">
        <v>1082</v>
      </c>
      <c r="AA44" t="s">
        <v>368</v>
      </c>
      <c r="AB44" t="s">
        <v>1083</v>
      </c>
      <c r="AC44" t="s">
        <v>74</v>
      </c>
      <c r="AD44" t="s">
        <v>74</v>
      </c>
      <c r="AE44" t="s">
        <v>74</v>
      </c>
      <c r="AF44" t="s">
        <v>74</v>
      </c>
      <c r="AG44">
        <v>92</v>
      </c>
      <c r="AH44">
        <v>5</v>
      </c>
      <c r="AI44">
        <v>5</v>
      </c>
      <c r="AJ44">
        <v>0</v>
      </c>
      <c r="AK44">
        <v>3</v>
      </c>
      <c r="AL44" t="s">
        <v>251</v>
      </c>
      <c r="AM44" t="s">
        <v>252</v>
      </c>
      <c r="AN44" t="s">
        <v>253</v>
      </c>
      <c r="AO44" t="s">
        <v>74</v>
      </c>
      <c r="AP44" t="s">
        <v>1084</v>
      </c>
      <c r="AQ44" t="s">
        <v>74</v>
      </c>
      <c r="AR44" t="s">
        <v>1085</v>
      </c>
      <c r="AS44" t="s">
        <v>1086</v>
      </c>
      <c r="AT44" t="s">
        <v>98</v>
      </c>
      <c r="AU44">
        <v>2022</v>
      </c>
      <c r="AV44">
        <v>39</v>
      </c>
      <c r="AW44" t="s">
        <v>74</v>
      </c>
      <c r="AX44" t="s">
        <v>74</v>
      </c>
      <c r="AY44" t="s">
        <v>74</v>
      </c>
      <c r="AZ44" t="s">
        <v>74</v>
      </c>
      <c r="BA44" t="s">
        <v>74</v>
      </c>
      <c r="BB44" t="s">
        <v>74</v>
      </c>
      <c r="BC44" t="s">
        <v>74</v>
      </c>
      <c r="BD44">
        <v>102281</v>
      </c>
      <c r="BE44" t="s">
        <v>1087</v>
      </c>
      <c r="BF44" t="str">
        <f>HYPERLINK("http://dx.doi.org/10.1016/j.bcab.2022.102281","http://dx.doi.org/10.1016/j.bcab.2022.102281")</f>
        <v>http://dx.doi.org/10.1016/j.bcab.2022.102281</v>
      </c>
      <c r="BG44" t="s">
        <v>74</v>
      </c>
      <c r="BH44" t="s">
        <v>74</v>
      </c>
      <c r="BI44">
        <v>12</v>
      </c>
      <c r="BJ44" t="s">
        <v>1088</v>
      </c>
      <c r="BK44" t="s">
        <v>180</v>
      </c>
      <c r="BL44" t="s">
        <v>1088</v>
      </c>
      <c r="BM44" t="s">
        <v>1089</v>
      </c>
      <c r="BN44" t="s">
        <v>74</v>
      </c>
      <c r="BO44" t="s">
        <v>74</v>
      </c>
      <c r="BP44" t="s">
        <v>74</v>
      </c>
      <c r="BQ44" t="s">
        <v>74</v>
      </c>
      <c r="BR44" t="s">
        <v>104</v>
      </c>
      <c r="BS44" t="s">
        <v>1090</v>
      </c>
      <c r="BT44" t="str">
        <f>HYPERLINK("https%3A%2F%2Fwww.webofscience.com%2Fwos%2Fwoscc%2Ffull-record%2FWOS:000768808800001","View Full Record in Web of Science")</f>
        <v>View Full Record in Web of Science</v>
      </c>
    </row>
    <row r="45" spans="1:72" x14ac:dyDescent="0.25">
      <c r="A45" t="s">
        <v>72</v>
      </c>
      <c r="B45" t="s">
        <v>1091</v>
      </c>
      <c r="C45" t="s">
        <v>74</v>
      </c>
      <c r="D45" t="s">
        <v>74</v>
      </c>
      <c r="E45" t="s">
        <v>74</v>
      </c>
      <c r="F45" t="s">
        <v>1092</v>
      </c>
      <c r="G45" t="s">
        <v>74</v>
      </c>
      <c r="H45" t="s">
        <v>74</v>
      </c>
      <c r="I45" t="s">
        <v>1093</v>
      </c>
      <c r="J45" t="s">
        <v>291</v>
      </c>
      <c r="K45" t="s">
        <v>74</v>
      </c>
      <c r="L45" t="s">
        <v>74</v>
      </c>
      <c r="M45" t="s">
        <v>78</v>
      </c>
      <c r="N45" t="s">
        <v>79</v>
      </c>
      <c r="O45" t="s">
        <v>74</v>
      </c>
      <c r="P45" t="s">
        <v>74</v>
      </c>
      <c r="Q45" t="s">
        <v>74</v>
      </c>
      <c r="R45" t="s">
        <v>74</v>
      </c>
      <c r="S45" t="s">
        <v>74</v>
      </c>
      <c r="T45" t="s">
        <v>1094</v>
      </c>
      <c r="U45" t="s">
        <v>1095</v>
      </c>
      <c r="V45" t="s">
        <v>1096</v>
      </c>
      <c r="W45" t="s">
        <v>1097</v>
      </c>
      <c r="X45" t="s">
        <v>84</v>
      </c>
      <c r="Y45" t="s">
        <v>1098</v>
      </c>
      <c r="Z45" t="s">
        <v>1099</v>
      </c>
      <c r="AA45" t="s">
        <v>74</v>
      </c>
      <c r="AB45" t="s">
        <v>74</v>
      </c>
      <c r="AC45" t="s">
        <v>74</v>
      </c>
      <c r="AD45" t="s">
        <v>74</v>
      </c>
      <c r="AE45" t="s">
        <v>74</v>
      </c>
      <c r="AF45" t="s">
        <v>74</v>
      </c>
      <c r="AG45">
        <v>25</v>
      </c>
      <c r="AH45">
        <v>0</v>
      </c>
      <c r="AI45">
        <v>0</v>
      </c>
      <c r="AJ45">
        <v>0</v>
      </c>
      <c r="AK45">
        <v>0</v>
      </c>
      <c r="AL45" t="s">
        <v>300</v>
      </c>
      <c r="AM45" t="s">
        <v>301</v>
      </c>
      <c r="AN45" t="s">
        <v>302</v>
      </c>
      <c r="AO45" t="s">
        <v>303</v>
      </c>
      <c r="AP45" t="s">
        <v>304</v>
      </c>
      <c r="AQ45" t="s">
        <v>74</v>
      </c>
      <c r="AR45" t="s">
        <v>305</v>
      </c>
      <c r="AS45" t="s">
        <v>306</v>
      </c>
      <c r="AT45" t="s">
        <v>74</v>
      </c>
      <c r="AU45">
        <v>2022</v>
      </c>
      <c r="AV45">
        <v>18</v>
      </c>
      <c r="AW45">
        <v>1</v>
      </c>
      <c r="AX45" t="s">
        <v>74</v>
      </c>
      <c r="AY45" t="s">
        <v>74</v>
      </c>
      <c r="AZ45" t="s">
        <v>74</v>
      </c>
      <c r="BA45" t="s">
        <v>74</v>
      </c>
      <c r="BB45" t="s">
        <v>74</v>
      </c>
      <c r="BC45" t="s">
        <v>74</v>
      </c>
      <c r="BD45" t="s">
        <v>74</v>
      </c>
      <c r="BE45" t="s">
        <v>1100</v>
      </c>
      <c r="BF45" t="str">
        <f>HYPERLINK("http://dx.doi.org/10.16925/2357-6014.2022.01.07","http://dx.doi.org/10.16925/2357-6014.2022.01.07")</f>
        <v>http://dx.doi.org/10.16925/2357-6014.2022.01.07</v>
      </c>
      <c r="BG45" t="s">
        <v>74</v>
      </c>
      <c r="BH45" t="s">
        <v>74</v>
      </c>
      <c r="BI45">
        <v>18</v>
      </c>
      <c r="BJ45" t="s">
        <v>308</v>
      </c>
      <c r="BK45" t="s">
        <v>180</v>
      </c>
      <c r="BL45" t="s">
        <v>309</v>
      </c>
      <c r="BM45" t="s">
        <v>310</v>
      </c>
      <c r="BN45" t="s">
        <v>74</v>
      </c>
      <c r="BO45" t="s">
        <v>74</v>
      </c>
      <c r="BP45" t="s">
        <v>74</v>
      </c>
      <c r="BQ45" t="s">
        <v>74</v>
      </c>
      <c r="BR45" t="s">
        <v>104</v>
      </c>
      <c r="BS45" t="s">
        <v>1101</v>
      </c>
      <c r="BT45" t="str">
        <f>HYPERLINK("https%3A%2F%2Fwww.webofscience.com%2Fwos%2Fwoscc%2Ffull-record%2FWOS:000835195900002","View Full Record in Web of Science")</f>
        <v>View Full Record in Web of Science</v>
      </c>
    </row>
    <row r="46" spans="1:72" x14ac:dyDescent="0.25">
      <c r="A46" t="s">
        <v>72</v>
      </c>
      <c r="B46" t="s">
        <v>1102</v>
      </c>
      <c r="C46" t="s">
        <v>74</v>
      </c>
      <c r="D46" t="s">
        <v>74</v>
      </c>
      <c r="E46" t="s">
        <v>74</v>
      </c>
      <c r="F46" t="s">
        <v>1103</v>
      </c>
      <c r="G46" t="s">
        <v>74</v>
      </c>
      <c r="H46" t="s">
        <v>74</v>
      </c>
      <c r="I46" t="s">
        <v>1104</v>
      </c>
      <c r="J46" t="s">
        <v>1105</v>
      </c>
      <c r="K46" t="s">
        <v>74</v>
      </c>
      <c r="L46" t="s">
        <v>74</v>
      </c>
      <c r="M46" t="s">
        <v>78</v>
      </c>
      <c r="N46" t="s">
        <v>79</v>
      </c>
      <c r="O46" t="s">
        <v>74</v>
      </c>
      <c r="P46" t="s">
        <v>74</v>
      </c>
      <c r="Q46" t="s">
        <v>74</v>
      </c>
      <c r="R46" t="s">
        <v>74</v>
      </c>
      <c r="S46" t="s">
        <v>74</v>
      </c>
      <c r="T46" t="s">
        <v>1106</v>
      </c>
      <c r="U46" t="s">
        <v>1107</v>
      </c>
      <c r="V46" t="s">
        <v>1108</v>
      </c>
      <c r="W46" t="s">
        <v>1109</v>
      </c>
      <c r="X46" t="s">
        <v>84</v>
      </c>
      <c r="Y46" t="s">
        <v>1110</v>
      </c>
      <c r="Z46" t="s">
        <v>1111</v>
      </c>
      <c r="AA46" t="s">
        <v>1112</v>
      </c>
      <c r="AB46" t="s">
        <v>1113</v>
      </c>
      <c r="AC46" t="s">
        <v>74</v>
      </c>
      <c r="AD46" t="s">
        <v>74</v>
      </c>
      <c r="AE46" t="s">
        <v>74</v>
      </c>
      <c r="AF46" t="s">
        <v>74</v>
      </c>
      <c r="AG46">
        <v>68</v>
      </c>
      <c r="AH46">
        <v>2</v>
      </c>
      <c r="AI46">
        <v>2</v>
      </c>
      <c r="AJ46">
        <v>4</v>
      </c>
      <c r="AK46">
        <v>9</v>
      </c>
      <c r="AL46" t="s">
        <v>251</v>
      </c>
      <c r="AM46" t="s">
        <v>252</v>
      </c>
      <c r="AN46" t="s">
        <v>253</v>
      </c>
      <c r="AO46" t="s">
        <v>1114</v>
      </c>
      <c r="AP46" t="s">
        <v>1115</v>
      </c>
      <c r="AQ46" t="s">
        <v>74</v>
      </c>
      <c r="AR46" t="s">
        <v>1116</v>
      </c>
      <c r="AS46" t="s">
        <v>1117</v>
      </c>
      <c r="AT46" t="s">
        <v>1118</v>
      </c>
      <c r="AU46">
        <v>2022</v>
      </c>
      <c r="AV46">
        <v>182</v>
      </c>
      <c r="AW46" t="s">
        <v>74</v>
      </c>
      <c r="AX46" t="s">
        <v>74</v>
      </c>
      <c r="AY46" t="s">
        <v>74</v>
      </c>
      <c r="AZ46" t="s">
        <v>74</v>
      </c>
      <c r="BA46" t="s">
        <v>74</v>
      </c>
      <c r="BB46" t="s">
        <v>74</v>
      </c>
      <c r="BC46" t="s">
        <v>74</v>
      </c>
      <c r="BD46">
        <v>105538</v>
      </c>
      <c r="BE46" t="s">
        <v>1119</v>
      </c>
      <c r="BF46" t="str">
        <f>HYPERLINK("http://dx.doi.org/10.1016/j.supflu.2022.105538","http://dx.doi.org/10.1016/j.supflu.2022.105538")</f>
        <v>http://dx.doi.org/10.1016/j.supflu.2022.105538</v>
      </c>
      <c r="BG46" t="s">
        <v>74</v>
      </c>
      <c r="BH46" t="s">
        <v>74</v>
      </c>
      <c r="BI46">
        <v>10</v>
      </c>
      <c r="BJ46" t="s">
        <v>1120</v>
      </c>
      <c r="BK46" t="s">
        <v>101</v>
      </c>
      <c r="BL46" t="s">
        <v>857</v>
      </c>
      <c r="BM46" t="s">
        <v>1121</v>
      </c>
      <c r="BN46" t="s">
        <v>74</v>
      </c>
      <c r="BO46" t="s">
        <v>74</v>
      </c>
      <c r="BP46" t="s">
        <v>74</v>
      </c>
      <c r="BQ46" t="s">
        <v>74</v>
      </c>
      <c r="BR46" t="s">
        <v>104</v>
      </c>
      <c r="BS46" t="s">
        <v>1122</v>
      </c>
      <c r="BT46" t="str">
        <f>HYPERLINK("https%3A%2F%2Fwww.webofscience.com%2Fwos%2Fwoscc%2Ffull-record%2FWOS:000780387500004","View Full Record in Web of Science")</f>
        <v>View Full Record in Web of Science</v>
      </c>
    </row>
    <row r="47" spans="1:72" x14ac:dyDescent="0.25">
      <c r="A47" t="s">
        <v>72</v>
      </c>
      <c r="B47" t="s">
        <v>1123</v>
      </c>
      <c r="C47" t="s">
        <v>74</v>
      </c>
      <c r="D47" t="s">
        <v>74</v>
      </c>
      <c r="E47" t="s">
        <v>74</v>
      </c>
      <c r="F47" t="s">
        <v>1124</v>
      </c>
      <c r="G47" t="s">
        <v>74</v>
      </c>
      <c r="H47" t="s">
        <v>74</v>
      </c>
      <c r="I47" t="s">
        <v>1125</v>
      </c>
      <c r="J47" t="s">
        <v>1126</v>
      </c>
      <c r="K47" t="s">
        <v>74</v>
      </c>
      <c r="L47" t="s">
        <v>74</v>
      </c>
      <c r="M47" t="s">
        <v>78</v>
      </c>
      <c r="N47" t="s">
        <v>79</v>
      </c>
      <c r="O47" t="s">
        <v>74</v>
      </c>
      <c r="P47" t="s">
        <v>74</v>
      </c>
      <c r="Q47" t="s">
        <v>74</v>
      </c>
      <c r="R47" t="s">
        <v>74</v>
      </c>
      <c r="S47" t="s">
        <v>74</v>
      </c>
      <c r="T47" t="s">
        <v>1127</v>
      </c>
      <c r="U47" t="s">
        <v>1128</v>
      </c>
      <c r="V47" t="s">
        <v>1129</v>
      </c>
      <c r="W47" t="s">
        <v>1130</v>
      </c>
      <c r="X47" t="s">
        <v>84</v>
      </c>
      <c r="Y47" t="s">
        <v>1131</v>
      </c>
      <c r="Z47" t="s">
        <v>1132</v>
      </c>
      <c r="AA47" t="s">
        <v>74</v>
      </c>
      <c r="AB47" t="s">
        <v>74</v>
      </c>
      <c r="AC47" t="s">
        <v>74</v>
      </c>
      <c r="AD47" t="s">
        <v>74</v>
      </c>
      <c r="AE47" t="s">
        <v>74</v>
      </c>
      <c r="AF47" t="s">
        <v>74</v>
      </c>
      <c r="AG47">
        <v>57</v>
      </c>
      <c r="AH47">
        <v>0</v>
      </c>
      <c r="AI47">
        <v>0</v>
      </c>
      <c r="AJ47">
        <v>0</v>
      </c>
      <c r="AK47">
        <v>0</v>
      </c>
      <c r="AL47" t="s">
        <v>1133</v>
      </c>
      <c r="AM47" t="s">
        <v>1134</v>
      </c>
      <c r="AN47" t="s">
        <v>1135</v>
      </c>
      <c r="AO47" t="s">
        <v>1136</v>
      </c>
      <c r="AP47" t="s">
        <v>1137</v>
      </c>
      <c r="AQ47" t="s">
        <v>74</v>
      </c>
      <c r="AR47" t="s">
        <v>1138</v>
      </c>
      <c r="AS47" t="s">
        <v>1139</v>
      </c>
      <c r="AT47" t="s">
        <v>74</v>
      </c>
      <c r="AU47">
        <v>2022</v>
      </c>
      <c r="AV47">
        <v>62</v>
      </c>
      <c r="AW47">
        <v>1</v>
      </c>
      <c r="AX47" t="s">
        <v>74</v>
      </c>
      <c r="AY47" t="s">
        <v>74</v>
      </c>
      <c r="AZ47" t="s">
        <v>74</v>
      </c>
      <c r="BA47" t="s">
        <v>74</v>
      </c>
      <c r="BB47">
        <v>50</v>
      </c>
      <c r="BC47">
        <v>70</v>
      </c>
      <c r="BD47" t="s">
        <v>74</v>
      </c>
      <c r="BE47" t="s">
        <v>1140</v>
      </c>
      <c r="BF47" t="str">
        <f>HYPERLINK("http://dx.doi.org/10.30827/cuadgeo.v62i1.18025","http://dx.doi.org/10.30827/cuadgeo.v62i1.18025")</f>
        <v>http://dx.doi.org/10.30827/cuadgeo.v62i1.18025</v>
      </c>
      <c r="BG47" t="s">
        <v>74</v>
      </c>
      <c r="BH47" t="s">
        <v>74</v>
      </c>
      <c r="BI47">
        <v>21</v>
      </c>
      <c r="BJ47" t="s">
        <v>1141</v>
      </c>
      <c r="BK47" t="s">
        <v>180</v>
      </c>
      <c r="BL47" t="s">
        <v>1141</v>
      </c>
      <c r="BM47" t="s">
        <v>1142</v>
      </c>
      <c r="BN47" t="s">
        <v>74</v>
      </c>
      <c r="BO47" t="s">
        <v>383</v>
      </c>
      <c r="BP47" t="s">
        <v>74</v>
      </c>
      <c r="BQ47" t="s">
        <v>74</v>
      </c>
      <c r="BR47" t="s">
        <v>104</v>
      </c>
      <c r="BS47" t="s">
        <v>1143</v>
      </c>
      <c r="BT47" t="str">
        <f>HYPERLINK("https%3A%2F%2Fwww.webofscience.com%2Fwos%2Fwoscc%2Ffull-record%2FWOS:000890288900001","View Full Record in Web of Science")</f>
        <v>View Full Record in Web of Science</v>
      </c>
    </row>
    <row r="48" spans="1:72" x14ac:dyDescent="0.25">
      <c r="A48" t="s">
        <v>72</v>
      </c>
      <c r="B48" t="s">
        <v>1144</v>
      </c>
      <c r="C48" t="s">
        <v>74</v>
      </c>
      <c r="D48" t="s">
        <v>74</v>
      </c>
      <c r="E48" t="s">
        <v>74</v>
      </c>
      <c r="F48" t="s">
        <v>1145</v>
      </c>
      <c r="G48" t="s">
        <v>74</v>
      </c>
      <c r="H48" t="s">
        <v>74</v>
      </c>
      <c r="I48" t="s">
        <v>1146</v>
      </c>
      <c r="J48" t="s">
        <v>1147</v>
      </c>
      <c r="K48" t="s">
        <v>74</v>
      </c>
      <c r="L48" t="s">
        <v>74</v>
      </c>
      <c r="M48" t="s">
        <v>78</v>
      </c>
      <c r="N48" t="s">
        <v>135</v>
      </c>
      <c r="O48" t="s">
        <v>74</v>
      </c>
      <c r="P48" t="s">
        <v>74</v>
      </c>
      <c r="Q48" t="s">
        <v>74</v>
      </c>
      <c r="R48" t="s">
        <v>74</v>
      </c>
      <c r="S48" t="s">
        <v>74</v>
      </c>
      <c r="T48" t="s">
        <v>1148</v>
      </c>
      <c r="U48" t="s">
        <v>74</v>
      </c>
      <c r="V48" t="s">
        <v>1149</v>
      </c>
      <c r="W48" t="s">
        <v>1150</v>
      </c>
      <c r="X48" t="s">
        <v>84</v>
      </c>
      <c r="Y48" t="s">
        <v>1151</v>
      </c>
      <c r="Z48" t="s">
        <v>1152</v>
      </c>
      <c r="AA48" t="s">
        <v>74</v>
      </c>
      <c r="AB48" t="s">
        <v>1153</v>
      </c>
      <c r="AC48" t="s">
        <v>74</v>
      </c>
      <c r="AD48" t="s">
        <v>74</v>
      </c>
      <c r="AE48" t="s">
        <v>74</v>
      </c>
      <c r="AF48" t="s">
        <v>74</v>
      </c>
      <c r="AG48">
        <v>8</v>
      </c>
      <c r="AH48">
        <v>0</v>
      </c>
      <c r="AI48">
        <v>0</v>
      </c>
      <c r="AJ48">
        <v>0</v>
      </c>
      <c r="AK48">
        <v>0</v>
      </c>
      <c r="AL48" t="s">
        <v>1154</v>
      </c>
      <c r="AM48" t="s">
        <v>1155</v>
      </c>
      <c r="AN48" t="s">
        <v>1156</v>
      </c>
      <c r="AO48" t="s">
        <v>74</v>
      </c>
      <c r="AP48" t="s">
        <v>1157</v>
      </c>
      <c r="AQ48" t="s">
        <v>74</v>
      </c>
      <c r="AR48" t="s">
        <v>1158</v>
      </c>
      <c r="AS48" t="s">
        <v>1159</v>
      </c>
      <c r="AT48" t="s">
        <v>74</v>
      </c>
      <c r="AU48" t="s">
        <v>74</v>
      </c>
      <c r="AV48" t="s">
        <v>74</v>
      </c>
      <c r="AW48" t="s">
        <v>74</v>
      </c>
      <c r="AX48" t="s">
        <v>74</v>
      </c>
      <c r="AY48" t="s">
        <v>74</v>
      </c>
      <c r="AZ48" t="s">
        <v>74</v>
      </c>
      <c r="BA48" t="s">
        <v>74</v>
      </c>
      <c r="BB48" t="s">
        <v>74</v>
      </c>
      <c r="BC48" t="s">
        <v>74</v>
      </c>
      <c r="BD48" t="s">
        <v>74</v>
      </c>
      <c r="BE48" t="s">
        <v>1160</v>
      </c>
      <c r="BF48" t="str">
        <f>HYPERLINK("http://dx.doi.org/10.34172/ijhpm.2022.6974","http://dx.doi.org/10.34172/ijhpm.2022.6974")</f>
        <v>http://dx.doi.org/10.34172/ijhpm.2022.6974</v>
      </c>
      <c r="BG48" t="s">
        <v>74</v>
      </c>
      <c r="BH48" t="s">
        <v>492</v>
      </c>
      <c r="BI48">
        <v>8</v>
      </c>
      <c r="BJ48" t="s">
        <v>1161</v>
      </c>
      <c r="BK48" t="s">
        <v>284</v>
      </c>
      <c r="BL48" t="s">
        <v>1162</v>
      </c>
      <c r="BM48" t="s">
        <v>1163</v>
      </c>
      <c r="BN48">
        <v>35942964</v>
      </c>
      <c r="BO48" t="s">
        <v>103</v>
      </c>
      <c r="BP48" t="s">
        <v>74</v>
      </c>
      <c r="BQ48" t="s">
        <v>74</v>
      </c>
      <c r="BR48" t="s">
        <v>104</v>
      </c>
      <c r="BS48" t="s">
        <v>1164</v>
      </c>
      <c r="BT48" t="str">
        <f>HYPERLINK("https%3A%2F%2Fwww.webofscience.com%2Fwos%2Fwoscc%2Ffull-record%2FWOS:000810653700001","View Full Record in Web of Science")</f>
        <v>View Full Record in Web of Science</v>
      </c>
    </row>
    <row r="49" spans="1:72" x14ac:dyDescent="0.25">
      <c r="A49" t="s">
        <v>72</v>
      </c>
      <c r="B49" t="s">
        <v>1165</v>
      </c>
      <c r="C49" t="s">
        <v>74</v>
      </c>
      <c r="D49" t="s">
        <v>74</v>
      </c>
      <c r="E49" t="s">
        <v>74</v>
      </c>
      <c r="F49" t="s">
        <v>1166</v>
      </c>
      <c r="G49" t="s">
        <v>74</v>
      </c>
      <c r="H49" t="s">
        <v>74</v>
      </c>
      <c r="I49" t="s">
        <v>1167</v>
      </c>
      <c r="J49" t="s">
        <v>1168</v>
      </c>
      <c r="K49" t="s">
        <v>74</v>
      </c>
      <c r="L49" t="s">
        <v>74</v>
      </c>
      <c r="M49" t="s">
        <v>78</v>
      </c>
      <c r="N49" t="s">
        <v>79</v>
      </c>
      <c r="O49" t="s">
        <v>74</v>
      </c>
      <c r="P49" t="s">
        <v>74</v>
      </c>
      <c r="Q49" t="s">
        <v>74</v>
      </c>
      <c r="R49" t="s">
        <v>74</v>
      </c>
      <c r="S49" t="s">
        <v>74</v>
      </c>
      <c r="T49" t="s">
        <v>74</v>
      </c>
      <c r="U49" t="s">
        <v>1169</v>
      </c>
      <c r="V49" t="s">
        <v>1170</v>
      </c>
      <c r="W49" t="s">
        <v>1171</v>
      </c>
      <c r="X49" t="s">
        <v>84</v>
      </c>
      <c r="Y49" t="s">
        <v>1172</v>
      </c>
      <c r="Z49" t="s">
        <v>1173</v>
      </c>
      <c r="AA49" t="s">
        <v>74</v>
      </c>
      <c r="AB49" t="s">
        <v>1174</v>
      </c>
      <c r="AC49" t="s">
        <v>74</v>
      </c>
      <c r="AD49" t="s">
        <v>74</v>
      </c>
      <c r="AE49" t="s">
        <v>74</v>
      </c>
      <c r="AF49" t="s">
        <v>74</v>
      </c>
      <c r="AG49">
        <v>45</v>
      </c>
      <c r="AH49">
        <v>0</v>
      </c>
      <c r="AI49">
        <v>0</v>
      </c>
      <c r="AJ49">
        <v>2</v>
      </c>
      <c r="AK49">
        <v>2</v>
      </c>
      <c r="AL49" t="s">
        <v>510</v>
      </c>
      <c r="AM49" t="s">
        <v>460</v>
      </c>
      <c r="AN49" t="s">
        <v>511</v>
      </c>
      <c r="AO49" t="s">
        <v>1175</v>
      </c>
      <c r="AP49" t="s">
        <v>1176</v>
      </c>
      <c r="AQ49" t="s">
        <v>74</v>
      </c>
      <c r="AR49" t="s">
        <v>1177</v>
      </c>
      <c r="AS49" t="s">
        <v>1178</v>
      </c>
      <c r="AT49" t="s">
        <v>1179</v>
      </c>
      <c r="AU49">
        <v>2022</v>
      </c>
      <c r="AV49">
        <v>2022</v>
      </c>
      <c r="AW49" t="s">
        <v>74</v>
      </c>
      <c r="AX49" t="s">
        <v>74</v>
      </c>
      <c r="AY49" t="s">
        <v>74</v>
      </c>
      <c r="AZ49" t="s">
        <v>74</v>
      </c>
      <c r="BA49" t="s">
        <v>74</v>
      </c>
      <c r="BB49" t="s">
        <v>74</v>
      </c>
      <c r="BC49" t="s">
        <v>74</v>
      </c>
      <c r="BD49">
        <v>7436651</v>
      </c>
      <c r="BE49" t="s">
        <v>1180</v>
      </c>
      <c r="BF49" t="str">
        <f>HYPERLINK("http://dx.doi.org/10.1155/2022/7436651","http://dx.doi.org/10.1155/2022/7436651")</f>
        <v>http://dx.doi.org/10.1155/2022/7436651</v>
      </c>
      <c r="BG49" t="s">
        <v>74</v>
      </c>
      <c r="BH49" t="s">
        <v>74</v>
      </c>
      <c r="BI49">
        <v>7</v>
      </c>
      <c r="BJ49" t="s">
        <v>1181</v>
      </c>
      <c r="BK49" t="s">
        <v>180</v>
      </c>
      <c r="BL49" t="s">
        <v>1181</v>
      </c>
      <c r="BM49" t="s">
        <v>1182</v>
      </c>
      <c r="BN49">
        <v>35880197</v>
      </c>
      <c r="BO49" t="s">
        <v>103</v>
      </c>
      <c r="BP49" t="s">
        <v>74</v>
      </c>
      <c r="BQ49" t="s">
        <v>74</v>
      </c>
      <c r="BR49" t="s">
        <v>104</v>
      </c>
      <c r="BS49" t="s">
        <v>1183</v>
      </c>
      <c r="BT49" t="str">
        <f>HYPERLINK("https%3A%2F%2Fwww.webofscience.com%2Fwos%2Fwoscc%2Ffull-record%2FWOS:000831908400001","View Full Record in Web of Science")</f>
        <v>View Full Record in Web of Science</v>
      </c>
    </row>
    <row r="50" spans="1:72" x14ac:dyDescent="0.25">
      <c r="A50" t="s">
        <v>72</v>
      </c>
      <c r="B50" t="s">
        <v>1184</v>
      </c>
      <c r="C50" t="s">
        <v>74</v>
      </c>
      <c r="D50" t="s">
        <v>74</v>
      </c>
      <c r="E50" t="s">
        <v>74</v>
      </c>
      <c r="F50" t="s">
        <v>1185</v>
      </c>
      <c r="G50" t="s">
        <v>74</v>
      </c>
      <c r="H50" t="s">
        <v>74</v>
      </c>
      <c r="I50" t="s">
        <v>1186</v>
      </c>
      <c r="J50" t="s">
        <v>1187</v>
      </c>
      <c r="K50" t="s">
        <v>74</v>
      </c>
      <c r="L50" t="s">
        <v>74</v>
      </c>
      <c r="M50" t="s">
        <v>78</v>
      </c>
      <c r="N50" t="s">
        <v>79</v>
      </c>
      <c r="O50" t="s">
        <v>74</v>
      </c>
      <c r="P50" t="s">
        <v>74</v>
      </c>
      <c r="Q50" t="s">
        <v>74</v>
      </c>
      <c r="R50" t="s">
        <v>74</v>
      </c>
      <c r="S50" t="s">
        <v>74</v>
      </c>
      <c r="T50" t="s">
        <v>1188</v>
      </c>
      <c r="U50" t="s">
        <v>74</v>
      </c>
      <c r="V50" t="s">
        <v>1189</v>
      </c>
      <c r="W50" t="s">
        <v>1190</v>
      </c>
      <c r="X50" t="s">
        <v>84</v>
      </c>
      <c r="Y50" t="s">
        <v>1191</v>
      </c>
      <c r="Z50" t="s">
        <v>1192</v>
      </c>
      <c r="AA50" t="s">
        <v>74</v>
      </c>
      <c r="AB50" t="s">
        <v>1193</v>
      </c>
      <c r="AC50" t="s">
        <v>1194</v>
      </c>
      <c r="AD50" t="s">
        <v>1195</v>
      </c>
      <c r="AE50" t="s">
        <v>1196</v>
      </c>
      <c r="AF50" t="s">
        <v>74</v>
      </c>
      <c r="AG50">
        <v>13</v>
      </c>
      <c r="AH50">
        <v>0</v>
      </c>
      <c r="AI50">
        <v>0</v>
      </c>
      <c r="AJ50">
        <v>3</v>
      </c>
      <c r="AK50">
        <v>3</v>
      </c>
      <c r="AL50" t="s">
        <v>92</v>
      </c>
      <c r="AM50" t="s">
        <v>93</v>
      </c>
      <c r="AN50" t="s">
        <v>94</v>
      </c>
      <c r="AO50" t="s">
        <v>74</v>
      </c>
      <c r="AP50" t="s">
        <v>1197</v>
      </c>
      <c r="AQ50" t="s">
        <v>74</v>
      </c>
      <c r="AR50" t="s">
        <v>1198</v>
      </c>
      <c r="AS50" t="s">
        <v>1199</v>
      </c>
      <c r="AT50" t="s">
        <v>416</v>
      </c>
      <c r="AU50">
        <v>2022</v>
      </c>
      <c r="AV50">
        <v>12</v>
      </c>
      <c r="AW50">
        <v>18</v>
      </c>
      <c r="AX50" t="s">
        <v>74</v>
      </c>
      <c r="AY50" t="s">
        <v>74</v>
      </c>
      <c r="AZ50" t="s">
        <v>74</v>
      </c>
      <c r="BA50" t="s">
        <v>74</v>
      </c>
      <c r="BB50" t="s">
        <v>74</v>
      </c>
      <c r="BC50" t="s">
        <v>74</v>
      </c>
      <c r="BD50">
        <v>9371</v>
      </c>
      <c r="BE50" t="s">
        <v>1200</v>
      </c>
      <c r="BF50" t="str">
        <f>HYPERLINK("http://dx.doi.org/10.3390/app12189371","http://dx.doi.org/10.3390/app12189371")</f>
        <v>http://dx.doi.org/10.3390/app12189371</v>
      </c>
      <c r="BG50" t="s">
        <v>74</v>
      </c>
      <c r="BH50" t="s">
        <v>74</v>
      </c>
      <c r="BI50">
        <v>17</v>
      </c>
      <c r="BJ50" t="s">
        <v>1201</v>
      </c>
      <c r="BK50" t="s">
        <v>101</v>
      </c>
      <c r="BL50" t="s">
        <v>1202</v>
      </c>
      <c r="BM50" t="s">
        <v>1203</v>
      </c>
      <c r="BN50" t="s">
        <v>74</v>
      </c>
      <c r="BO50" t="s">
        <v>183</v>
      </c>
      <c r="BP50" t="s">
        <v>74</v>
      </c>
      <c r="BQ50" t="s">
        <v>74</v>
      </c>
      <c r="BR50" t="s">
        <v>104</v>
      </c>
      <c r="BS50" t="s">
        <v>1204</v>
      </c>
      <c r="BT50" t="str">
        <f>HYPERLINK("https%3A%2F%2Fwww.webofscience.com%2Fwos%2Fwoscc%2Ffull-record%2FWOS:000857598400001","View Full Record in Web of Science")</f>
        <v>View Full Record in Web of Science</v>
      </c>
    </row>
    <row r="51" spans="1:72" x14ac:dyDescent="0.25">
      <c r="A51" t="s">
        <v>72</v>
      </c>
      <c r="B51" t="s">
        <v>1205</v>
      </c>
      <c r="C51" t="s">
        <v>74</v>
      </c>
      <c r="D51" t="s">
        <v>74</v>
      </c>
      <c r="E51" t="s">
        <v>74</v>
      </c>
      <c r="F51" t="s">
        <v>1206</v>
      </c>
      <c r="G51" t="s">
        <v>74</v>
      </c>
      <c r="H51" t="s">
        <v>74</v>
      </c>
      <c r="I51" t="s">
        <v>1207</v>
      </c>
      <c r="J51" t="s">
        <v>1208</v>
      </c>
      <c r="K51" t="s">
        <v>74</v>
      </c>
      <c r="L51" t="s">
        <v>74</v>
      </c>
      <c r="M51" t="s">
        <v>78</v>
      </c>
      <c r="N51" t="s">
        <v>79</v>
      </c>
      <c r="O51" t="s">
        <v>74</v>
      </c>
      <c r="P51" t="s">
        <v>74</v>
      </c>
      <c r="Q51" t="s">
        <v>74</v>
      </c>
      <c r="R51" t="s">
        <v>74</v>
      </c>
      <c r="S51" t="s">
        <v>74</v>
      </c>
      <c r="T51" t="s">
        <v>1209</v>
      </c>
      <c r="U51" t="s">
        <v>1210</v>
      </c>
      <c r="V51" t="s">
        <v>1211</v>
      </c>
      <c r="W51" t="s">
        <v>1212</v>
      </c>
      <c r="X51" t="s">
        <v>1213</v>
      </c>
      <c r="Y51" t="s">
        <v>1214</v>
      </c>
      <c r="Z51" t="s">
        <v>454</v>
      </c>
      <c r="AA51" t="s">
        <v>74</v>
      </c>
      <c r="AB51" t="s">
        <v>74</v>
      </c>
      <c r="AC51" t="s">
        <v>1215</v>
      </c>
      <c r="AD51" t="s">
        <v>1216</v>
      </c>
      <c r="AE51" t="s">
        <v>1217</v>
      </c>
      <c r="AF51" t="s">
        <v>74</v>
      </c>
      <c r="AG51">
        <v>40</v>
      </c>
      <c r="AH51">
        <v>0</v>
      </c>
      <c r="AI51">
        <v>0</v>
      </c>
      <c r="AJ51">
        <v>0</v>
      </c>
      <c r="AK51">
        <v>2</v>
      </c>
      <c r="AL51" t="s">
        <v>146</v>
      </c>
      <c r="AM51" t="s">
        <v>1218</v>
      </c>
      <c r="AN51" t="s">
        <v>1219</v>
      </c>
      <c r="AO51" t="s">
        <v>1220</v>
      </c>
      <c r="AP51" t="s">
        <v>1221</v>
      </c>
      <c r="AQ51" t="s">
        <v>74</v>
      </c>
      <c r="AR51" t="s">
        <v>1222</v>
      </c>
      <c r="AS51" t="s">
        <v>1223</v>
      </c>
      <c r="AT51" t="s">
        <v>416</v>
      </c>
      <c r="AU51">
        <v>2022</v>
      </c>
      <c r="AV51">
        <v>150</v>
      </c>
      <c r="AW51">
        <v>3</v>
      </c>
      <c r="AX51" t="s">
        <v>74</v>
      </c>
      <c r="AY51" t="s">
        <v>74</v>
      </c>
      <c r="AZ51" t="s">
        <v>74</v>
      </c>
      <c r="BA51" t="s">
        <v>74</v>
      </c>
      <c r="BB51">
        <v>627</v>
      </c>
      <c r="BC51">
        <v>636</v>
      </c>
      <c r="BD51" t="s">
        <v>74</v>
      </c>
      <c r="BE51" t="s">
        <v>1224</v>
      </c>
      <c r="BF51" t="str">
        <f>HYPERLINK("http://dx.doi.org/10.1007/s11240-022-02317-1","http://dx.doi.org/10.1007/s11240-022-02317-1")</f>
        <v>http://dx.doi.org/10.1007/s11240-022-02317-1</v>
      </c>
      <c r="BG51" t="s">
        <v>74</v>
      </c>
      <c r="BH51" t="s">
        <v>1225</v>
      </c>
      <c r="BI51">
        <v>10</v>
      </c>
      <c r="BJ51" t="s">
        <v>1226</v>
      </c>
      <c r="BK51" t="s">
        <v>101</v>
      </c>
      <c r="BL51" t="s">
        <v>1226</v>
      </c>
      <c r="BM51" t="s">
        <v>1227</v>
      </c>
      <c r="BN51" t="s">
        <v>74</v>
      </c>
      <c r="BO51" t="s">
        <v>1228</v>
      </c>
      <c r="BP51" t="s">
        <v>74</v>
      </c>
      <c r="BQ51" t="s">
        <v>74</v>
      </c>
      <c r="BR51" t="s">
        <v>104</v>
      </c>
      <c r="BS51" t="s">
        <v>1229</v>
      </c>
      <c r="BT51" t="str">
        <f>HYPERLINK("https%3A%2F%2Fwww.webofscience.com%2Fwos%2Fwoscc%2Ffull-record%2FWOS:000800833700001","View Full Record in Web of Science")</f>
        <v>View Full Record in Web of Science</v>
      </c>
    </row>
    <row r="52" spans="1:72" x14ac:dyDescent="0.25">
      <c r="A52" t="s">
        <v>72</v>
      </c>
      <c r="B52" t="s">
        <v>1230</v>
      </c>
      <c r="C52" t="s">
        <v>74</v>
      </c>
      <c r="D52" t="s">
        <v>74</v>
      </c>
      <c r="E52" t="s">
        <v>74</v>
      </c>
      <c r="F52" t="s">
        <v>1231</v>
      </c>
      <c r="G52" t="s">
        <v>74</v>
      </c>
      <c r="H52" t="s">
        <v>74</v>
      </c>
      <c r="I52" t="s">
        <v>1232</v>
      </c>
      <c r="J52" t="s">
        <v>1233</v>
      </c>
      <c r="K52" t="s">
        <v>74</v>
      </c>
      <c r="L52" t="s">
        <v>74</v>
      </c>
      <c r="M52" t="s">
        <v>1234</v>
      </c>
      <c r="N52" t="s">
        <v>79</v>
      </c>
      <c r="O52" t="s">
        <v>74</v>
      </c>
      <c r="P52" t="s">
        <v>74</v>
      </c>
      <c r="Q52" t="s">
        <v>74</v>
      </c>
      <c r="R52" t="s">
        <v>74</v>
      </c>
      <c r="S52" t="s">
        <v>74</v>
      </c>
      <c r="T52" t="s">
        <v>1235</v>
      </c>
      <c r="U52" t="s">
        <v>74</v>
      </c>
      <c r="V52" t="s">
        <v>1236</v>
      </c>
      <c r="W52" t="s">
        <v>1237</v>
      </c>
      <c r="X52" t="s">
        <v>84</v>
      </c>
      <c r="Y52" t="s">
        <v>1238</v>
      </c>
      <c r="Z52" t="s">
        <v>1239</v>
      </c>
      <c r="AA52" t="s">
        <v>74</v>
      </c>
      <c r="AB52" t="s">
        <v>74</v>
      </c>
      <c r="AC52" t="s">
        <v>74</v>
      </c>
      <c r="AD52" t="s">
        <v>74</v>
      </c>
      <c r="AE52" t="s">
        <v>74</v>
      </c>
      <c r="AF52" t="s">
        <v>74</v>
      </c>
      <c r="AG52">
        <v>44</v>
      </c>
      <c r="AH52">
        <v>0</v>
      </c>
      <c r="AI52">
        <v>0</v>
      </c>
      <c r="AJ52">
        <v>1</v>
      </c>
      <c r="AK52">
        <v>1</v>
      </c>
      <c r="AL52" t="s">
        <v>1240</v>
      </c>
      <c r="AM52" t="s">
        <v>1241</v>
      </c>
      <c r="AN52" t="s">
        <v>1242</v>
      </c>
      <c r="AO52" t="s">
        <v>1243</v>
      </c>
      <c r="AP52" t="s">
        <v>74</v>
      </c>
      <c r="AQ52" t="s">
        <v>74</v>
      </c>
      <c r="AR52" t="s">
        <v>1244</v>
      </c>
      <c r="AS52" t="s">
        <v>1245</v>
      </c>
      <c r="AT52" t="s">
        <v>1246</v>
      </c>
      <c r="AU52">
        <v>2022</v>
      </c>
      <c r="AV52">
        <v>22</v>
      </c>
      <c r="AW52">
        <v>51</v>
      </c>
      <c r="AX52" t="s">
        <v>74</v>
      </c>
      <c r="AY52" t="s">
        <v>74</v>
      </c>
      <c r="AZ52" t="s">
        <v>74</v>
      </c>
      <c r="BA52" t="s">
        <v>74</v>
      </c>
      <c r="BB52" t="s">
        <v>74</v>
      </c>
      <c r="BC52" t="s">
        <v>74</v>
      </c>
      <c r="BD52" t="s">
        <v>1247</v>
      </c>
      <c r="BE52" t="s">
        <v>1248</v>
      </c>
      <c r="BF52" t="str">
        <f>HYPERLINK("http://dx.doi.org/10.24215/15155994e177","http://dx.doi.org/10.24215/15155994e177")</f>
        <v>http://dx.doi.org/10.24215/15155994e177</v>
      </c>
      <c r="BG52" t="s">
        <v>74</v>
      </c>
      <c r="BH52" t="s">
        <v>74</v>
      </c>
      <c r="BI52">
        <v>13</v>
      </c>
      <c r="BJ52" t="s">
        <v>1249</v>
      </c>
      <c r="BK52" t="s">
        <v>180</v>
      </c>
      <c r="BL52" t="s">
        <v>1249</v>
      </c>
      <c r="BM52" t="s">
        <v>1250</v>
      </c>
      <c r="BN52" t="s">
        <v>74</v>
      </c>
      <c r="BO52" t="s">
        <v>103</v>
      </c>
      <c r="BP52" t="s">
        <v>74</v>
      </c>
      <c r="BQ52" t="s">
        <v>74</v>
      </c>
      <c r="BR52" t="s">
        <v>104</v>
      </c>
      <c r="BS52" t="s">
        <v>1251</v>
      </c>
      <c r="BT52" t="str">
        <f>HYPERLINK("https%3A%2F%2Fwww.webofscience.com%2Fwos%2Fwoscc%2Ffull-record%2FWOS:000798750000005","View Full Record in Web of Science")</f>
        <v>View Full Record in Web of Science</v>
      </c>
    </row>
    <row r="53" spans="1:72" x14ac:dyDescent="0.25">
      <c r="A53" t="s">
        <v>72</v>
      </c>
      <c r="B53" t="s">
        <v>1252</v>
      </c>
      <c r="C53" t="s">
        <v>74</v>
      </c>
      <c r="D53" t="s">
        <v>74</v>
      </c>
      <c r="E53" t="s">
        <v>74</v>
      </c>
      <c r="F53" t="s">
        <v>1253</v>
      </c>
      <c r="G53" t="s">
        <v>74</v>
      </c>
      <c r="H53" t="s">
        <v>74</v>
      </c>
      <c r="I53" t="s">
        <v>1254</v>
      </c>
      <c r="J53" t="s">
        <v>1255</v>
      </c>
      <c r="K53" t="s">
        <v>74</v>
      </c>
      <c r="L53" t="s">
        <v>74</v>
      </c>
      <c r="M53" t="s">
        <v>78</v>
      </c>
      <c r="N53" t="s">
        <v>79</v>
      </c>
      <c r="O53" t="s">
        <v>74</v>
      </c>
      <c r="P53" t="s">
        <v>74</v>
      </c>
      <c r="Q53" t="s">
        <v>74</v>
      </c>
      <c r="R53" t="s">
        <v>74</v>
      </c>
      <c r="S53" t="s">
        <v>74</v>
      </c>
      <c r="T53" t="s">
        <v>1256</v>
      </c>
      <c r="U53" t="s">
        <v>1257</v>
      </c>
      <c r="V53" t="s">
        <v>1258</v>
      </c>
      <c r="W53" t="s">
        <v>1259</v>
      </c>
      <c r="X53" t="s">
        <v>140</v>
      </c>
      <c r="Y53" t="s">
        <v>1260</v>
      </c>
      <c r="Z53" t="s">
        <v>1261</v>
      </c>
      <c r="AA53" t="s">
        <v>1262</v>
      </c>
      <c r="AB53" t="s">
        <v>1263</v>
      </c>
      <c r="AC53" t="s">
        <v>1264</v>
      </c>
      <c r="AD53" t="s">
        <v>1265</v>
      </c>
      <c r="AE53" t="s">
        <v>1266</v>
      </c>
      <c r="AF53" t="s">
        <v>74</v>
      </c>
      <c r="AG53">
        <v>75</v>
      </c>
      <c r="AH53">
        <v>0</v>
      </c>
      <c r="AI53">
        <v>0</v>
      </c>
      <c r="AJ53">
        <v>1</v>
      </c>
      <c r="AK53">
        <v>1</v>
      </c>
      <c r="AL53" t="s">
        <v>1267</v>
      </c>
      <c r="AM53" t="s">
        <v>1268</v>
      </c>
      <c r="AN53" t="s">
        <v>1269</v>
      </c>
      <c r="AO53" t="s">
        <v>1270</v>
      </c>
      <c r="AP53" t="s">
        <v>1271</v>
      </c>
      <c r="AQ53" t="s">
        <v>74</v>
      </c>
      <c r="AR53" t="s">
        <v>1255</v>
      </c>
      <c r="AS53" t="s">
        <v>1272</v>
      </c>
      <c r="AT53" t="s">
        <v>281</v>
      </c>
      <c r="AU53">
        <v>2022</v>
      </c>
      <c r="AV53">
        <v>63</v>
      </c>
      <c r="AW53">
        <v>6</v>
      </c>
      <c r="AX53" t="s">
        <v>74</v>
      </c>
      <c r="AY53" t="s">
        <v>74</v>
      </c>
      <c r="AZ53" t="s">
        <v>74</v>
      </c>
      <c r="BA53" t="s">
        <v>74</v>
      </c>
      <c r="BB53">
        <v>611</v>
      </c>
      <c r="BC53">
        <v>625</v>
      </c>
      <c r="BD53" t="s">
        <v>74</v>
      </c>
      <c r="BE53" t="s">
        <v>1273</v>
      </c>
      <c r="BF53" t="str">
        <f>HYPERLINK("http://dx.doi.org/10.1007/s10329-022-01019-8","http://dx.doi.org/10.1007/s10329-022-01019-8")</f>
        <v>http://dx.doi.org/10.1007/s10329-022-01019-8</v>
      </c>
      <c r="BG53" t="s">
        <v>74</v>
      </c>
      <c r="BH53" t="s">
        <v>807</v>
      </c>
      <c r="BI53">
        <v>15</v>
      </c>
      <c r="BJ53" t="s">
        <v>1274</v>
      </c>
      <c r="BK53" t="s">
        <v>101</v>
      </c>
      <c r="BL53" t="s">
        <v>1274</v>
      </c>
      <c r="BM53" t="s">
        <v>1275</v>
      </c>
      <c r="BN53">
        <v>36114442</v>
      </c>
      <c r="BO53" t="s">
        <v>1228</v>
      </c>
      <c r="BP53" t="s">
        <v>74</v>
      </c>
      <c r="BQ53" t="s">
        <v>74</v>
      </c>
      <c r="BR53" t="s">
        <v>104</v>
      </c>
      <c r="BS53" t="s">
        <v>1276</v>
      </c>
      <c r="BT53" t="str">
        <f>HYPERLINK("https%3A%2F%2Fwww.webofscience.com%2Fwos%2Fwoscc%2Ffull-record%2FWOS:000854422800001","View Full Record in Web of Science")</f>
        <v>View Full Record in Web of Science</v>
      </c>
    </row>
    <row r="54" spans="1:72" x14ac:dyDescent="0.25">
      <c r="A54" t="s">
        <v>72</v>
      </c>
      <c r="B54" t="s">
        <v>1277</v>
      </c>
      <c r="C54" t="s">
        <v>74</v>
      </c>
      <c r="D54" t="s">
        <v>74</v>
      </c>
      <c r="E54" t="s">
        <v>74</v>
      </c>
      <c r="F54" t="s">
        <v>1278</v>
      </c>
      <c r="G54" t="s">
        <v>74</v>
      </c>
      <c r="H54" t="s">
        <v>74</v>
      </c>
      <c r="I54" t="s">
        <v>1279</v>
      </c>
      <c r="J54" t="s">
        <v>1280</v>
      </c>
      <c r="K54" t="s">
        <v>74</v>
      </c>
      <c r="L54" t="s">
        <v>74</v>
      </c>
      <c r="M54" t="s">
        <v>78</v>
      </c>
      <c r="N54" t="s">
        <v>79</v>
      </c>
      <c r="O54" t="s">
        <v>74</v>
      </c>
      <c r="P54" t="s">
        <v>74</v>
      </c>
      <c r="Q54" t="s">
        <v>74</v>
      </c>
      <c r="R54" t="s">
        <v>74</v>
      </c>
      <c r="S54" t="s">
        <v>74</v>
      </c>
      <c r="T54" t="s">
        <v>1281</v>
      </c>
      <c r="U54" t="s">
        <v>1282</v>
      </c>
      <c r="V54" t="s">
        <v>1283</v>
      </c>
      <c r="W54" t="s">
        <v>1284</v>
      </c>
      <c r="X54" t="s">
        <v>140</v>
      </c>
      <c r="Y54" t="s">
        <v>1285</v>
      </c>
      <c r="Z54" t="s">
        <v>1286</v>
      </c>
      <c r="AA54" t="s">
        <v>74</v>
      </c>
      <c r="AB54" t="s">
        <v>1287</v>
      </c>
      <c r="AC54" t="s">
        <v>74</v>
      </c>
      <c r="AD54" t="s">
        <v>74</v>
      </c>
      <c r="AE54" t="s">
        <v>74</v>
      </c>
      <c r="AF54" t="s">
        <v>74</v>
      </c>
      <c r="AG54">
        <v>35</v>
      </c>
      <c r="AH54">
        <v>0</v>
      </c>
      <c r="AI54">
        <v>0</v>
      </c>
      <c r="AJ54">
        <v>1</v>
      </c>
      <c r="AK54">
        <v>1</v>
      </c>
      <c r="AL54" t="s">
        <v>1288</v>
      </c>
      <c r="AM54" t="s">
        <v>1289</v>
      </c>
      <c r="AN54" t="s">
        <v>1290</v>
      </c>
      <c r="AO54" t="s">
        <v>1291</v>
      </c>
      <c r="AP54" t="s">
        <v>1292</v>
      </c>
      <c r="AQ54" t="s">
        <v>74</v>
      </c>
      <c r="AR54" t="s">
        <v>1293</v>
      </c>
      <c r="AS54" t="s">
        <v>1294</v>
      </c>
      <c r="AT54" t="s">
        <v>1295</v>
      </c>
      <c r="AU54">
        <v>2022</v>
      </c>
      <c r="AV54">
        <v>39</v>
      </c>
      <c r="AW54">
        <v>1</v>
      </c>
      <c r="AX54" t="s">
        <v>74</v>
      </c>
      <c r="AY54" t="s">
        <v>74</v>
      </c>
      <c r="AZ54" t="s">
        <v>74</v>
      </c>
      <c r="BA54" t="s">
        <v>74</v>
      </c>
      <c r="BB54">
        <v>30</v>
      </c>
      <c r="BC54">
        <v>41</v>
      </c>
      <c r="BD54" t="s">
        <v>74</v>
      </c>
      <c r="BE54" t="s">
        <v>1296</v>
      </c>
      <c r="BF54" t="str">
        <f>HYPERLINK("http://dx.doi.org/10.22267/rcia.223901.169","http://dx.doi.org/10.22267/rcia.223901.169")</f>
        <v>http://dx.doi.org/10.22267/rcia.223901.169</v>
      </c>
      <c r="BG54" t="s">
        <v>74</v>
      </c>
      <c r="BH54" t="s">
        <v>74</v>
      </c>
      <c r="BI54">
        <v>12</v>
      </c>
      <c r="BJ54" t="s">
        <v>355</v>
      </c>
      <c r="BK54" t="s">
        <v>180</v>
      </c>
      <c r="BL54" t="s">
        <v>155</v>
      </c>
      <c r="BM54" t="s">
        <v>1297</v>
      </c>
      <c r="BN54" t="s">
        <v>74</v>
      </c>
      <c r="BO54" t="s">
        <v>383</v>
      </c>
      <c r="BP54" t="s">
        <v>74</v>
      </c>
      <c r="BQ54" t="s">
        <v>74</v>
      </c>
      <c r="BR54" t="s">
        <v>104</v>
      </c>
      <c r="BS54" t="s">
        <v>1298</v>
      </c>
      <c r="BT54" t="str">
        <f>HYPERLINK("https%3A%2F%2Fwww.webofscience.com%2Fwos%2Fwoscc%2Ffull-record%2FWOS:000861324500003","View Full Record in Web of Science")</f>
        <v>View Full Record in Web of Science</v>
      </c>
    </row>
    <row r="55" spans="1:72" x14ac:dyDescent="0.25">
      <c r="A55" t="s">
        <v>72</v>
      </c>
      <c r="B55" t="s">
        <v>1299</v>
      </c>
      <c r="C55" t="s">
        <v>74</v>
      </c>
      <c r="D55" t="s">
        <v>74</v>
      </c>
      <c r="E55" t="s">
        <v>74</v>
      </c>
      <c r="F55" t="s">
        <v>1300</v>
      </c>
      <c r="G55" t="s">
        <v>74</v>
      </c>
      <c r="H55" t="s">
        <v>74</v>
      </c>
      <c r="I55" t="s">
        <v>1301</v>
      </c>
      <c r="J55" t="s">
        <v>1302</v>
      </c>
      <c r="K55" t="s">
        <v>74</v>
      </c>
      <c r="L55" t="s">
        <v>74</v>
      </c>
      <c r="M55" t="s">
        <v>78</v>
      </c>
      <c r="N55" t="s">
        <v>79</v>
      </c>
      <c r="O55" t="s">
        <v>74</v>
      </c>
      <c r="P55" t="s">
        <v>74</v>
      </c>
      <c r="Q55" t="s">
        <v>74</v>
      </c>
      <c r="R55" t="s">
        <v>74</v>
      </c>
      <c r="S55" t="s">
        <v>74</v>
      </c>
      <c r="T55" t="s">
        <v>1303</v>
      </c>
      <c r="U55" t="s">
        <v>1304</v>
      </c>
      <c r="V55" t="s">
        <v>1305</v>
      </c>
      <c r="W55" t="s">
        <v>1306</v>
      </c>
      <c r="X55" t="s">
        <v>272</v>
      </c>
      <c r="Y55" t="s">
        <v>1307</v>
      </c>
      <c r="Z55" t="s">
        <v>1308</v>
      </c>
      <c r="AA55" t="s">
        <v>1309</v>
      </c>
      <c r="AB55" t="s">
        <v>1263</v>
      </c>
      <c r="AC55" t="s">
        <v>1264</v>
      </c>
      <c r="AD55" t="s">
        <v>1265</v>
      </c>
      <c r="AE55" t="s">
        <v>1266</v>
      </c>
      <c r="AF55" t="s">
        <v>74</v>
      </c>
      <c r="AG55">
        <v>22</v>
      </c>
      <c r="AH55">
        <v>1</v>
      </c>
      <c r="AI55">
        <v>1</v>
      </c>
      <c r="AJ55">
        <v>0</v>
      </c>
      <c r="AK55">
        <v>0</v>
      </c>
      <c r="AL55" t="s">
        <v>146</v>
      </c>
      <c r="AM55" t="s">
        <v>147</v>
      </c>
      <c r="AN55" t="s">
        <v>148</v>
      </c>
      <c r="AO55" t="s">
        <v>1310</v>
      </c>
      <c r="AP55" t="s">
        <v>1311</v>
      </c>
      <c r="AQ55" t="s">
        <v>74</v>
      </c>
      <c r="AR55" t="s">
        <v>1302</v>
      </c>
      <c r="AS55" t="s">
        <v>1312</v>
      </c>
      <c r="AT55" t="s">
        <v>1313</v>
      </c>
      <c r="AU55">
        <v>2022</v>
      </c>
      <c r="AV55">
        <v>74</v>
      </c>
      <c r="AW55">
        <v>5</v>
      </c>
      <c r="AX55" t="s">
        <v>74</v>
      </c>
      <c r="AY55" t="s">
        <v>74</v>
      </c>
      <c r="AZ55" t="s">
        <v>74</v>
      </c>
      <c r="BA55" t="s">
        <v>74</v>
      </c>
      <c r="BB55">
        <v>507</v>
      </c>
      <c r="BC55">
        <v>511</v>
      </c>
      <c r="BD55" t="s">
        <v>74</v>
      </c>
      <c r="BE55" t="s">
        <v>1314</v>
      </c>
      <c r="BF55" t="str">
        <f>HYPERLINK("http://dx.doi.org/10.1007/s00251-022-01266-5","http://dx.doi.org/10.1007/s00251-022-01266-5")</f>
        <v>http://dx.doi.org/10.1007/s00251-022-01266-5</v>
      </c>
      <c r="BG55" t="s">
        <v>74</v>
      </c>
      <c r="BH55" t="s">
        <v>1225</v>
      </c>
      <c r="BI55">
        <v>5</v>
      </c>
      <c r="BJ55" t="s">
        <v>1315</v>
      </c>
      <c r="BK55" t="s">
        <v>101</v>
      </c>
      <c r="BL55" t="s">
        <v>1315</v>
      </c>
      <c r="BM55" t="s">
        <v>1316</v>
      </c>
      <c r="BN55">
        <v>35616699</v>
      </c>
      <c r="BO55" t="s">
        <v>74</v>
      </c>
      <c r="BP55" t="s">
        <v>74</v>
      </c>
      <c r="BQ55" t="s">
        <v>74</v>
      </c>
      <c r="BR55" t="s">
        <v>104</v>
      </c>
      <c r="BS55" t="s">
        <v>1317</v>
      </c>
      <c r="BT55" t="str">
        <f>HYPERLINK("https%3A%2F%2Fwww.webofscience.com%2Fwos%2Fwoscc%2Ffull-record%2FWOS:000805543500001","View Full Record in Web of Science")</f>
        <v>View Full Record in Web of Science</v>
      </c>
    </row>
    <row r="56" spans="1:72" x14ac:dyDescent="0.25">
      <c r="A56" t="s">
        <v>72</v>
      </c>
      <c r="B56" t="s">
        <v>1318</v>
      </c>
      <c r="C56" t="s">
        <v>74</v>
      </c>
      <c r="D56" t="s">
        <v>74</v>
      </c>
      <c r="E56" t="s">
        <v>74</v>
      </c>
      <c r="F56" t="s">
        <v>1319</v>
      </c>
      <c r="G56" t="s">
        <v>74</v>
      </c>
      <c r="H56" t="s">
        <v>74</v>
      </c>
      <c r="I56" t="s">
        <v>1320</v>
      </c>
      <c r="J56" t="s">
        <v>1321</v>
      </c>
      <c r="K56" t="s">
        <v>74</v>
      </c>
      <c r="L56" t="s">
        <v>74</v>
      </c>
      <c r="M56" t="s">
        <v>78</v>
      </c>
      <c r="N56" t="s">
        <v>79</v>
      </c>
      <c r="O56" t="s">
        <v>74</v>
      </c>
      <c r="P56" t="s">
        <v>74</v>
      </c>
      <c r="Q56" t="s">
        <v>74</v>
      </c>
      <c r="R56" t="s">
        <v>74</v>
      </c>
      <c r="S56" t="s">
        <v>74</v>
      </c>
      <c r="T56" t="s">
        <v>1322</v>
      </c>
      <c r="U56" t="s">
        <v>1323</v>
      </c>
      <c r="V56" t="s">
        <v>1324</v>
      </c>
      <c r="W56" t="s">
        <v>1325</v>
      </c>
      <c r="X56" t="s">
        <v>1326</v>
      </c>
      <c r="Y56" t="s">
        <v>1327</v>
      </c>
      <c r="Z56" t="s">
        <v>1328</v>
      </c>
      <c r="AA56" t="s">
        <v>74</v>
      </c>
      <c r="AB56" t="s">
        <v>74</v>
      </c>
      <c r="AC56" t="s">
        <v>74</v>
      </c>
      <c r="AD56" t="s">
        <v>74</v>
      </c>
      <c r="AE56" t="s">
        <v>74</v>
      </c>
      <c r="AF56" t="s">
        <v>74</v>
      </c>
      <c r="AG56">
        <v>29</v>
      </c>
      <c r="AH56">
        <v>0</v>
      </c>
      <c r="AI56">
        <v>0</v>
      </c>
      <c r="AJ56">
        <v>0</v>
      </c>
      <c r="AK56">
        <v>0</v>
      </c>
      <c r="AL56" t="s">
        <v>1329</v>
      </c>
      <c r="AM56" t="s">
        <v>1330</v>
      </c>
      <c r="AN56" t="s">
        <v>1331</v>
      </c>
      <c r="AO56" t="s">
        <v>1332</v>
      </c>
      <c r="AP56" t="s">
        <v>1333</v>
      </c>
      <c r="AQ56" t="s">
        <v>74</v>
      </c>
      <c r="AR56" t="s">
        <v>1334</v>
      </c>
      <c r="AS56" t="s">
        <v>1335</v>
      </c>
      <c r="AT56" t="s">
        <v>1336</v>
      </c>
      <c r="AU56">
        <v>2022</v>
      </c>
      <c r="AV56">
        <v>13</v>
      </c>
      <c r="AW56">
        <v>2</v>
      </c>
      <c r="AX56" t="s">
        <v>74</v>
      </c>
      <c r="AY56" t="s">
        <v>74</v>
      </c>
      <c r="AZ56" t="s">
        <v>74</v>
      </c>
      <c r="BA56" t="s">
        <v>74</v>
      </c>
      <c r="BB56" t="s">
        <v>74</v>
      </c>
      <c r="BC56" t="s">
        <v>74</v>
      </c>
      <c r="BD56" t="s">
        <v>1337</v>
      </c>
      <c r="BE56" t="s">
        <v>1338</v>
      </c>
      <c r="BF56" t="str">
        <f>HYPERLINK("http://dx.doi.org/10.15649/cuidarte.2254","http://dx.doi.org/10.15649/cuidarte.2254")</f>
        <v>http://dx.doi.org/10.15649/cuidarte.2254</v>
      </c>
      <c r="BG56" t="s">
        <v>74</v>
      </c>
      <c r="BH56" t="s">
        <v>74</v>
      </c>
      <c r="BI56">
        <v>14</v>
      </c>
      <c r="BJ56" t="s">
        <v>1339</v>
      </c>
      <c r="BK56" t="s">
        <v>180</v>
      </c>
      <c r="BL56" t="s">
        <v>1339</v>
      </c>
      <c r="BM56" t="s">
        <v>1340</v>
      </c>
      <c r="BN56" t="s">
        <v>74</v>
      </c>
      <c r="BO56" t="s">
        <v>129</v>
      </c>
      <c r="BP56" t="s">
        <v>74</v>
      </c>
      <c r="BQ56" t="s">
        <v>74</v>
      </c>
      <c r="BR56" t="s">
        <v>104</v>
      </c>
      <c r="BS56" t="s">
        <v>1341</v>
      </c>
      <c r="BT56" t="str">
        <f>HYPERLINK("https%3A%2F%2Fwww.webofscience.com%2Fwos%2Fwoscc%2Ffull-record%2FWOS:000862979100004","View Full Record in Web of Science")</f>
        <v>View Full Record in Web of Science</v>
      </c>
    </row>
    <row r="57" spans="1:72" x14ac:dyDescent="0.25">
      <c r="A57" t="s">
        <v>72</v>
      </c>
      <c r="B57" t="s">
        <v>1342</v>
      </c>
      <c r="C57" t="s">
        <v>74</v>
      </c>
      <c r="D57" t="s">
        <v>74</v>
      </c>
      <c r="E57" t="s">
        <v>74</v>
      </c>
      <c r="F57" t="s">
        <v>1343</v>
      </c>
      <c r="G57" t="s">
        <v>74</v>
      </c>
      <c r="H57" t="s">
        <v>74</v>
      </c>
      <c r="I57" t="s">
        <v>1344</v>
      </c>
      <c r="J57" t="s">
        <v>1345</v>
      </c>
      <c r="K57" t="s">
        <v>74</v>
      </c>
      <c r="L57" t="s">
        <v>74</v>
      </c>
      <c r="M57" t="s">
        <v>78</v>
      </c>
      <c r="N57" t="s">
        <v>79</v>
      </c>
      <c r="O57" t="s">
        <v>74</v>
      </c>
      <c r="P57" t="s">
        <v>74</v>
      </c>
      <c r="Q57" t="s">
        <v>74</v>
      </c>
      <c r="R57" t="s">
        <v>74</v>
      </c>
      <c r="S57" t="s">
        <v>74</v>
      </c>
      <c r="T57" t="s">
        <v>1346</v>
      </c>
      <c r="U57" t="s">
        <v>74</v>
      </c>
      <c r="V57" t="s">
        <v>1347</v>
      </c>
      <c r="W57" t="s">
        <v>1348</v>
      </c>
      <c r="X57" t="s">
        <v>84</v>
      </c>
      <c r="Y57" t="s">
        <v>1349</v>
      </c>
      <c r="Z57" t="s">
        <v>1350</v>
      </c>
      <c r="AA57" t="s">
        <v>74</v>
      </c>
      <c r="AB57" t="s">
        <v>74</v>
      </c>
      <c r="AC57" t="s">
        <v>1351</v>
      </c>
      <c r="AD57" t="s">
        <v>1352</v>
      </c>
      <c r="AE57" t="s">
        <v>1353</v>
      </c>
      <c r="AF57" t="s">
        <v>74</v>
      </c>
      <c r="AG57">
        <v>68</v>
      </c>
      <c r="AH57">
        <v>0</v>
      </c>
      <c r="AI57">
        <v>0</v>
      </c>
      <c r="AJ57">
        <v>0</v>
      </c>
      <c r="AK57">
        <v>0</v>
      </c>
      <c r="AL57" t="s">
        <v>1354</v>
      </c>
      <c r="AM57" t="s">
        <v>1355</v>
      </c>
      <c r="AN57" t="s">
        <v>1356</v>
      </c>
      <c r="AO57" t="s">
        <v>74</v>
      </c>
      <c r="AP57" t="s">
        <v>1357</v>
      </c>
      <c r="AQ57" t="s">
        <v>74</v>
      </c>
      <c r="AR57" t="s">
        <v>1358</v>
      </c>
      <c r="AS57" t="s">
        <v>1359</v>
      </c>
      <c r="AT57" t="s">
        <v>74</v>
      </c>
      <c r="AU57">
        <v>2022</v>
      </c>
      <c r="AV57">
        <v>17</v>
      </c>
      <c r="AW57">
        <v>1</v>
      </c>
      <c r="AX57" t="s">
        <v>74</v>
      </c>
      <c r="AY57" t="s">
        <v>74</v>
      </c>
      <c r="AZ57" t="s">
        <v>74</v>
      </c>
      <c r="BA57" t="s">
        <v>74</v>
      </c>
      <c r="BB57">
        <v>39</v>
      </c>
      <c r="BC57">
        <v>57</v>
      </c>
      <c r="BD57" t="s">
        <v>74</v>
      </c>
      <c r="BE57" t="s">
        <v>1360</v>
      </c>
      <c r="BF57" t="str">
        <f>HYPERLINK("http://dx.doi.org/10.3897/neotropical.17.e66096","http://dx.doi.org/10.3897/neotropical.17.e66096")</f>
        <v>http://dx.doi.org/10.3897/neotropical.17.e66096</v>
      </c>
      <c r="BG57" t="s">
        <v>74</v>
      </c>
      <c r="BH57" t="s">
        <v>74</v>
      </c>
      <c r="BI57">
        <v>19</v>
      </c>
      <c r="BJ57" t="s">
        <v>1361</v>
      </c>
      <c r="BK57" t="s">
        <v>180</v>
      </c>
      <c r="BL57" t="s">
        <v>1362</v>
      </c>
      <c r="BM57" t="s">
        <v>1363</v>
      </c>
      <c r="BN57" t="s">
        <v>74</v>
      </c>
      <c r="BO57" t="s">
        <v>183</v>
      </c>
      <c r="BP57" t="s">
        <v>74</v>
      </c>
      <c r="BQ57" t="s">
        <v>74</v>
      </c>
      <c r="BR57" t="s">
        <v>104</v>
      </c>
      <c r="BS57" t="s">
        <v>1364</v>
      </c>
      <c r="BT57" t="str">
        <f>HYPERLINK("https%3A%2F%2Fwww.webofscience.com%2Fwos%2Fwoscc%2Ffull-record%2FWOS:000774037900001","View Full Record in Web of Science")</f>
        <v>View Full Record in Web of Science</v>
      </c>
    </row>
    <row r="58" spans="1:72" x14ac:dyDescent="0.25">
      <c r="A58" t="s">
        <v>72</v>
      </c>
      <c r="B58" t="s">
        <v>1365</v>
      </c>
      <c r="C58" t="s">
        <v>74</v>
      </c>
      <c r="D58" t="s">
        <v>74</v>
      </c>
      <c r="E58" t="s">
        <v>74</v>
      </c>
      <c r="F58" t="s">
        <v>1366</v>
      </c>
      <c r="G58" t="s">
        <v>74</v>
      </c>
      <c r="H58" t="s">
        <v>74</v>
      </c>
      <c r="I58" t="s">
        <v>1367</v>
      </c>
      <c r="J58" t="s">
        <v>1368</v>
      </c>
      <c r="K58" t="s">
        <v>74</v>
      </c>
      <c r="L58" t="s">
        <v>74</v>
      </c>
      <c r="M58" t="s">
        <v>1234</v>
      </c>
      <c r="N58" t="s">
        <v>79</v>
      </c>
      <c r="O58" t="s">
        <v>74</v>
      </c>
      <c r="P58" t="s">
        <v>74</v>
      </c>
      <c r="Q58" t="s">
        <v>74</v>
      </c>
      <c r="R58" t="s">
        <v>74</v>
      </c>
      <c r="S58" t="s">
        <v>74</v>
      </c>
      <c r="T58" t="s">
        <v>1369</v>
      </c>
      <c r="U58" t="s">
        <v>74</v>
      </c>
      <c r="V58" t="s">
        <v>1370</v>
      </c>
      <c r="W58" t="s">
        <v>1371</v>
      </c>
      <c r="X58" t="s">
        <v>84</v>
      </c>
      <c r="Y58" t="s">
        <v>1372</v>
      </c>
      <c r="Z58" t="s">
        <v>1373</v>
      </c>
      <c r="AA58" t="s">
        <v>74</v>
      </c>
      <c r="AB58" t="s">
        <v>74</v>
      </c>
      <c r="AC58" t="s">
        <v>74</v>
      </c>
      <c r="AD58" t="s">
        <v>74</v>
      </c>
      <c r="AE58" t="s">
        <v>74</v>
      </c>
      <c r="AF58" t="s">
        <v>74</v>
      </c>
      <c r="AG58">
        <v>18</v>
      </c>
      <c r="AH58">
        <v>0</v>
      </c>
      <c r="AI58">
        <v>0</v>
      </c>
      <c r="AJ58">
        <v>0</v>
      </c>
      <c r="AK58">
        <v>1</v>
      </c>
      <c r="AL58" t="s">
        <v>1374</v>
      </c>
      <c r="AM58" t="s">
        <v>301</v>
      </c>
      <c r="AN58" t="s">
        <v>1375</v>
      </c>
      <c r="AO58" t="s">
        <v>1376</v>
      </c>
      <c r="AP58" t="s">
        <v>1377</v>
      </c>
      <c r="AQ58" t="s">
        <v>74</v>
      </c>
      <c r="AR58" t="s">
        <v>1378</v>
      </c>
      <c r="AS58" t="s">
        <v>1379</v>
      </c>
      <c r="AT58" t="s">
        <v>1295</v>
      </c>
      <c r="AU58">
        <v>2022</v>
      </c>
      <c r="AV58">
        <v>45</v>
      </c>
      <c r="AW58">
        <v>1</v>
      </c>
      <c r="AX58" t="s">
        <v>74</v>
      </c>
      <c r="AY58" t="s">
        <v>74</v>
      </c>
      <c r="AZ58" t="s">
        <v>74</v>
      </c>
      <c r="BA58" t="s">
        <v>74</v>
      </c>
      <c r="BB58">
        <v>197</v>
      </c>
      <c r="BC58">
        <v>217</v>
      </c>
      <c r="BD58" t="s">
        <v>74</v>
      </c>
      <c r="BE58" t="s">
        <v>1380</v>
      </c>
      <c r="BF58" t="str">
        <f>HYPERLINK("http://dx.doi.org/10.15446/rcs.v45n1.90229","http://dx.doi.org/10.15446/rcs.v45n1.90229")</f>
        <v>http://dx.doi.org/10.15446/rcs.v45n1.90229</v>
      </c>
      <c r="BG58" t="s">
        <v>74</v>
      </c>
      <c r="BH58" t="s">
        <v>74</v>
      </c>
      <c r="BI58">
        <v>21</v>
      </c>
      <c r="BJ58" t="s">
        <v>1249</v>
      </c>
      <c r="BK58" t="s">
        <v>180</v>
      </c>
      <c r="BL58" t="s">
        <v>1249</v>
      </c>
      <c r="BM58" t="s">
        <v>1381</v>
      </c>
      <c r="BN58" t="s">
        <v>74</v>
      </c>
      <c r="BO58" t="s">
        <v>74</v>
      </c>
      <c r="BP58" t="s">
        <v>74</v>
      </c>
      <c r="BQ58" t="s">
        <v>74</v>
      </c>
      <c r="BR58" t="s">
        <v>104</v>
      </c>
      <c r="BS58" t="s">
        <v>1382</v>
      </c>
      <c r="BT58" t="str">
        <f>HYPERLINK("https%3A%2F%2Fwww.webofscience.com%2Fwos%2Fwoscc%2Ffull-record%2FWOS:000745658900010","View Full Record in Web of Science")</f>
        <v>View Full Record in Web of Science</v>
      </c>
    </row>
    <row r="59" spans="1:72" x14ac:dyDescent="0.25">
      <c r="A59" t="s">
        <v>72</v>
      </c>
      <c r="B59" t="s">
        <v>1383</v>
      </c>
      <c r="C59" t="s">
        <v>74</v>
      </c>
      <c r="D59" t="s">
        <v>74</v>
      </c>
      <c r="E59" t="s">
        <v>74</v>
      </c>
      <c r="F59" t="s">
        <v>1384</v>
      </c>
      <c r="G59" t="s">
        <v>74</v>
      </c>
      <c r="H59" t="s">
        <v>74</v>
      </c>
      <c r="I59" t="s">
        <v>1385</v>
      </c>
      <c r="J59" t="s">
        <v>1386</v>
      </c>
      <c r="K59" t="s">
        <v>74</v>
      </c>
      <c r="L59" t="s">
        <v>74</v>
      </c>
      <c r="M59" t="s">
        <v>1234</v>
      </c>
      <c r="N59" t="s">
        <v>1387</v>
      </c>
      <c r="O59" t="s">
        <v>74</v>
      </c>
      <c r="P59" t="s">
        <v>74</v>
      </c>
      <c r="Q59" t="s">
        <v>74</v>
      </c>
      <c r="R59" t="s">
        <v>74</v>
      </c>
      <c r="S59" t="s">
        <v>74</v>
      </c>
      <c r="T59" t="s">
        <v>74</v>
      </c>
      <c r="U59" t="s">
        <v>74</v>
      </c>
      <c r="V59" t="s">
        <v>74</v>
      </c>
      <c r="W59" t="s">
        <v>1388</v>
      </c>
      <c r="X59" t="s">
        <v>84</v>
      </c>
      <c r="Y59" t="s">
        <v>1389</v>
      </c>
      <c r="Z59" t="s">
        <v>1390</v>
      </c>
      <c r="AA59" t="s">
        <v>74</v>
      </c>
      <c r="AB59" t="s">
        <v>74</v>
      </c>
      <c r="AC59" t="s">
        <v>74</v>
      </c>
      <c r="AD59" t="s">
        <v>74</v>
      </c>
      <c r="AE59" t="s">
        <v>74</v>
      </c>
      <c r="AF59" t="s">
        <v>74</v>
      </c>
      <c r="AG59">
        <v>1</v>
      </c>
      <c r="AH59">
        <v>0</v>
      </c>
      <c r="AI59">
        <v>0</v>
      </c>
      <c r="AJ59">
        <v>0</v>
      </c>
      <c r="AK59">
        <v>0</v>
      </c>
      <c r="AL59" t="s">
        <v>1391</v>
      </c>
      <c r="AM59" t="s">
        <v>1392</v>
      </c>
      <c r="AN59" t="s">
        <v>1393</v>
      </c>
      <c r="AO59" t="s">
        <v>1394</v>
      </c>
      <c r="AP59" t="s">
        <v>1395</v>
      </c>
      <c r="AQ59" t="s">
        <v>74</v>
      </c>
      <c r="AR59" t="s">
        <v>1396</v>
      </c>
      <c r="AS59" t="s">
        <v>1397</v>
      </c>
      <c r="AT59" t="s">
        <v>1398</v>
      </c>
      <c r="AU59">
        <v>2022</v>
      </c>
      <c r="AV59">
        <v>8</v>
      </c>
      <c r="AW59">
        <v>31</v>
      </c>
      <c r="AX59" t="s">
        <v>74</v>
      </c>
      <c r="AY59" t="s">
        <v>74</v>
      </c>
      <c r="AZ59" t="s">
        <v>74</v>
      </c>
      <c r="BA59" t="s">
        <v>74</v>
      </c>
      <c r="BB59">
        <v>175</v>
      </c>
      <c r="BC59">
        <v>179</v>
      </c>
      <c r="BD59" t="s">
        <v>74</v>
      </c>
      <c r="BE59" t="s">
        <v>1399</v>
      </c>
      <c r="BF59" t="str">
        <f>HYPERLINK("http://dx.doi.org/10.19053/01235095.v8.n31.2022.15299","http://dx.doi.org/10.19053/01235095.v8.n31.2022.15299")</f>
        <v>http://dx.doi.org/10.19053/01235095.v8.n31.2022.15299</v>
      </c>
      <c r="BG59" t="s">
        <v>74</v>
      </c>
      <c r="BH59" t="s">
        <v>74</v>
      </c>
      <c r="BI59">
        <v>5</v>
      </c>
      <c r="BJ59" t="s">
        <v>1400</v>
      </c>
      <c r="BK59" t="s">
        <v>180</v>
      </c>
      <c r="BL59" t="s">
        <v>1400</v>
      </c>
      <c r="BM59" t="s">
        <v>1401</v>
      </c>
      <c r="BN59" t="s">
        <v>74</v>
      </c>
      <c r="BO59" t="s">
        <v>74</v>
      </c>
      <c r="BP59" t="s">
        <v>74</v>
      </c>
      <c r="BQ59" t="s">
        <v>74</v>
      </c>
      <c r="BR59" t="s">
        <v>104</v>
      </c>
      <c r="BS59" t="s">
        <v>1402</v>
      </c>
      <c r="BT59" t="str">
        <f>HYPERLINK("https%3A%2F%2Fwww.webofscience.com%2Fwos%2Fwoscc%2Ffull-record%2FWOS:000905329300001","View Full Record in Web of Science")</f>
        <v>View Full Record in Web of Science</v>
      </c>
    </row>
    <row r="60" spans="1:72" x14ac:dyDescent="0.25">
      <c r="A60" t="s">
        <v>72</v>
      </c>
      <c r="B60" t="s">
        <v>1403</v>
      </c>
      <c r="C60" t="s">
        <v>74</v>
      </c>
      <c r="D60" t="s">
        <v>74</v>
      </c>
      <c r="E60" t="s">
        <v>74</v>
      </c>
      <c r="F60" t="s">
        <v>1404</v>
      </c>
      <c r="G60" t="s">
        <v>74</v>
      </c>
      <c r="H60" t="s">
        <v>74</v>
      </c>
      <c r="I60" t="s">
        <v>1405</v>
      </c>
      <c r="J60" t="s">
        <v>1406</v>
      </c>
      <c r="K60" t="s">
        <v>74</v>
      </c>
      <c r="L60" t="s">
        <v>74</v>
      </c>
      <c r="M60" t="s">
        <v>78</v>
      </c>
      <c r="N60" t="s">
        <v>79</v>
      </c>
      <c r="O60" t="s">
        <v>74</v>
      </c>
      <c r="P60" t="s">
        <v>74</v>
      </c>
      <c r="Q60" t="s">
        <v>74</v>
      </c>
      <c r="R60" t="s">
        <v>74</v>
      </c>
      <c r="S60" t="s">
        <v>74</v>
      </c>
      <c r="T60" t="s">
        <v>1407</v>
      </c>
      <c r="U60" t="s">
        <v>74</v>
      </c>
      <c r="V60" t="s">
        <v>1408</v>
      </c>
      <c r="W60" t="s">
        <v>1409</v>
      </c>
      <c r="X60" t="s">
        <v>140</v>
      </c>
      <c r="Y60" t="s">
        <v>1410</v>
      </c>
      <c r="Z60" t="s">
        <v>1411</v>
      </c>
      <c r="AA60" t="s">
        <v>74</v>
      </c>
      <c r="AB60" t="s">
        <v>74</v>
      </c>
      <c r="AC60" t="s">
        <v>74</v>
      </c>
      <c r="AD60" t="s">
        <v>74</v>
      </c>
      <c r="AE60" t="s">
        <v>74</v>
      </c>
      <c r="AF60" t="s">
        <v>74</v>
      </c>
      <c r="AG60">
        <v>30</v>
      </c>
      <c r="AH60">
        <v>0</v>
      </c>
      <c r="AI60">
        <v>0</v>
      </c>
      <c r="AJ60">
        <v>0</v>
      </c>
      <c r="AK60">
        <v>0</v>
      </c>
      <c r="AL60" t="s">
        <v>1412</v>
      </c>
      <c r="AM60" t="s">
        <v>374</v>
      </c>
      <c r="AN60" t="s">
        <v>1413</v>
      </c>
      <c r="AO60" t="s">
        <v>1414</v>
      </c>
      <c r="AP60" t="s">
        <v>1415</v>
      </c>
      <c r="AQ60" t="s">
        <v>74</v>
      </c>
      <c r="AR60" t="s">
        <v>1416</v>
      </c>
      <c r="AS60" t="s">
        <v>1417</v>
      </c>
      <c r="AT60" t="s">
        <v>1418</v>
      </c>
      <c r="AU60">
        <v>2022</v>
      </c>
      <c r="AV60">
        <v>67</v>
      </c>
      <c r="AW60" t="s">
        <v>74</v>
      </c>
      <c r="AX60" t="s">
        <v>74</v>
      </c>
      <c r="AY60" t="s">
        <v>74</v>
      </c>
      <c r="AZ60" t="s">
        <v>74</v>
      </c>
      <c r="BA60" t="s">
        <v>74</v>
      </c>
      <c r="BB60">
        <v>191</v>
      </c>
      <c r="BC60">
        <v>216</v>
      </c>
      <c r="BD60" t="s">
        <v>74</v>
      </c>
      <c r="BE60" t="s">
        <v>1419</v>
      </c>
      <c r="BF60" t="str">
        <f>HYPERLINK("http://dx.doi.org/10.35575/rvucn.n67a8","http://dx.doi.org/10.35575/rvucn.n67a8")</f>
        <v>http://dx.doi.org/10.35575/rvucn.n67a8</v>
      </c>
      <c r="BG60" t="s">
        <v>74</v>
      </c>
      <c r="BH60" t="s">
        <v>74</v>
      </c>
      <c r="BI60">
        <v>26</v>
      </c>
      <c r="BJ60" t="s">
        <v>1420</v>
      </c>
      <c r="BK60" t="s">
        <v>180</v>
      </c>
      <c r="BL60" t="s">
        <v>1421</v>
      </c>
      <c r="BM60" t="s">
        <v>1422</v>
      </c>
      <c r="BN60" t="s">
        <v>74</v>
      </c>
      <c r="BO60" t="s">
        <v>183</v>
      </c>
      <c r="BP60" t="s">
        <v>74</v>
      </c>
      <c r="BQ60" t="s">
        <v>74</v>
      </c>
      <c r="BR60" t="s">
        <v>104</v>
      </c>
      <c r="BS60" t="s">
        <v>1423</v>
      </c>
      <c r="BT60" t="str">
        <f>HYPERLINK("https%3A%2F%2Fwww.webofscience.com%2Fwos%2Fwoscc%2Ffull-record%2FWOS:000869513300008","View Full Record in Web of Science")</f>
        <v>View Full Record in Web of Science</v>
      </c>
    </row>
    <row r="61" spans="1:72" x14ac:dyDescent="0.25">
      <c r="A61" t="s">
        <v>72</v>
      </c>
      <c r="B61" t="s">
        <v>1424</v>
      </c>
      <c r="C61" t="s">
        <v>74</v>
      </c>
      <c r="D61" t="s">
        <v>74</v>
      </c>
      <c r="E61" t="s">
        <v>74</v>
      </c>
      <c r="F61" t="s">
        <v>1425</v>
      </c>
      <c r="G61" t="s">
        <v>74</v>
      </c>
      <c r="H61" t="s">
        <v>74</v>
      </c>
      <c r="I61" t="s">
        <v>1426</v>
      </c>
      <c r="J61" t="s">
        <v>1427</v>
      </c>
      <c r="K61" t="s">
        <v>74</v>
      </c>
      <c r="L61" t="s">
        <v>74</v>
      </c>
      <c r="M61" t="s">
        <v>1234</v>
      </c>
      <c r="N61" t="s">
        <v>79</v>
      </c>
      <c r="O61" t="s">
        <v>74</v>
      </c>
      <c r="P61" t="s">
        <v>74</v>
      </c>
      <c r="Q61" t="s">
        <v>74</v>
      </c>
      <c r="R61" t="s">
        <v>74</v>
      </c>
      <c r="S61" t="s">
        <v>74</v>
      </c>
      <c r="T61" t="s">
        <v>1428</v>
      </c>
      <c r="U61" t="s">
        <v>1429</v>
      </c>
      <c r="V61" t="s">
        <v>1430</v>
      </c>
      <c r="W61" t="s">
        <v>1431</v>
      </c>
      <c r="X61" t="s">
        <v>140</v>
      </c>
      <c r="Y61" t="s">
        <v>1432</v>
      </c>
      <c r="Z61" t="s">
        <v>1433</v>
      </c>
      <c r="AA61" t="s">
        <v>74</v>
      </c>
      <c r="AB61" t="s">
        <v>74</v>
      </c>
      <c r="AC61" t="s">
        <v>74</v>
      </c>
      <c r="AD61" t="s">
        <v>74</v>
      </c>
      <c r="AE61" t="s">
        <v>74</v>
      </c>
      <c r="AF61" t="s">
        <v>74</v>
      </c>
      <c r="AG61">
        <v>40</v>
      </c>
      <c r="AH61">
        <v>1</v>
      </c>
      <c r="AI61">
        <v>1</v>
      </c>
      <c r="AJ61">
        <v>0</v>
      </c>
      <c r="AK61">
        <v>0</v>
      </c>
      <c r="AL61" t="s">
        <v>1434</v>
      </c>
      <c r="AM61" t="s">
        <v>1435</v>
      </c>
      <c r="AN61" t="s">
        <v>1436</v>
      </c>
      <c r="AO61" t="s">
        <v>1437</v>
      </c>
      <c r="AP61" t="s">
        <v>74</v>
      </c>
      <c r="AQ61" t="s">
        <v>74</v>
      </c>
      <c r="AR61" t="s">
        <v>1427</v>
      </c>
      <c r="AS61" t="s">
        <v>1438</v>
      </c>
      <c r="AT61" t="s">
        <v>1336</v>
      </c>
      <c r="AU61">
        <v>2022</v>
      </c>
      <c r="AV61">
        <v>31</v>
      </c>
      <c r="AW61">
        <v>2</v>
      </c>
      <c r="AX61" t="s">
        <v>74</v>
      </c>
      <c r="AY61" t="s">
        <v>74</v>
      </c>
      <c r="AZ61" t="s">
        <v>74</v>
      </c>
      <c r="BA61" t="s">
        <v>74</v>
      </c>
      <c r="BB61" t="s">
        <v>74</v>
      </c>
      <c r="BC61" t="s">
        <v>74</v>
      </c>
      <c r="BD61">
        <v>2280</v>
      </c>
      <c r="BE61" t="s">
        <v>1439</v>
      </c>
      <c r="BF61" t="str">
        <f>HYPERLINK("http://dx.doi.org/10.7818/ECOS.2280","http://dx.doi.org/10.7818/ECOS.2280")</f>
        <v>http://dx.doi.org/10.7818/ECOS.2280</v>
      </c>
      <c r="BG61" t="s">
        <v>74</v>
      </c>
      <c r="BH61" t="s">
        <v>74</v>
      </c>
      <c r="BI61">
        <v>7</v>
      </c>
      <c r="BJ61" t="s">
        <v>1440</v>
      </c>
      <c r="BK61" t="s">
        <v>180</v>
      </c>
      <c r="BL61" t="s">
        <v>1441</v>
      </c>
      <c r="BM61" t="s">
        <v>1442</v>
      </c>
      <c r="BN61" t="s">
        <v>74</v>
      </c>
      <c r="BO61" t="s">
        <v>183</v>
      </c>
      <c r="BP61" t="s">
        <v>74</v>
      </c>
      <c r="BQ61" t="s">
        <v>74</v>
      </c>
      <c r="BR61" t="s">
        <v>104</v>
      </c>
      <c r="BS61" t="s">
        <v>1443</v>
      </c>
      <c r="BT61" t="str">
        <f>HYPERLINK("https%3A%2F%2Fwww.webofscience.com%2Fwos%2Fwoscc%2Ffull-record%2FWOS:000830892100006","View Full Record in Web of Science")</f>
        <v>View Full Record in Web of Science</v>
      </c>
    </row>
    <row r="62" spans="1:72" x14ac:dyDescent="0.25">
      <c r="A62" t="s">
        <v>72</v>
      </c>
      <c r="B62" t="s">
        <v>1444</v>
      </c>
      <c r="C62" t="s">
        <v>74</v>
      </c>
      <c r="D62" t="s">
        <v>74</v>
      </c>
      <c r="E62" t="s">
        <v>74</v>
      </c>
      <c r="F62" t="s">
        <v>1445</v>
      </c>
      <c r="G62" t="s">
        <v>74</v>
      </c>
      <c r="H62" t="s">
        <v>74</v>
      </c>
      <c r="I62" t="s">
        <v>1446</v>
      </c>
      <c r="J62" t="s">
        <v>1447</v>
      </c>
      <c r="K62" t="s">
        <v>74</v>
      </c>
      <c r="L62" t="s">
        <v>74</v>
      </c>
      <c r="M62" t="s">
        <v>1234</v>
      </c>
      <c r="N62" t="s">
        <v>79</v>
      </c>
      <c r="O62" t="s">
        <v>74</v>
      </c>
      <c r="P62" t="s">
        <v>74</v>
      </c>
      <c r="Q62" t="s">
        <v>74</v>
      </c>
      <c r="R62" t="s">
        <v>74</v>
      </c>
      <c r="S62" t="s">
        <v>74</v>
      </c>
      <c r="T62" t="s">
        <v>1448</v>
      </c>
      <c r="U62" t="s">
        <v>74</v>
      </c>
      <c r="V62" t="s">
        <v>1449</v>
      </c>
      <c r="W62" t="s">
        <v>1450</v>
      </c>
      <c r="X62" t="s">
        <v>84</v>
      </c>
      <c r="Y62" t="s">
        <v>1451</v>
      </c>
      <c r="Z62" t="s">
        <v>1452</v>
      </c>
      <c r="AA62" t="s">
        <v>74</v>
      </c>
      <c r="AB62" t="s">
        <v>74</v>
      </c>
      <c r="AC62" t="s">
        <v>74</v>
      </c>
      <c r="AD62" t="s">
        <v>74</v>
      </c>
      <c r="AE62" t="s">
        <v>74</v>
      </c>
      <c r="AF62" t="s">
        <v>74</v>
      </c>
      <c r="AG62">
        <v>25</v>
      </c>
      <c r="AH62">
        <v>0</v>
      </c>
      <c r="AI62">
        <v>0</v>
      </c>
      <c r="AJ62">
        <v>0</v>
      </c>
      <c r="AK62">
        <v>0</v>
      </c>
      <c r="AL62" t="s">
        <v>1453</v>
      </c>
      <c r="AM62" t="s">
        <v>374</v>
      </c>
      <c r="AN62" t="s">
        <v>1454</v>
      </c>
      <c r="AO62" t="s">
        <v>1455</v>
      </c>
      <c r="AP62" t="s">
        <v>74</v>
      </c>
      <c r="AQ62" t="s">
        <v>74</v>
      </c>
      <c r="AR62" t="s">
        <v>1456</v>
      </c>
      <c r="AS62" t="s">
        <v>1457</v>
      </c>
      <c r="AT62" t="s">
        <v>1336</v>
      </c>
      <c r="AU62">
        <v>2022</v>
      </c>
      <c r="AV62">
        <v>14</v>
      </c>
      <c r="AW62">
        <v>30</v>
      </c>
      <c r="AX62" t="s">
        <v>74</v>
      </c>
      <c r="AY62" t="s">
        <v>74</v>
      </c>
      <c r="AZ62" t="s">
        <v>74</v>
      </c>
      <c r="BA62" t="s">
        <v>74</v>
      </c>
      <c r="BB62">
        <v>144</v>
      </c>
      <c r="BC62">
        <v>175</v>
      </c>
      <c r="BD62" t="s">
        <v>74</v>
      </c>
      <c r="BE62" t="s">
        <v>1458</v>
      </c>
      <c r="BF62" t="str">
        <f>HYPERLINK("http://dx.doi.org/10.15446/historelo.v14n30.93867","http://dx.doi.org/10.15446/historelo.v14n30.93867")</f>
        <v>http://dx.doi.org/10.15446/historelo.v14n30.93867</v>
      </c>
      <c r="BG62" t="s">
        <v>74</v>
      </c>
      <c r="BH62" t="s">
        <v>74</v>
      </c>
      <c r="BI62">
        <v>32</v>
      </c>
      <c r="BJ62" t="s">
        <v>1459</v>
      </c>
      <c r="BK62" t="s">
        <v>180</v>
      </c>
      <c r="BL62" t="s">
        <v>1459</v>
      </c>
      <c r="BM62" t="s">
        <v>1460</v>
      </c>
      <c r="BN62" t="s">
        <v>74</v>
      </c>
      <c r="BO62" t="s">
        <v>735</v>
      </c>
      <c r="BP62" t="s">
        <v>74</v>
      </c>
      <c r="BQ62" t="s">
        <v>74</v>
      </c>
      <c r="BR62" t="s">
        <v>104</v>
      </c>
      <c r="BS62" t="s">
        <v>1461</v>
      </c>
      <c r="BT62" t="str">
        <f>HYPERLINK("https%3A%2F%2Fwww.webofscience.com%2Fwos%2Fwoscc%2Ffull-record%2FWOS:000797205500006","View Full Record in Web of Science")</f>
        <v>View Full Record in Web of Science</v>
      </c>
    </row>
    <row r="63" spans="1:72" x14ac:dyDescent="0.25">
      <c r="A63" t="s">
        <v>72</v>
      </c>
      <c r="B63" t="s">
        <v>1462</v>
      </c>
      <c r="C63" t="s">
        <v>74</v>
      </c>
      <c r="D63" t="s">
        <v>74</v>
      </c>
      <c r="E63" t="s">
        <v>74</v>
      </c>
      <c r="F63" t="s">
        <v>1463</v>
      </c>
      <c r="G63" t="s">
        <v>74</v>
      </c>
      <c r="H63" t="s">
        <v>74</v>
      </c>
      <c r="I63" t="s">
        <v>1464</v>
      </c>
      <c r="J63" t="s">
        <v>1465</v>
      </c>
      <c r="K63" t="s">
        <v>74</v>
      </c>
      <c r="L63" t="s">
        <v>74</v>
      </c>
      <c r="M63" t="s">
        <v>78</v>
      </c>
      <c r="N63" t="s">
        <v>79</v>
      </c>
      <c r="O63" t="s">
        <v>74</v>
      </c>
      <c r="P63" t="s">
        <v>74</v>
      </c>
      <c r="Q63" t="s">
        <v>74</v>
      </c>
      <c r="R63" t="s">
        <v>74</v>
      </c>
      <c r="S63" t="s">
        <v>74</v>
      </c>
      <c r="T63" t="s">
        <v>1466</v>
      </c>
      <c r="U63" t="s">
        <v>1467</v>
      </c>
      <c r="V63" t="s">
        <v>1468</v>
      </c>
      <c r="W63" t="s">
        <v>1469</v>
      </c>
      <c r="X63" t="s">
        <v>84</v>
      </c>
      <c r="Y63" t="s">
        <v>1470</v>
      </c>
      <c r="Z63" t="s">
        <v>1471</v>
      </c>
      <c r="AA63" t="s">
        <v>74</v>
      </c>
      <c r="AB63" t="s">
        <v>74</v>
      </c>
      <c r="AC63" t="s">
        <v>74</v>
      </c>
      <c r="AD63" t="s">
        <v>74</v>
      </c>
      <c r="AE63" t="s">
        <v>74</v>
      </c>
      <c r="AF63" t="s">
        <v>74</v>
      </c>
      <c r="AG63">
        <v>31</v>
      </c>
      <c r="AH63">
        <v>0</v>
      </c>
      <c r="AI63">
        <v>0</v>
      </c>
      <c r="AJ63">
        <v>0</v>
      </c>
      <c r="AK63">
        <v>0</v>
      </c>
      <c r="AL63" t="s">
        <v>1472</v>
      </c>
      <c r="AM63" t="s">
        <v>301</v>
      </c>
      <c r="AN63" t="s">
        <v>1473</v>
      </c>
      <c r="AO63" t="s">
        <v>1474</v>
      </c>
      <c r="AP63" t="s">
        <v>1475</v>
      </c>
      <c r="AQ63" t="s">
        <v>74</v>
      </c>
      <c r="AR63" t="s">
        <v>1476</v>
      </c>
      <c r="AS63" t="s">
        <v>1477</v>
      </c>
      <c r="AT63" t="s">
        <v>1418</v>
      </c>
      <c r="AU63">
        <v>2022</v>
      </c>
      <c r="AV63">
        <v>14</v>
      </c>
      <c r="AW63">
        <v>3</v>
      </c>
      <c r="AX63" t="s">
        <v>74</v>
      </c>
      <c r="AY63" t="s">
        <v>74</v>
      </c>
      <c r="AZ63" t="s">
        <v>74</v>
      </c>
      <c r="BA63" t="s">
        <v>74</v>
      </c>
      <c r="BB63">
        <v>8</v>
      </c>
      <c r="BC63">
        <v>23</v>
      </c>
      <c r="BD63" t="s">
        <v>74</v>
      </c>
      <c r="BE63" t="s">
        <v>1478</v>
      </c>
      <c r="BF63" t="str">
        <f>HYPERLINK("http://dx.doi.org/10.22335/rlct.v14i3.1650","http://dx.doi.org/10.22335/rlct.v14i3.1650")</f>
        <v>http://dx.doi.org/10.22335/rlct.v14i3.1650</v>
      </c>
      <c r="BG63" t="s">
        <v>74</v>
      </c>
      <c r="BH63" t="s">
        <v>74</v>
      </c>
      <c r="BI63">
        <v>16</v>
      </c>
      <c r="BJ63" t="s">
        <v>1420</v>
      </c>
      <c r="BK63" t="s">
        <v>180</v>
      </c>
      <c r="BL63" t="s">
        <v>1421</v>
      </c>
      <c r="BM63" t="s">
        <v>1479</v>
      </c>
      <c r="BN63" t="s">
        <v>74</v>
      </c>
      <c r="BO63" t="s">
        <v>183</v>
      </c>
      <c r="BP63" t="s">
        <v>74</v>
      </c>
      <c r="BQ63" t="s">
        <v>74</v>
      </c>
      <c r="BR63" t="s">
        <v>104</v>
      </c>
      <c r="BS63" t="s">
        <v>1480</v>
      </c>
      <c r="BT63" t="str">
        <f>HYPERLINK("https%3A%2F%2Fwww.webofscience.com%2Fwos%2Fwoscc%2Ffull-record%2FWOS:000868495500002","View Full Record in Web of Science")</f>
        <v>View Full Record in Web of Science</v>
      </c>
    </row>
    <row r="64" spans="1:72" x14ac:dyDescent="0.25">
      <c r="A64" t="s">
        <v>72</v>
      </c>
      <c r="B64" t="s">
        <v>1481</v>
      </c>
      <c r="C64" t="s">
        <v>74</v>
      </c>
      <c r="D64" t="s">
        <v>74</v>
      </c>
      <c r="E64" t="s">
        <v>74</v>
      </c>
      <c r="F64" t="s">
        <v>1482</v>
      </c>
      <c r="G64" t="s">
        <v>74</v>
      </c>
      <c r="H64" t="s">
        <v>74</v>
      </c>
      <c r="I64" t="s">
        <v>1483</v>
      </c>
      <c r="J64" t="s">
        <v>388</v>
      </c>
      <c r="K64" t="s">
        <v>74</v>
      </c>
      <c r="L64" t="s">
        <v>74</v>
      </c>
      <c r="M64" t="s">
        <v>78</v>
      </c>
      <c r="N64" t="s">
        <v>79</v>
      </c>
      <c r="O64" t="s">
        <v>74</v>
      </c>
      <c r="P64" t="s">
        <v>74</v>
      </c>
      <c r="Q64" t="s">
        <v>74</v>
      </c>
      <c r="R64" t="s">
        <v>74</v>
      </c>
      <c r="S64" t="s">
        <v>74</v>
      </c>
      <c r="T64" t="s">
        <v>1484</v>
      </c>
      <c r="U64" t="s">
        <v>1485</v>
      </c>
      <c r="V64" t="s">
        <v>1486</v>
      </c>
      <c r="W64" t="s">
        <v>1487</v>
      </c>
      <c r="X64" t="s">
        <v>84</v>
      </c>
      <c r="Y64" t="s">
        <v>1488</v>
      </c>
      <c r="Z64" t="s">
        <v>1489</v>
      </c>
      <c r="AA64" t="s">
        <v>1490</v>
      </c>
      <c r="AB64" t="s">
        <v>1491</v>
      </c>
      <c r="AC64" t="s">
        <v>1492</v>
      </c>
      <c r="AD64" t="s">
        <v>1493</v>
      </c>
      <c r="AE64" t="s">
        <v>1494</v>
      </c>
      <c r="AF64" t="s">
        <v>74</v>
      </c>
      <c r="AG64">
        <v>54</v>
      </c>
      <c r="AH64">
        <v>1</v>
      </c>
      <c r="AI64">
        <v>1</v>
      </c>
      <c r="AJ64">
        <v>5</v>
      </c>
      <c r="AK64">
        <v>5</v>
      </c>
      <c r="AL64" t="s">
        <v>92</v>
      </c>
      <c r="AM64" t="s">
        <v>93</v>
      </c>
      <c r="AN64" t="s">
        <v>94</v>
      </c>
      <c r="AO64" t="s">
        <v>74</v>
      </c>
      <c r="AP64" t="s">
        <v>398</v>
      </c>
      <c r="AQ64" t="s">
        <v>74</v>
      </c>
      <c r="AR64" t="s">
        <v>388</v>
      </c>
      <c r="AS64" t="s">
        <v>399</v>
      </c>
      <c r="AT64" t="s">
        <v>400</v>
      </c>
      <c r="AU64">
        <v>2022</v>
      </c>
      <c r="AV64">
        <v>11</v>
      </c>
      <c r="AW64">
        <v>16</v>
      </c>
      <c r="AX64" t="s">
        <v>74</v>
      </c>
      <c r="AY64" t="s">
        <v>74</v>
      </c>
      <c r="AZ64" t="s">
        <v>74</v>
      </c>
      <c r="BA64" t="s">
        <v>74</v>
      </c>
      <c r="BB64" t="s">
        <v>74</v>
      </c>
      <c r="BC64" t="s">
        <v>74</v>
      </c>
      <c r="BD64">
        <v>2425</v>
      </c>
      <c r="BE64" t="s">
        <v>1495</v>
      </c>
      <c r="BF64" t="str">
        <f>HYPERLINK("http://dx.doi.org/10.3390/foods11162425","http://dx.doi.org/10.3390/foods11162425")</f>
        <v>http://dx.doi.org/10.3390/foods11162425</v>
      </c>
      <c r="BG64" t="s">
        <v>74</v>
      </c>
      <c r="BH64" t="s">
        <v>74</v>
      </c>
      <c r="BI64">
        <v>16</v>
      </c>
      <c r="BJ64" t="s">
        <v>402</v>
      </c>
      <c r="BK64" t="s">
        <v>101</v>
      </c>
      <c r="BL64" t="s">
        <v>402</v>
      </c>
      <c r="BM64" t="s">
        <v>1496</v>
      </c>
      <c r="BN64">
        <v>36010426</v>
      </c>
      <c r="BO64" t="s">
        <v>103</v>
      </c>
      <c r="BP64" t="s">
        <v>74</v>
      </c>
      <c r="BQ64" t="s">
        <v>74</v>
      </c>
      <c r="BR64" t="s">
        <v>104</v>
      </c>
      <c r="BS64" t="s">
        <v>1497</v>
      </c>
      <c r="BT64" t="str">
        <f>HYPERLINK("https%3A%2F%2Fwww.webofscience.com%2Fwos%2Fwoscc%2Ffull-record%2FWOS:000845942000001","View Full Record in Web of Science")</f>
        <v>View Full Record in Web of Science</v>
      </c>
    </row>
    <row r="65" spans="1:72" x14ac:dyDescent="0.25">
      <c r="A65" t="s">
        <v>72</v>
      </c>
      <c r="B65" t="s">
        <v>1498</v>
      </c>
      <c r="C65" t="s">
        <v>74</v>
      </c>
      <c r="D65" t="s">
        <v>74</v>
      </c>
      <c r="E65" t="s">
        <v>74</v>
      </c>
      <c r="F65" t="s">
        <v>1499</v>
      </c>
      <c r="G65" t="s">
        <v>74</v>
      </c>
      <c r="H65" t="s">
        <v>74</v>
      </c>
      <c r="I65" t="s">
        <v>1500</v>
      </c>
      <c r="J65" t="s">
        <v>1386</v>
      </c>
      <c r="K65" t="s">
        <v>74</v>
      </c>
      <c r="L65" t="s">
        <v>74</v>
      </c>
      <c r="M65" t="s">
        <v>1234</v>
      </c>
      <c r="N65" t="s">
        <v>1501</v>
      </c>
      <c r="O65" t="s">
        <v>74</v>
      </c>
      <c r="P65" t="s">
        <v>74</v>
      </c>
      <c r="Q65" t="s">
        <v>74</v>
      </c>
      <c r="R65" t="s">
        <v>74</v>
      </c>
      <c r="S65" t="s">
        <v>74</v>
      </c>
      <c r="T65" t="s">
        <v>74</v>
      </c>
      <c r="U65" t="s">
        <v>74</v>
      </c>
      <c r="V65" t="s">
        <v>74</v>
      </c>
      <c r="W65" t="s">
        <v>1502</v>
      </c>
      <c r="X65" t="s">
        <v>84</v>
      </c>
      <c r="Y65" t="s">
        <v>1503</v>
      </c>
      <c r="Z65" t="s">
        <v>74</v>
      </c>
      <c r="AA65" t="s">
        <v>74</v>
      </c>
      <c r="AB65" t="s">
        <v>74</v>
      </c>
      <c r="AC65" t="s">
        <v>74</v>
      </c>
      <c r="AD65" t="s">
        <v>74</v>
      </c>
      <c r="AE65" t="s">
        <v>74</v>
      </c>
      <c r="AF65" t="s">
        <v>74</v>
      </c>
      <c r="AG65">
        <v>0</v>
      </c>
      <c r="AH65">
        <v>0</v>
      </c>
      <c r="AI65">
        <v>0</v>
      </c>
      <c r="AJ65">
        <v>0</v>
      </c>
      <c r="AK65">
        <v>0</v>
      </c>
      <c r="AL65" t="s">
        <v>1391</v>
      </c>
      <c r="AM65" t="s">
        <v>1392</v>
      </c>
      <c r="AN65" t="s">
        <v>1393</v>
      </c>
      <c r="AO65" t="s">
        <v>1394</v>
      </c>
      <c r="AP65" t="s">
        <v>1395</v>
      </c>
      <c r="AQ65" t="s">
        <v>74</v>
      </c>
      <c r="AR65" t="s">
        <v>1396</v>
      </c>
      <c r="AS65" t="s">
        <v>1397</v>
      </c>
      <c r="AT65" t="s">
        <v>1295</v>
      </c>
      <c r="AU65">
        <v>2022</v>
      </c>
      <c r="AV65">
        <v>8</v>
      </c>
      <c r="AW65">
        <v>30</v>
      </c>
      <c r="AX65" t="s">
        <v>74</v>
      </c>
      <c r="AY65" t="s">
        <v>74</v>
      </c>
      <c r="AZ65" t="s">
        <v>74</v>
      </c>
      <c r="BA65" t="s">
        <v>74</v>
      </c>
      <c r="BB65">
        <v>11</v>
      </c>
      <c r="BC65">
        <v>14</v>
      </c>
      <c r="BD65" t="s">
        <v>74</v>
      </c>
      <c r="BE65" t="s">
        <v>74</v>
      </c>
      <c r="BF65" t="s">
        <v>74</v>
      </c>
      <c r="BG65" t="s">
        <v>74</v>
      </c>
      <c r="BH65" t="s">
        <v>74</v>
      </c>
      <c r="BI65">
        <v>4</v>
      </c>
      <c r="BJ65" t="s">
        <v>1400</v>
      </c>
      <c r="BK65" t="s">
        <v>180</v>
      </c>
      <c r="BL65" t="s">
        <v>1400</v>
      </c>
      <c r="BM65" t="s">
        <v>1504</v>
      </c>
      <c r="BN65" t="s">
        <v>74</v>
      </c>
      <c r="BO65" t="s">
        <v>74</v>
      </c>
      <c r="BP65" t="s">
        <v>74</v>
      </c>
      <c r="BQ65" t="s">
        <v>74</v>
      </c>
      <c r="BR65" t="s">
        <v>104</v>
      </c>
      <c r="BS65" t="s">
        <v>1505</v>
      </c>
      <c r="BT65" t="str">
        <f>HYPERLINK("https%3A%2F%2Fwww.webofscience.com%2Fwos%2Fwoscc%2Ffull-record%2FWOS:000877229500001","View Full Record in Web of Science")</f>
        <v>View Full Record in Web of Science</v>
      </c>
    </row>
    <row r="66" spans="1:72" x14ac:dyDescent="0.25">
      <c r="A66" t="s">
        <v>72</v>
      </c>
      <c r="B66" t="s">
        <v>1506</v>
      </c>
      <c r="C66" t="s">
        <v>74</v>
      </c>
      <c r="D66" t="s">
        <v>74</v>
      </c>
      <c r="E66" t="s">
        <v>74</v>
      </c>
      <c r="F66" t="s">
        <v>1507</v>
      </c>
      <c r="G66" t="s">
        <v>74</v>
      </c>
      <c r="H66" t="s">
        <v>74</v>
      </c>
      <c r="I66" t="s">
        <v>1508</v>
      </c>
      <c r="J66" t="s">
        <v>1509</v>
      </c>
      <c r="K66" t="s">
        <v>74</v>
      </c>
      <c r="L66" t="s">
        <v>74</v>
      </c>
      <c r="M66" t="s">
        <v>1234</v>
      </c>
      <c r="N66" t="s">
        <v>79</v>
      </c>
      <c r="O66" t="s">
        <v>74</v>
      </c>
      <c r="P66" t="s">
        <v>74</v>
      </c>
      <c r="Q66" t="s">
        <v>74</v>
      </c>
      <c r="R66" t="s">
        <v>74</v>
      </c>
      <c r="S66" t="s">
        <v>74</v>
      </c>
      <c r="T66" t="s">
        <v>1510</v>
      </c>
      <c r="U66" t="s">
        <v>74</v>
      </c>
      <c r="V66" t="s">
        <v>1511</v>
      </c>
      <c r="W66" t="s">
        <v>1512</v>
      </c>
      <c r="X66" t="s">
        <v>84</v>
      </c>
      <c r="Y66" t="s">
        <v>1513</v>
      </c>
      <c r="Z66" t="s">
        <v>1514</v>
      </c>
      <c r="AA66" t="s">
        <v>74</v>
      </c>
      <c r="AB66" t="s">
        <v>74</v>
      </c>
      <c r="AC66" t="s">
        <v>74</v>
      </c>
      <c r="AD66" t="s">
        <v>74</v>
      </c>
      <c r="AE66" t="s">
        <v>74</v>
      </c>
      <c r="AF66" t="s">
        <v>74</v>
      </c>
      <c r="AG66">
        <v>18</v>
      </c>
      <c r="AH66">
        <v>0</v>
      </c>
      <c r="AI66">
        <v>0</v>
      </c>
      <c r="AJ66">
        <v>1</v>
      </c>
      <c r="AK66">
        <v>1</v>
      </c>
      <c r="AL66" t="s">
        <v>1515</v>
      </c>
      <c r="AM66" t="s">
        <v>1392</v>
      </c>
      <c r="AN66" t="s">
        <v>1516</v>
      </c>
      <c r="AO66" t="s">
        <v>1517</v>
      </c>
      <c r="AP66" t="s">
        <v>1518</v>
      </c>
      <c r="AQ66" t="s">
        <v>74</v>
      </c>
      <c r="AR66" t="s">
        <v>1509</v>
      </c>
      <c r="AS66" t="s">
        <v>1519</v>
      </c>
      <c r="AT66" t="s">
        <v>74</v>
      </c>
      <c r="AU66">
        <v>2022</v>
      </c>
      <c r="AV66" t="s">
        <v>74</v>
      </c>
      <c r="AW66">
        <v>43</v>
      </c>
      <c r="AX66" t="s">
        <v>74</v>
      </c>
      <c r="AY66" t="s">
        <v>74</v>
      </c>
      <c r="AZ66" t="s">
        <v>74</v>
      </c>
      <c r="BA66" t="s">
        <v>74</v>
      </c>
      <c r="BB66" t="s">
        <v>74</v>
      </c>
      <c r="BC66" t="s">
        <v>74</v>
      </c>
      <c r="BD66" t="s">
        <v>1520</v>
      </c>
      <c r="BE66" t="s">
        <v>1521</v>
      </c>
      <c r="BF66" t="str">
        <f>HYPERLINK("http://dx.doi.org/10.19053/01218530.n43.2022.13779","http://dx.doi.org/10.19053/01218530.n43.2022.13779")</f>
        <v>http://dx.doi.org/10.19053/01218530.n43.2022.13779</v>
      </c>
      <c r="BG66" t="s">
        <v>74</v>
      </c>
      <c r="BH66" t="s">
        <v>74</v>
      </c>
      <c r="BI66">
        <v>17</v>
      </c>
      <c r="BJ66" t="s">
        <v>1522</v>
      </c>
      <c r="BK66" t="s">
        <v>180</v>
      </c>
      <c r="BL66" t="s">
        <v>1522</v>
      </c>
      <c r="BM66" t="s">
        <v>1523</v>
      </c>
      <c r="BN66" t="s">
        <v>74</v>
      </c>
      <c r="BO66" t="s">
        <v>183</v>
      </c>
      <c r="BP66" t="s">
        <v>74</v>
      </c>
      <c r="BQ66" t="s">
        <v>74</v>
      </c>
      <c r="BR66" t="s">
        <v>104</v>
      </c>
      <c r="BS66" t="s">
        <v>1524</v>
      </c>
      <c r="BT66" t="str">
        <f>HYPERLINK("https%3A%2F%2Fwww.webofscience.com%2Fwos%2Fwoscc%2Ffull-record%2FWOS:000864831600004","View Full Record in Web of Science")</f>
        <v>View Full Record in Web of Science</v>
      </c>
    </row>
    <row r="67" spans="1:72" x14ac:dyDescent="0.25">
      <c r="A67" t="s">
        <v>72</v>
      </c>
      <c r="B67" t="s">
        <v>1525</v>
      </c>
      <c r="C67" t="s">
        <v>74</v>
      </c>
      <c r="D67" t="s">
        <v>74</v>
      </c>
      <c r="E67" t="s">
        <v>74</v>
      </c>
      <c r="F67" t="s">
        <v>1526</v>
      </c>
      <c r="G67" t="s">
        <v>74</v>
      </c>
      <c r="H67" t="s">
        <v>74</v>
      </c>
      <c r="I67" t="s">
        <v>1527</v>
      </c>
      <c r="J67" t="s">
        <v>1528</v>
      </c>
      <c r="K67" t="s">
        <v>74</v>
      </c>
      <c r="L67" t="s">
        <v>74</v>
      </c>
      <c r="M67" t="s">
        <v>1234</v>
      </c>
      <c r="N67" t="s">
        <v>79</v>
      </c>
      <c r="O67" t="s">
        <v>74</v>
      </c>
      <c r="P67" t="s">
        <v>74</v>
      </c>
      <c r="Q67" t="s">
        <v>74</v>
      </c>
      <c r="R67" t="s">
        <v>74</v>
      </c>
      <c r="S67" t="s">
        <v>74</v>
      </c>
      <c r="T67" t="s">
        <v>1529</v>
      </c>
      <c r="U67" t="s">
        <v>1530</v>
      </c>
      <c r="V67" t="s">
        <v>74</v>
      </c>
      <c r="W67" t="s">
        <v>1531</v>
      </c>
      <c r="X67" t="s">
        <v>84</v>
      </c>
      <c r="Y67" t="s">
        <v>1532</v>
      </c>
      <c r="Z67" t="s">
        <v>1533</v>
      </c>
      <c r="AA67" t="s">
        <v>74</v>
      </c>
      <c r="AB67" t="s">
        <v>74</v>
      </c>
      <c r="AC67" t="s">
        <v>74</v>
      </c>
      <c r="AD67" t="s">
        <v>74</v>
      </c>
      <c r="AE67" t="s">
        <v>74</v>
      </c>
      <c r="AF67" t="s">
        <v>74</v>
      </c>
      <c r="AG67">
        <v>60</v>
      </c>
      <c r="AH67">
        <v>0</v>
      </c>
      <c r="AI67">
        <v>0</v>
      </c>
      <c r="AJ67">
        <v>1</v>
      </c>
      <c r="AK67">
        <v>2</v>
      </c>
      <c r="AL67" t="s">
        <v>1534</v>
      </c>
      <c r="AM67" t="s">
        <v>1535</v>
      </c>
      <c r="AN67" t="s">
        <v>1536</v>
      </c>
      <c r="AO67" t="s">
        <v>1537</v>
      </c>
      <c r="AP67" t="s">
        <v>1538</v>
      </c>
      <c r="AQ67" t="s">
        <v>74</v>
      </c>
      <c r="AR67" t="s">
        <v>1539</v>
      </c>
      <c r="AS67" t="s">
        <v>1540</v>
      </c>
      <c r="AT67" t="s">
        <v>74</v>
      </c>
      <c r="AU67">
        <v>2022</v>
      </c>
      <c r="AV67">
        <v>40</v>
      </c>
      <c r="AW67">
        <v>1</v>
      </c>
      <c r="AX67" t="s">
        <v>74</v>
      </c>
      <c r="AY67" t="s">
        <v>74</v>
      </c>
      <c r="AZ67" t="s">
        <v>74</v>
      </c>
      <c r="BA67" t="s">
        <v>74</v>
      </c>
      <c r="BB67">
        <v>401</v>
      </c>
      <c r="BC67">
        <v>432</v>
      </c>
      <c r="BD67" t="s">
        <v>74</v>
      </c>
      <c r="BE67" t="s">
        <v>1541</v>
      </c>
      <c r="BF67" t="str">
        <f>HYPERLINK("http://dx.doi.org/10.18800/psico.202201.013","http://dx.doi.org/10.18800/psico.202201.013")</f>
        <v>http://dx.doi.org/10.18800/psico.202201.013</v>
      </c>
      <c r="BG67" t="s">
        <v>74</v>
      </c>
      <c r="BH67" t="s">
        <v>74</v>
      </c>
      <c r="BI67">
        <v>32</v>
      </c>
      <c r="BJ67" t="s">
        <v>1542</v>
      </c>
      <c r="BK67" t="s">
        <v>180</v>
      </c>
      <c r="BL67" t="s">
        <v>1543</v>
      </c>
      <c r="BM67" t="s">
        <v>1544</v>
      </c>
      <c r="BN67" t="s">
        <v>74</v>
      </c>
      <c r="BO67" t="s">
        <v>383</v>
      </c>
      <c r="BP67" t="s">
        <v>74</v>
      </c>
      <c r="BQ67" t="s">
        <v>74</v>
      </c>
      <c r="BR67" t="s">
        <v>104</v>
      </c>
      <c r="BS67" t="s">
        <v>1545</v>
      </c>
      <c r="BT67" t="str">
        <f>HYPERLINK("https%3A%2F%2Fwww.webofscience.com%2Fwos%2Fwoscc%2Ffull-record%2FWOS:000731882000014","View Full Record in Web of Science")</f>
        <v>View Full Record in Web of Science</v>
      </c>
    </row>
    <row r="68" spans="1:72" x14ac:dyDescent="0.25">
      <c r="A68" t="s">
        <v>72</v>
      </c>
      <c r="B68" t="s">
        <v>1546</v>
      </c>
      <c r="C68" t="s">
        <v>74</v>
      </c>
      <c r="D68" t="s">
        <v>74</v>
      </c>
      <c r="E68" t="s">
        <v>74</v>
      </c>
      <c r="F68" t="s">
        <v>1547</v>
      </c>
      <c r="G68" t="s">
        <v>74</v>
      </c>
      <c r="H68" t="s">
        <v>74</v>
      </c>
      <c r="I68" t="s">
        <v>1548</v>
      </c>
      <c r="J68" t="s">
        <v>1549</v>
      </c>
      <c r="K68" t="s">
        <v>74</v>
      </c>
      <c r="L68" t="s">
        <v>74</v>
      </c>
      <c r="M68" t="s">
        <v>1234</v>
      </c>
      <c r="N68" t="s">
        <v>79</v>
      </c>
      <c r="O68" t="s">
        <v>74</v>
      </c>
      <c r="P68" t="s">
        <v>74</v>
      </c>
      <c r="Q68" t="s">
        <v>74</v>
      </c>
      <c r="R68" t="s">
        <v>74</v>
      </c>
      <c r="S68" t="s">
        <v>74</v>
      </c>
      <c r="T68" t="s">
        <v>1550</v>
      </c>
      <c r="U68" t="s">
        <v>1551</v>
      </c>
      <c r="V68" t="s">
        <v>1552</v>
      </c>
      <c r="W68" t="s">
        <v>1553</v>
      </c>
      <c r="X68" t="s">
        <v>140</v>
      </c>
      <c r="Y68" t="s">
        <v>1554</v>
      </c>
      <c r="Z68" t="s">
        <v>1555</v>
      </c>
      <c r="AA68" t="s">
        <v>74</v>
      </c>
      <c r="AB68" t="s">
        <v>74</v>
      </c>
      <c r="AC68" t="s">
        <v>74</v>
      </c>
      <c r="AD68" t="s">
        <v>74</v>
      </c>
      <c r="AE68" t="s">
        <v>74</v>
      </c>
      <c r="AF68" t="s">
        <v>74</v>
      </c>
      <c r="AG68">
        <v>96</v>
      </c>
      <c r="AH68">
        <v>0</v>
      </c>
      <c r="AI68">
        <v>0</v>
      </c>
      <c r="AJ68">
        <v>3</v>
      </c>
      <c r="AK68">
        <v>10</v>
      </c>
      <c r="AL68" t="s">
        <v>1556</v>
      </c>
      <c r="AM68" t="s">
        <v>301</v>
      </c>
      <c r="AN68" t="s">
        <v>1557</v>
      </c>
      <c r="AO68" t="s">
        <v>1558</v>
      </c>
      <c r="AP68" t="s">
        <v>1559</v>
      </c>
      <c r="AQ68" t="s">
        <v>74</v>
      </c>
      <c r="AR68" t="s">
        <v>1560</v>
      </c>
      <c r="AS68" t="s">
        <v>1561</v>
      </c>
      <c r="AT68" t="s">
        <v>1295</v>
      </c>
      <c r="AU68">
        <v>2022</v>
      </c>
      <c r="AV68">
        <v>30</v>
      </c>
      <c r="AW68" t="s">
        <v>74</v>
      </c>
      <c r="AX68" t="s">
        <v>74</v>
      </c>
      <c r="AY68" t="s">
        <v>74</v>
      </c>
      <c r="AZ68" t="s">
        <v>74</v>
      </c>
      <c r="BA68" t="s">
        <v>74</v>
      </c>
      <c r="BB68">
        <v>25</v>
      </c>
      <c r="BC68">
        <v>49</v>
      </c>
      <c r="BD68" t="s">
        <v>74</v>
      </c>
      <c r="BE68" t="s">
        <v>1562</v>
      </c>
      <c r="BF68" t="str">
        <f>HYPERLINK("http://dx.doi.org/10.18601/01207555.n30.02","http://dx.doi.org/10.18601/01207555.n30.02")</f>
        <v>http://dx.doi.org/10.18601/01207555.n30.02</v>
      </c>
      <c r="BG68" t="s">
        <v>74</v>
      </c>
      <c r="BH68" t="s">
        <v>74</v>
      </c>
      <c r="BI68">
        <v>25</v>
      </c>
      <c r="BJ68" t="s">
        <v>1563</v>
      </c>
      <c r="BK68" t="s">
        <v>180</v>
      </c>
      <c r="BL68" t="s">
        <v>1421</v>
      </c>
      <c r="BM68" t="s">
        <v>1564</v>
      </c>
      <c r="BN68" t="s">
        <v>74</v>
      </c>
      <c r="BO68" t="s">
        <v>183</v>
      </c>
      <c r="BP68" t="s">
        <v>74</v>
      </c>
      <c r="BQ68" t="s">
        <v>74</v>
      </c>
      <c r="BR68" t="s">
        <v>104</v>
      </c>
      <c r="BS68" t="s">
        <v>1565</v>
      </c>
      <c r="BT68" t="str">
        <f>HYPERLINK("https%3A%2F%2Fwww.webofscience.com%2Fwos%2Fwoscc%2Ffull-record%2FWOS:000743925000001","View Full Record in Web of Science")</f>
        <v>View Full Record in Web of Science</v>
      </c>
    </row>
    <row r="69" spans="1:72" x14ac:dyDescent="0.25">
      <c r="A69" t="s">
        <v>72</v>
      </c>
      <c r="B69" t="s">
        <v>1566</v>
      </c>
      <c r="C69" t="s">
        <v>74</v>
      </c>
      <c r="D69" t="s">
        <v>74</v>
      </c>
      <c r="E69" t="s">
        <v>74</v>
      </c>
      <c r="F69" t="s">
        <v>1567</v>
      </c>
      <c r="G69" t="s">
        <v>74</v>
      </c>
      <c r="H69" t="s">
        <v>74</v>
      </c>
      <c r="I69" t="s">
        <v>1568</v>
      </c>
      <c r="J69" t="s">
        <v>1569</v>
      </c>
      <c r="K69" t="s">
        <v>74</v>
      </c>
      <c r="L69" t="s">
        <v>74</v>
      </c>
      <c r="M69" t="s">
        <v>78</v>
      </c>
      <c r="N69" t="s">
        <v>79</v>
      </c>
      <c r="O69" t="s">
        <v>74</v>
      </c>
      <c r="P69" t="s">
        <v>74</v>
      </c>
      <c r="Q69" t="s">
        <v>74</v>
      </c>
      <c r="R69" t="s">
        <v>74</v>
      </c>
      <c r="S69" t="s">
        <v>74</v>
      </c>
      <c r="T69" t="s">
        <v>1570</v>
      </c>
      <c r="U69" t="s">
        <v>74</v>
      </c>
      <c r="V69" t="s">
        <v>1571</v>
      </c>
      <c r="W69" t="s">
        <v>1572</v>
      </c>
      <c r="X69" t="s">
        <v>140</v>
      </c>
      <c r="Y69" t="s">
        <v>1573</v>
      </c>
      <c r="Z69" t="s">
        <v>1574</v>
      </c>
      <c r="AA69" t="s">
        <v>74</v>
      </c>
      <c r="AB69" t="s">
        <v>1575</v>
      </c>
      <c r="AC69" t="s">
        <v>74</v>
      </c>
      <c r="AD69" t="s">
        <v>74</v>
      </c>
      <c r="AE69" t="s">
        <v>74</v>
      </c>
      <c r="AF69" t="s">
        <v>74</v>
      </c>
      <c r="AG69">
        <v>18</v>
      </c>
      <c r="AH69">
        <v>4</v>
      </c>
      <c r="AI69">
        <v>4</v>
      </c>
      <c r="AJ69">
        <v>5</v>
      </c>
      <c r="AK69">
        <v>8</v>
      </c>
      <c r="AL69" t="s">
        <v>92</v>
      </c>
      <c r="AM69" t="s">
        <v>93</v>
      </c>
      <c r="AN69" t="s">
        <v>94</v>
      </c>
      <c r="AO69" t="s">
        <v>74</v>
      </c>
      <c r="AP69" t="s">
        <v>1576</v>
      </c>
      <c r="AQ69" t="s">
        <v>74</v>
      </c>
      <c r="AR69" t="s">
        <v>1577</v>
      </c>
      <c r="AS69" t="s">
        <v>1578</v>
      </c>
      <c r="AT69" t="s">
        <v>256</v>
      </c>
      <c r="AU69">
        <v>2022</v>
      </c>
      <c r="AV69">
        <v>13</v>
      </c>
      <c r="AW69">
        <v>4</v>
      </c>
      <c r="AX69" t="s">
        <v>74</v>
      </c>
      <c r="AY69" t="s">
        <v>74</v>
      </c>
      <c r="AZ69" t="s">
        <v>74</v>
      </c>
      <c r="BA69" t="s">
        <v>74</v>
      </c>
      <c r="BB69" t="s">
        <v>74</v>
      </c>
      <c r="BC69" t="s">
        <v>74</v>
      </c>
      <c r="BD69">
        <v>497</v>
      </c>
      <c r="BE69" t="s">
        <v>1579</v>
      </c>
      <c r="BF69" t="str">
        <f>HYPERLINK("http://dx.doi.org/10.3390/mi13040497","http://dx.doi.org/10.3390/mi13040497")</f>
        <v>http://dx.doi.org/10.3390/mi13040497</v>
      </c>
      <c r="BG69" t="s">
        <v>74</v>
      </c>
      <c r="BH69" t="s">
        <v>74</v>
      </c>
      <c r="BI69">
        <v>9</v>
      </c>
      <c r="BJ69" t="s">
        <v>1580</v>
      </c>
      <c r="BK69" t="s">
        <v>101</v>
      </c>
      <c r="BL69" t="s">
        <v>1581</v>
      </c>
      <c r="BM69" t="s">
        <v>1582</v>
      </c>
      <c r="BN69">
        <v>35457802</v>
      </c>
      <c r="BO69" t="s">
        <v>129</v>
      </c>
      <c r="BP69" t="s">
        <v>74</v>
      </c>
      <c r="BQ69" t="s">
        <v>74</v>
      </c>
      <c r="BR69" t="s">
        <v>104</v>
      </c>
      <c r="BS69" t="s">
        <v>1583</v>
      </c>
      <c r="BT69" t="str">
        <f>HYPERLINK("https%3A%2F%2Fwww.webofscience.com%2Fwos%2Fwoscc%2Ffull-record%2FWOS:000785045100001","View Full Record in Web of Science")</f>
        <v>View Full Record in Web of Science</v>
      </c>
    </row>
    <row r="70" spans="1:72" x14ac:dyDescent="0.25">
      <c r="A70" t="s">
        <v>72</v>
      </c>
      <c r="B70" t="s">
        <v>1584</v>
      </c>
      <c r="C70" t="s">
        <v>74</v>
      </c>
      <c r="D70" t="s">
        <v>74</v>
      </c>
      <c r="E70" t="s">
        <v>74</v>
      </c>
      <c r="F70" t="s">
        <v>1585</v>
      </c>
      <c r="G70" t="s">
        <v>74</v>
      </c>
      <c r="H70" t="s">
        <v>74</v>
      </c>
      <c r="I70" t="s">
        <v>1586</v>
      </c>
      <c r="J70" t="s">
        <v>1587</v>
      </c>
      <c r="K70" t="s">
        <v>74</v>
      </c>
      <c r="L70" t="s">
        <v>74</v>
      </c>
      <c r="M70" t="s">
        <v>1234</v>
      </c>
      <c r="N70" t="s">
        <v>79</v>
      </c>
      <c r="O70" t="s">
        <v>74</v>
      </c>
      <c r="P70" t="s">
        <v>74</v>
      </c>
      <c r="Q70" t="s">
        <v>74</v>
      </c>
      <c r="R70" t="s">
        <v>74</v>
      </c>
      <c r="S70" t="s">
        <v>74</v>
      </c>
      <c r="T70" t="s">
        <v>1588</v>
      </c>
      <c r="U70" t="s">
        <v>74</v>
      </c>
      <c r="V70" t="s">
        <v>1589</v>
      </c>
      <c r="W70" t="s">
        <v>1590</v>
      </c>
      <c r="X70" t="s">
        <v>84</v>
      </c>
      <c r="Y70" t="s">
        <v>1591</v>
      </c>
      <c r="Z70" t="s">
        <v>1592</v>
      </c>
      <c r="AA70" t="s">
        <v>74</v>
      </c>
      <c r="AB70" t="s">
        <v>1193</v>
      </c>
      <c r="AC70" t="s">
        <v>74</v>
      </c>
      <c r="AD70" t="s">
        <v>74</v>
      </c>
      <c r="AE70" t="s">
        <v>74</v>
      </c>
      <c r="AF70" t="s">
        <v>74</v>
      </c>
      <c r="AG70">
        <v>27</v>
      </c>
      <c r="AH70">
        <v>0</v>
      </c>
      <c r="AI70">
        <v>0</v>
      </c>
      <c r="AJ70">
        <v>3</v>
      </c>
      <c r="AK70">
        <v>7</v>
      </c>
      <c r="AL70" t="s">
        <v>1593</v>
      </c>
      <c r="AM70" t="s">
        <v>301</v>
      </c>
      <c r="AN70" t="s">
        <v>1594</v>
      </c>
      <c r="AO70" t="s">
        <v>1595</v>
      </c>
      <c r="AP70" t="s">
        <v>1596</v>
      </c>
      <c r="AQ70" t="s">
        <v>74</v>
      </c>
      <c r="AR70" t="s">
        <v>1597</v>
      </c>
      <c r="AS70" t="s">
        <v>1598</v>
      </c>
      <c r="AT70" t="s">
        <v>853</v>
      </c>
      <c r="AU70">
        <v>2022</v>
      </c>
      <c r="AV70">
        <v>43</v>
      </c>
      <c r="AW70">
        <v>1</v>
      </c>
      <c r="AX70" t="s">
        <v>74</v>
      </c>
      <c r="AY70" t="s">
        <v>74</v>
      </c>
      <c r="AZ70" t="s">
        <v>74</v>
      </c>
      <c r="BA70" t="s">
        <v>74</v>
      </c>
      <c r="BB70">
        <v>20</v>
      </c>
      <c r="BC70">
        <v>37</v>
      </c>
      <c r="BD70" t="s">
        <v>74</v>
      </c>
      <c r="BE70" t="s">
        <v>1599</v>
      </c>
      <c r="BF70" t="str">
        <f>HYPERLINK("http://dx.doi.org/10.14483/23448350.18329","http://dx.doi.org/10.14483/23448350.18329")</f>
        <v>http://dx.doi.org/10.14483/23448350.18329</v>
      </c>
      <c r="BG70" t="s">
        <v>74</v>
      </c>
      <c r="BH70" t="s">
        <v>74</v>
      </c>
      <c r="BI70">
        <v>18</v>
      </c>
      <c r="BJ70" t="s">
        <v>1600</v>
      </c>
      <c r="BK70" t="s">
        <v>180</v>
      </c>
      <c r="BL70" t="s">
        <v>1601</v>
      </c>
      <c r="BM70" t="s">
        <v>1602</v>
      </c>
      <c r="BN70" t="s">
        <v>74</v>
      </c>
      <c r="BO70" t="s">
        <v>735</v>
      </c>
      <c r="BP70" t="s">
        <v>74</v>
      </c>
      <c r="BQ70" t="s">
        <v>74</v>
      </c>
      <c r="BR70" t="s">
        <v>104</v>
      </c>
      <c r="BS70" t="s">
        <v>1603</v>
      </c>
      <c r="BT70" t="str">
        <f>HYPERLINK("https%3A%2F%2Fwww.webofscience.com%2Fwos%2Fwoscc%2Ffull-record%2FWOS:000744168900002","View Full Record in Web of Science")</f>
        <v>View Full Record in Web of Science</v>
      </c>
    </row>
    <row r="71" spans="1:72" x14ac:dyDescent="0.25">
      <c r="A71" t="s">
        <v>72</v>
      </c>
      <c r="B71" t="s">
        <v>1604</v>
      </c>
      <c r="C71" t="s">
        <v>74</v>
      </c>
      <c r="D71" t="s">
        <v>74</v>
      </c>
      <c r="E71" t="s">
        <v>74</v>
      </c>
      <c r="F71" t="s">
        <v>1605</v>
      </c>
      <c r="G71" t="s">
        <v>74</v>
      </c>
      <c r="H71" t="s">
        <v>74</v>
      </c>
      <c r="I71" t="s">
        <v>1606</v>
      </c>
      <c r="J71" t="s">
        <v>1607</v>
      </c>
      <c r="K71" t="s">
        <v>74</v>
      </c>
      <c r="L71" t="s">
        <v>74</v>
      </c>
      <c r="M71" t="s">
        <v>78</v>
      </c>
      <c r="N71" t="s">
        <v>79</v>
      </c>
      <c r="O71" t="s">
        <v>74</v>
      </c>
      <c r="P71" t="s">
        <v>74</v>
      </c>
      <c r="Q71" t="s">
        <v>74</v>
      </c>
      <c r="R71" t="s">
        <v>74</v>
      </c>
      <c r="S71" t="s">
        <v>74</v>
      </c>
      <c r="T71" t="s">
        <v>1608</v>
      </c>
      <c r="U71" t="s">
        <v>74</v>
      </c>
      <c r="V71" t="s">
        <v>1609</v>
      </c>
      <c r="W71" t="s">
        <v>1610</v>
      </c>
      <c r="X71" t="s">
        <v>84</v>
      </c>
      <c r="Y71" t="s">
        <v>1611</v>
      </c>
      <c r="Z71" t="s">
        <v>1612</v>
      </c>
      <c r="AA71" t="s">
        <v>74</v>
      </c>
      <c r="AB71" t="s">
        <v>74</v>
      </c>
      <c r="AC71" t="s">
        <v>74</v>
      </c>
      <c r="AD71" t="s">
        <v>74</v>
      </c>
      <c r="AE71" t="s">
        <v>74</v>
      </c>
      <c r="AF71" t="s">
        <v>74</v>
      </c>
      <c r="AG71">
        <v>19</v>
      </c>
      <c r="AH71">
        <v>0</v>
      </c>
      <c r="AI71">
        <v>0</v>
      </c>
      <c r="AJ71">
        <v>1</v>
      </c>
      <c r="AK71">
        <v>1</v>
      </c>
      <c r="AL71" t="s">
        <v>1613</v>
      </c>
      <c r="AM71" t="s">
        <v>1614</v>
      </c>
      <c r="AN71" t="s">
        <v>1615</v>
      </c>
      <c r="AO71" t="s">
        <v>1616</v>
      </c>
      <c r="AP71" t="s">
        <v>1617</v>
      </c>
      <c r="AQ71" t="s">
        <v>74</v>
      </c>
      <c r="AR71" t="s">
        <v>1618</v>
      </c>
      <c r="AS71" t="s">
        <v>1619</v>
      </c>
      <c r="AT71" t="s">
        <v>1336</v>
      </c>
      <c r="AU71">
        <v>2022</v>
      </c>
      <c r="AV71">
        <v>44</v>
      </c>
      <c r="AW71">
        <v>2</v>
      </c>
      <c r="AX71" t="s">
        <v>74</v>
      </c>
      <c r="AY71" t="s">
        <v>74</v>
      </c>
      <c r="AZ71" t="s">
        <v>74</v>
      </c>
      <c r="BA71" t="s">
        <v>74</v>
      </c>
      <c r="BB71">
        <v>161</v>
      </c>
      <c r="BC71">
        <v>182</v>
      </c>
      <c r="BD71" t="s">
        <v>74</v>
      </c>
      <c r="BE71" t="s">
        <v>1620</v>
      </c>
      <c r="BF71" t="str">
        <f>HYPERLINK("http://dx.doi.org/10.18273/revbol.v44n2-2022008","http://dx.doi.org/10.18273/revbol.v44n2-2022008")</f>
        <v>http://dx.doi.org/10.18273/revbol.v44n2-2022008</v>
      </c>
      <c r="BG71" t="s">
        <v>74</v>
      </c>
      <c r="BH71" t="s">
        <v>74</v>
      </c>
      <c r="BI71">
        <v>22</v>
      </c>
      <c r="BJ71" t="s">
        <v>1621</v>
      </c>
      <c r="BK71" t="s">
        <v>180</v>
      </c>
      <c r="BL71" t="s">
        <v>1621</v>
      </c>
      <c r="BM71" t="s">
        <v>1622</v>
      </c>
      <c r="BN71" t="s">
        <v>74</v>
      </c>
      <c r="BO71" t="s">
        <v>383</v>
      </c>
      <c r="BP71" t="s">
        <v>74</v>
      </c>
      <c r="BQ71" t="s">
        <v>74</v>
      </c>
      <c r="BR71" t="s">
        <v>104</v>
      </c>
      <c r="BS71" t="s">
        <v>1623</v>
      </c>
      <c r="BT71" t="str">
        <f>HYPERLINK("https%3A%2F%2Fwww.webofscience.com%2Fwos%2Fwoscc%2Ffull-record%2FWOS:000826221200009","View Full Record in Web of Science")</f>
        <v>View Full Record in Web of Science</v>
      </c>
    </row>
    <row r="72" spans="1:72" x14ac:dyDescent="0.25">
      <c r="A72" t="s">
        <v>72</v>
      </c>
      <c r="B72" t="s">
        <v>1624</v>
      </c>
      <c r="C72" t="s">
        <v>74</v>
      </c>
      <c r="D72" t="s">
        <v>74</v>
      </c>
      <c r="E72" t="s">
        <v>74</v>
      </c>
      <c r="F72" t="s">
        <v>1625</v>
      </c>
      <c r="G72" t="s">
        <v>74</v>
      </c>
      <c r="H72" t="s">
        <v>74</v>
      </c>
      <c r="I72" t="s">
        <v>1626</v>
      </c>
      <c r="J72" t="s">
        <v>1627</v>
      </c>
      <c r="K72" t="s">
        <v>74</v>
      </c>
      <c r="L72" t="s">
        <v>74</v>
      </c>
      <c r="M72" t="s">
        <v>78</v>
      </c>
      <c r="N72" t="s">
        <v>79</v>
      </c>
      <c r="O72" t="s">
        <v>74</v>
      </c>
      <c r="P72" t="s">
        <v>74</v>
      </c>
      <c r="Q72" t="s">
        <v>74</v>
      </c>
      <c r="R72" t="s">
        <v>74</v>
      </c>
      <c r="S72" t="s">
        <v>74</v>
      </c>
      <c r="T72" t="s">
        <v>1628</v>
      </c>
      <c r="U72" t="s">
        <v>1629</v>
      </c>
      <c r="V72" t="s">
        <v>1630</v>
      </c>
      <c r="W72" t="s">
        <v>1631</v>
      </c>
      <c r="X72" t="s">
        <v>140</v>
      </c>
      <c r="Y72" t="s">
        <v>1632</v>
      </c>
      <c r="Z72" t="s">
        <v>1633</v>
      </c>
      <c r="AA72" t="s">
        <v>74</v>
      </c>
      <c r="AB72" t="s">
        <v>74</v>
      </c>
      <c r="AC72" t="s">
        <v>74</v>
      </c>
      <c r="AD72" t="s">
        <v>74</v>
      </c>
      <c r="AE72" t="s">
        <v>74</v>
      </c>
      <c r="AF72" t="s">
        <v>74</v>
      </c>
      <c r="AG72">
        <v>50</v>
      </c>
      <c r="AH72">
        <v>1</v>
      </c>
      <c r="AI72">
        <v>1</v>
      </c>
      <c r="AJ72">
        <v>1</v>
      </c>
      <c r="AK72">
        <v>1</v>
      </c>
      <c r="AL72" t="s">
        <v>1634</v>
      </c>
      <c r="AM72" t="s">
        <v>301</v>
      </c>
      <c r="AN72" t="s">
        <v>1635</v>
      </c>
      <c r="AO72" t="s">
        <v>1636</v>
      </c>
      <c r="AP72" t="s">
        <v>1637</v>
      </c>
      <c r="AQ72" t="s">
        <v>74</v>
      </c>
      <c r="AR72" t="s">
        <v>1638</v>
      </c>
      <c r="AS72" t="s">
        <v>1639</v>
      </c>
      <c r="AT72" t="s">
        <v>1336</v>
      </c>
      <c r="AU72">
        <v>2022</v>
      </c>
      <c r="AV72">
        <v>27</v>
      </c>
      <c r="AW72">
        <v>2</v>
      </c>
      <c r="AX72" t="s">
        <v>74</v>
      </c>
      <c r="AY72" t="s">
        <v>74</v>
      </c>
      <c r="AZ72" t="s">
        <v>74</v>
      </c>
      <c r="BA72" t="s">
        <v>74</v>
      </c>
      <c r="BB72">
        <v>164</v>
      </c>
      <c r="BC72">
        <v>176</v>
      </c>
      <c r="BD72" t="s">
        <v>74</v>
      </c>
      <c r="BE72" t="s">
        <v>1640</v>
      </c>
      <c r="BF72" t="str">
        <f>HYPERLINK("http://dx.doi.org/10.15446/abc.v27n2.89084","http://dx.doi.org/10.15446/abc.v27n2.89084")</f>
        <v>http://dx.doi.org/10.15446/abc.v27n2.89084</v>
      </c>
      <c r="BG72" t="s">
        <v>74</v>
      </c>
      <c r="BH72" t="s">
        <v>74</v>
      </c>
      <c r="BI72">
        <v>13</v>
      </c>
      <c r="BJ72" t="s">
        <v>1641</v>
      </c>
      <c r="BK72" t="s">
        <v>101</v>
      </c>
      <c r="BL72" t="s">
        <v>1641</v>
      </c>
      <c r="BM72" t="s">
        <v>1642</v>
      </c>
      <c r="BN72" t="s">
        <v>74</v>
      </c>
      <c r="BO72" t="s">
        <v>183</v>
      </c>
      <c r="BP72" t="s">
        <v>74</v>
      </c>
      <c r="BQ72" t="s">
        <v>74</v>
      </c>
      <c r="BR72" t="s">
        <v>104</v>
      </c>
      <c r="BS72" t="s">
        <v>1643</v>
      </c>
      <c r="BT72" t="str">
        <f>HYPERLINK("https%3A%2F%2Fwww.webofscience.com%2Fwos%2Fwoscc%2Ffull-record%2FWOS:000841922300002","View Full Record in Web of Science")</f>
        <v>View Full Record in Web of Science</v>
      </c>
    </row>
    <row r="73" spans="1:72" x14ac:dyDescent="0.25">
      <c r="A73" t="s">
        <v>72</v>
      </c>
      <c r="B73" t="s">
        <v>1644</v>
      </c>
      <c r="C73" t="s">
        <v>74</v>
      </c>
      <c r="D73" t="s">
        <v>74</v>
      </c>
      <c r="E73" t="s">
        <v>74</v>
      </c>
      <c r="F73" t="s">
        <v>1645</v>
      </c>
      <c r="G73" t="s">
        <v>74</v>
      </c>
      <c r="H73" t="s">
        <v>74</v>
      </c>
      <c r="I73" t="s">
        <v>1646</v>
      </c>
      <c r="J73" t="s">
        <v>1647</v>
      </c>
      <c r="K73" t="s">
        <v>74</v>
      </c>
      <c r="L73" t="s">
        <v>74</v>
      </c>
      <c r="M73" t="s">
        <v>78</v>
      </c>
      <c r="N73" t="s">
        <v>79</v>
      </c>
      <c r="O73" t="s">
        <v>74</v>
      </c>
      <c r="P73" t="s">
        <v>74</v>
      </c>
      <c r="Q73" t="s">
        <v>74</v>
      </c>
      <c r="R73" t="s">
        <v>74</v>
      </c>
      <c r="S73" t="s">
        <v>74</v>
      </c>
      <c r="T73" t="s">
        <v>1648</v>
      </c>
      <c r="U73" t="s">
        <v>1649</v>
      </c>
      <c r="V73" t="s">
        <v>1650</v>
      </c>
      <c r="W73" t="s">
        <v>1651</v>
      </c>
      <c r="X73" t="s">
        <v>84</v>
      </c>
      <c r="Y73" t="s">
        <v>1652</v>
      </c>
      <c r="Z73" t="s">
        <v>1653</v>
      </c>
      <c r="AA73" t="s">
        <v>1654</v>
      </c>
      <c r="AB73" t="s">
        <v>1655</v>
      </c>
      <c r="AC73" t="s">
        <v>74</v>
      </c>
      <c r="AD73" t="s">
        <v>74</v>
      </c>
      <c r="AE73" t="s">
        <v>74</v>
      </c>
      <c r="AF73" t="s">
        <v>74</v>
      </c>
      <c r="AG73">
        <v>31</v>
      </c>
      <c r="AH73">
        <v>0</v>
      </c>
      <c r="AI73">
        <v>0</v>
      </c>
      <c r="AJ73">
        <v>2</v>
      </c>
      <c r="AK73">
        <v>2</v>
      </c>
      <c r="AL73" t="s">
        <v>146</v>
      </c>
      <c r="AM73" t="s">
        <v>1218</v>
      </c>
      <c r="AN73" t="s">
        <v>1219</v>
      </c>
      <c r="AO73" t="s">
        <v>1656</v>
      </c>
      <c r="AP73" t="s">
        <v>1657</v>
      </c>
      <c r="AQ73" t="s">
        <v>74</v>
      </c>
      <c r="AR73" t="s">
        <v>1658</v>
      </c>
      <c r="AS73" t="s">
        <v>1659</v>
      </c>
      <c r="AT73" t="s">
        <v>752</v>
      </c>
      <c r="AU73">
        <v>2022</v>
      </c>
      <c r="AV73">
        <v>177</v>
      </c>
      <c r="AW73">
        <v>1</v>
      </c>
      <c r="AX73" t="s">
        <v>74</v>
      </c>
      <c r="AY73" t="s">
        <v>74</v>
      </c>
      <c r="AZ73" t="s">
        <v>74</v>
      </c>
      <c r="BA73" t="s">
        <v>74</v>
      </c>
      <c r="BB73" t="s">
        <v>74</v>
      </c>
      <c r="BC73" t="s">
        <v>74</v>
      </c>
      <c r="BD73">
        <v>1</v>
      </c>
      <c r="BE73" t="s">
        <v>1660</v>
      </c>
      <c r="BF73" t="str">
        <f>HYPERLINK("http://dx.doi.org/10.1007/s10440-021-00463-w","http://dx.doi.org/10.1007/s10440-021-00463-w")</f>
        <v>http://dx.doi.org/10.1007/s10440-021-00463-w</v>
      </c>
      <c r="BG73" t="s">
        <v>74</v>
      </c>
      <c r="BH73" t="s">
        <v>74</v>
      </c>
      <c r="BI73">
        <v>25</v>
      </c>
      <c r="BJ73" t="s">
        <v>1661</v>
      </c>
      <c r="BK73" t="s">
        <v>101</v>
      </c>
      <c r="BL73" t="s">
        <v>733</v>
      </c>
      <c r="BM73" t="s">
        <v>1662</v>
      </c>
      <c r="BN73" t="s">
        <v>74</v>
      </c>
      <c r="BO73" t="s">
        <v>74</v>
      </c>
      <c r="BP73" t="s">
        <v>74</v>
      </c>
      <c r="BQ73" t="s">
        <v>74</v>
      </c>
      <c r="BR73" t="s">
        <v>104</v>
      </c>
      <c r="BS73" t="s">
        <v>1663</v>
      </c>
      <c r="BT73" t="str">
        <f>HYPERLINK("https%3A%2F%2Fwww.webofscience.com%2Fwos%2Fwoscc%2Ffull-record%2FWOS:000734770500001","View Full Record in Web of Science")</f>
        <v>View Full Record in Web of Science</v>
      </c>
    </row>
    <row r="74" spans="1:72" x14ac:dyDescent="0.25">
      <c r="A74" t="s">
        <v>72</v>
      </c>
      <c r="B74" t="s">
        <v>1664</v>
      </c>
      <c r="C74" t="s">
        <v>74</v>
      </c>
      <c r="D74" t="s">
        <v>74</v>
      </c>
      <c r="E74" t="s">
        <v>74</v>
      </c>
      <c r="F74" t="s">
        <v>1665</v>
      </c>
      <c r="G74" t="s">
        <v>74</v>
      </c>
      <c r="H74" t="s">
        <v>74</v>
      </c>
      <c r="I74" t="s">
        <v>1666</v>
      </c>
      <c r="J74" t="s">
        <v>1667</v>
      </c>
      <c r="K74" t="s">
        <v>74</v>
      </c>
      <c r="L74" t="s">
        <v>74</v>
      </c>
      <c r="M74" t="s">
        <v>78</v>
      </c>
      <c r="N74" t="s">
        <v>79</v>
      </c>
      <c r="O74" t="s">
        <v>74</v>
      </c>
      <c r="P74" t="s">
        <v>74</v>
      </c>
      <c r="Q74" t="s">
        <v>74</v>
      </c>
      <c r="R74" t="s">
        <v>74</v>
      </c>
      <c r="S74" t="s">
        <v>74</v>
      </c>
      <c r="T74" t="s">
        <v>1668</v>
      </c>
      <c r="U74" t="s">
        <v>1669</v>
      </c>
      <c r="V74" t="s">
        <v>1670</v>
      </c>
      <c r="W74" t="s">
        <v>1671</v>
      </c>
      <c r="X74" t="s">
        <v>84</v>
      </c>
      <c r="Y74" t="s">
        <v>1672</v>
      </c>
      <c r="Z74" t="s">
        <v>1673</v>
      </c>
      <c r="AA74" t="s">
        <v>1674</v>
      </c>
      <c r="AB74" t="s">
        <v>1675</v>
      </c>
      <c r="AC74" t="s">
        <v>1676</v>
      </c>
      <c r="AD74" t="s">
        <v>1677</v>
      </c>
      <c r="AE74" t="s">
        <v>1678</v>
      </c>
      <c r="AF74" t="s">
        <v>74</v>
      </c>
      <c r="AG74">
        <v>33</v>
      </c>
      <c r="AH74">
        <v>0</v>
      </c>
      <c r="AI74">
        <v>0</v>
      </c>
      <c r="AJ74">
        <v>4</v>
      </c>
      <c r="AK74">
        <v>6</v>
      </c>
      <c r="AL74" t="s">
        <v>146</v>
      </c>
      <c r="AM74" t="s">
        <v>1218</v>
      </c>
      <c r="AN74" t="s">
        <v>1219</v>
      </c>
      <c r="AO74" t="s">
        <v>1679</v>
      </c>
      <c r="AP74" t="s">
        <v>1680</v>
      </c>
      <c r="AQ74" t="s">
        <v>74</v>
      </c>
      <c r="AR74" t="s">
        <v>1681</v>
      </c>
      <c r="AS74" t="s">
        <v>1682</v>
      </c>
      <c r="AT74" t="s">
        <v>1313</v>
      </c>
      <c r="AU74">
        <v>2022</v>
      </c>
      <c r="AV74">
        <v>69</v>
      </c>
      <c r="AW74">
        <v>7</v>
      </c>
      <c r="AX74" t="s">
        <v>74</v>
      </c>
      <c r="AY74" t="s">
        <v>74</v>
      </c>
      <c r="AZ74" t="s">
        <v>74</v>
      </c>
      <c r="BA74" t="s">
        <v>74</v>
      </c>
      <c r="BB74">
        <v>2447</v>
      </c>
      <c r="BC74">
        <v>2458</v>
      </c>
      <c r="BD74" t="s">
        <v>74</v>
      </c>
      <c r="BE74" t="s">
        <v>1683</v>
      </c>
      <c r="BF74" t="str">
        <f>HYPERLINK("http://dx.doi.org/10.1007/s10722-022-01383-w","http://dx.doi.org/10.1007/s10722-022-01383-w")</f>
        <v>http://dx.doi.org/10.1007/s10722-022-01383-w</v>
      </c>
      <c r="BG74" t="s">
        <v>74</v>
      </c>
      <c r="BH74" t="s">
        <v>259</v>
      </c>
      <c r="BI74">
        <v>12</v>
      </c>
      <c r="BJ74" t="s">
        <v>1684</v>
      </c>
      <c r="BK74" t="s">
        <v>101</v>
      </c>
      <c r="BL74" t="s">
        <v>1685</v>
      </c>
      <c r="BM74" t="s">
        <v>1686</v>
      </c>
      <c r="BN74" t="s">
        <v>74</v>
      </c>
      <c r="BO74" t="s">
        <v>74</v>
      </c>
      <c r="BP74" t="s">
        <v>74</v>
      </c>
      <c r="BQ74" t="s">
        <v>74</v>
      </c>
      <c r="BR74" t="s">
        <v>104</v>
      </c>
      <c r="BS74" t="s">
        <v>1687</v>
      </c>
      <c r="BT74" t="str">
        <f>HYPERLINK("https%3A%2F%2Fwww.webofscience.com%2Fwos%2Fwoscc%2Ffull-record%2FWOS:000782884800001","View Full Record in Web of Science")</f>
        <v>View Full Record in Web of Science</v>
      </c>
    </row>
    <row r="75" spans="1:72" x14ac:dyDescent="0.25">
      <c r="A75" t="s">
        <v>72</v>
      </c>
      <c r="B75" t="s">
        <v>1688</v>
      </c>
      <c r="C75" t="s">
        <v>74</v>
      </c>
      <c r="D75" t="s">
        <v>74</v>
      </c>
      <c r="E75" t="s">
        <v>74</v>
      </c>
      <c r="F75" t="s">
        <v>1689</v>
      </c>
      <c r="G75" t="s">
        <v>74</v>
      </c>
      <c r="H75" t="s">
        <v>74</v>
      </c>
      <c r="I75" t="s">
        <v>1690</v>
      </c>
      <c r="J75" t="s">
        <v>1569</v>
      </c>
      <c r="K75" t="s">
        <v>74</v>
      </c>
      <c r="L75" t="s">
        <v>74</v>
      </c>
      <c r="M75" t="s">
        <v>78</v>
      </c>
      <c r="N75" t="s">
        <v>79</v>
      </c>
      <c r="O75" t="s">
        <v>74</v>
      </c>
      <c r="P75" t="s">
        <v>74</v>
      </c>
      <c r="Q75" t="s">
        <v>74</v>
      </c>
      <c r="R75" t="s">
        <v>74</v>
      </c>
      <c r="S75" t="s">
        <v>74</v>
      </c>
      <c r="T75" t="s">
        <v>1691</v>
      </c>
      <c r="U75" t="s">
        <v>74</v>
      </c>
      <c r="V75" t="s">
        <v>1692</v>
      </c>
      <c r="W75" t="s">
        <v>1693</v>
      </c>
      <c r="X75" t="s">
        <v>84</v>
      </c>
      <c r="Y75" t="s">
        <v>1573</v>
      </c>
      <c r="Z75" t="s">
        <v>1694</v>
      </c>
      <c r="AA75" t="s">
        <v>74</v>
      </c>
      <c r="AB75" t="s">
        <v>74</v>
      </c>
      <c r="AC75" t="s">
        <v>74</v>
      </c>
      <c r="AD75" t="s">
        <v>74</v>
      </c>
      <c r="AE75" t="s">
        <v>74</v>
      </c>
      <c r="AF75" t="s">
        <v>74</v>
      </c>
      <c r="AG75">
        <v>11</v>
      </c>
      <c r="AH75">
        <v>0</v>
      </c>
      <c r="AI75">
        <v>0</v>
      </c>
      <c r="AJ75">
        <v>13</v>
      </c>
      <c r="AK75">
        <v>13</v>
      </c>
      <c r="AL75" t="s">
        <v>92</v>
      </c>
      <c r="AM75" t="s">
        <v>93</v>
      </c>
      <c r="AN75" t="s">
        <v>94</v>
      </c>
      <c r="AO75" t="s">
        <v>74</v>
      </c>
      <c r="AP75" t="s">
        <v>1576</v>
      </c>
      <c r="AQ75" t="s">
        <v>74</v>
      </c>
      <c r="AR75" t="s">
        <v>1577</v>
      </c>
      <c r="AS75" t="s">
        <v>1578</v>
      </c>
      <c r="AT75" t="s">
        <v>416</v>
      </c>
      <c r="AU75">
        <v>2022</v>
      </c>
      <c r="AV75">
        <v>13</v>
      </c>
      <c r="AW75">
        <v>9</v>
      </c>
      <c r="AX75" t="s">
        <v>74</v>
      </c>
      <c r="AY75" t="s">
        <v>74</v>
      </c>
      <c r="AZ75" t="s">
        <v>74</v>
      </c>
      <c r="BA75" t="s">
        <v>74</v>
      </c>
      <c r="BB75" t="s">
        <v>74</v>
      </c>
      <c r="BC75" t="s">
        <v>74</v>
      </c>
      <c r="BD75">
        <v>1541</v>
      </c>
      <c r="BE75" t="s">
        <v>1695</v>
      </c>
      <c r="BF75" t="str">
        <f>HYPERLINK("http://dx.doi.org/10.3390/mi13091541","http://dx.doi.org/10.3390/mi13091541")</f>
        <v>http://dx.doi.org/10.3390/mi13091541</v>
      </c>
      <c r="BG75" t="s">
        <v>74</v>
      </c>
      <c r="BH75" t="s">
        <v>74</v>
      </c>
      <c r="BI75">
        <v>7</v>
      </c>
      <c r="BJ75" t="s">
        <v>1580</v>
      </c>
      <c r="BK75" t="s">
        <v>101</v>
      </c>
      <c r="BL75" t="s">
        <v>1581</v>
      </c>
      <c r="BM75" t="s">
        <v>1696</v>
      </c>
      <c r="BN75">
        <v>36144164</v>
      </c>
      <c r="BO75" t="s">
        <v>103</v>
      </c>
      <c r="BP75" t="s">
        <v>74</v>
      </c>
      <c r="BQ75" t="s">
        <v>74</v>
      </c>
      <c r="BR75" t="s">
        <v>104</v>
      </c>
      <c r="BS75" t="s">
        <v>1697</v>
      </c>
      <c r="BT75" t="str">
        <f>HYPERLINK("https%3A%2F%2Fwww.webofscience.com%2Fwos%2Fwoscc%2Ffull-record%2FWOS:000859645300001","View Full Record in Web of Science")</f>
        <v>View Full Record in Web of Science</v>
      </c>
    </row>
    <row r="76" spans="1:72" x14ac:dyDescent="0.25">
      <c r="A76" t="s">
        <v>72</v>
      </c>
      <c r="B76" t="s">
        <v>1698</v>
      </c>
      <c r="C76" t="s">
        <v>74</v>
      </c>
      <c r="D76" t="s">
        <v>74</v>
      </c>
      <c r="E76" t="s">
        <v>74</v>
      </c>
      <c r="F76" t="s">
        <v>1699</v>
      </c>
      <c r="G76" t="s">
        <v>74</v>
      </c>
      <c r="H76" t="s">
        <v>74</v>
      </c>
      <c r="I76" t="s">
        <v>1700</v>
      </c>
      <c r="J76" t="s">
        <v>1701</v>
      </c>
      <c r="K76" t="s">
        <v>74</v>
      </c>
      <c r="L76" t="s">
        <v>74</v>
      </c>
      <c r="M76" t="s">
        <v>78</v>
      </c>
      <c r="N76" t="s">
        <v>79</v>
      </c>
      <c r="O76" t="s">
        <v>74</v>
      </c>
      <c r="P76" t="s">
        <v>74</v>
      </c>
      <c r="Q76" t="s">
        <v>74</v>
      </c>
      <c r="R76" t="s">
        <v>74</v>
      </c>
      <c r="S76" t="s">
        <v>74</v>
      </c>
      <c r="T76" t="s">
        <v>1702</v>
      </c>
      <c r="U76" t="s">
        <v>74</v>
      </c>
      <c r="V76" t="s">
        <v>1703</v>
      </c>
      <c r="W76" t="s">
        <v>1704</v>
      </c>
      <c r="X76" t="s">
        <v>84</v>
      </c>
      <c r="Y76" t="s">
        <v>1705</v>
      </c>
      <c r="Z76" t="s">
        <v>1706</v>
      </c>
      <c r="AA76" t="s">
        <v>74</v>
      </c>
      <c r="AB76" t="s">
        <v>74</v>
      </c>
      <c r="AC76" t="s">
        <v>74</v>
      </c>
      <c r="AD76" t="s">
        <v>74</v>
      </c>
      <c r="AE76" t="s">
        <v>74</v>
      </c>
      <c r="AF76" t="s">
        <v>74</v>
      </c>
      <c r="AG76">
        <v>26</v>
      </c>
      <c r="AH76">
        <v>0</v>
      </c>
      <c r="AI76">
        <v>0</v>
      </c>
      <c r="AJ76">
        <v>0</v>
      </c>
      <c r="AK76">
        <v>0</v>
      </c>
      <c r="AL76" t="s">
        <v>1707</v>
      </c>
      <c r="AM76" t="s">
        <v>1708</v>
      </c>
      <c r="AN76" t="s">
        <v>1709</v>
      </c>
      <c r="AO76" t="s">
        <v>1710</v>
      </c>
      <c r="AP76" t="s">
        <v>1711</v>
      </c>
      <c r="AQ76" t="s">
        <v>74</v>
      </c>
      <c r="AR76" t="s">
        <v>1712</v>
      </c>
      <c r="AS76" t="s">
        <v>1713</v>
      </c>
      <c r="AT76" t="s">
        <v>1313</v>
      </c>
      <c r="AU76">
        <v>2022</v>
      </c>
      <c r="AV76">
        <v>18</v>
      </c>
      <c r="AW76" t="s">
        <v>74</v>
      </c>
      <c r="AX76" t="s">
        <v>74</v>
      </c>
      <c r="AY76" t="s">
        <v>74</v>
      </c>
      <c r="AZ76" t="s">
        <v>74</v>
      </c>
      <c r="BA76" t="s">
        <v>74</v>
      </c>
      <c r="BB76">
        <v>1</v>
      </c>
      <c r="BC76">
        <v>20</v>
      </c>
      <c r="BD76" t="s">
        <v>74</v>
      </c>
      <c r="BE76" t="s">
        <v>1714</v>
      </c>
      <c r="BF76" t="str">
        <f>HYPERLINK("http://dx.doi.org/10.12957/childphilo.2022.67275","http://dx.doi.org/10.12957/childphilo.2022.67275")</f>
        <v>http://dx.doi.org/10.12957/childphilo.2022.67275</v>
      </c>
      <c r="BG76" t="s">
        <v>74</v>
      </c>
      <c r="BH76" t="s">
        <v>74</v>
      </c>
      <c r="BI76">
        <v>20</v>
      </c>
      <c r="BJ76" t="s">
        <v>1715</v>
      </c>
      <c r="BK76" t="s">
        <v>180</v>
      </c>
      <c r="BL76" t="s">
        <v>1715</v>
      </c>
      <c r="BM76" t="s">
        <v>1716</v>
      </c>
      <c r="BN76" t="s">
        <v>74</v>
      </c>
      <c r="BO76" t="s">
        <v>183</v>
      </c>
      <c r="BP76" t="s">
        <v>74</v>
      </c>
      <c r="BQ76" t="s">
        <v>74</v>
      </c>
      <c r="BR76" t="s">
        <v>104</v>
      </c>
      <c r="BS76" t="s">
        <v>1717</v>
      </c>
      <c r="BT76" t="str">
        <f>HYPERLINK("https%3A%2F%2Fwww.webofscience.com%2Fwos%2Fwoscc%2Ffull-record%2FWOS:000877479200001","View Full Record in Web of Science")</f>
        <v>View Full Record in Web of Science</v>
      </c>
    </row>
    <row r="77" spans="1:72" x14ac:dyDescent="0.25">
      <c r="A77" t="s">
        <v>72</v>
      </c>
      <c r="B77" t="s">
        <v>1718</v>
      </c>
      <c r="C77" t="s">
        <v>74</v>
      </c>
      <c r="D77" t="s">
        <v>74</v>
      </c>
      <c r="E77" t="s">
        <v>74</v>
      </c>
      <c r="F77" t="s">
        <v>1719</v>
      </c>
      <c r="G77" t="s">
        <v>74</v>
      </c>
      <c r="H77" t="s">
        <v>74</v>
      </c>
      <c r="I77" t="s">
        <v>1720</v>
      </c>
      <c r="J77" t="s">
        <v>1721</v>
      </c>
      <c r="K77" t="s">
        <v>74</v>
      </c>
      <c r="L77" t="s">
        <v>74</v>
      </c>
      <c r="M77" t="s">
        <v>1234</v>
      </c>
      <c r="N77" t="s">
        <v>79</v>
      </c>
      <c r="O77" t="s">
        <v>74</v>
      </c>
      <c r="P77" t="s">
        <v>74</v>
      </c>
      <c r="Q77" t="s">
        <v>74</v>
      </c>
      <c r="R77" t="s">
        <v>74</v>
      </c>
      <c r="S77" t="s">
        <v>74</v>
      </c>
      <c r="T77" t="s">
        <v>1722</v>
      </c>
      <c r="U77" t="s">
        <v>74</v>
      </c>
      <c r="V77" t="s">
        <v>1723</v>
      </c>
      <c r="W77" t="s">
        <v>1724</v>
      </c>
      <c r="X77" t="s">
        <v>84</v>
      </c>
      <c r="Y77" t="s">
        <v>1725</v>
      </c>
      <c r="Z77" t="s">
        <v>1726</v>
      </c>
      <c r="AA77" t="s">
        <v>74</v>
      </c>
      <c r="AB77" t="s">
        <v>74</v>
      </c>
      <c r="AC77" t="s">
        <v>74</v>
      </c>
      <c r="AD77" t="s">
        <v>74</v>
      </c>
      <c r="AE77" t="s">
        <v>74</v>
      </c>
      <c r="AF77" t="s">
        <v>74</v>
      </c>
      <c r="AG77">
        <v>25</v>
      </c>
      <c r="AH77">
        <v>0</v>
      </c>
      <c r="AI77">
        <v>0</v>
      </c>
      <c r="AJ77">
        <v>0</v>
      </c>
      <c r="AK77">
        <v>0</v>
      </c>
      <c r="AL77" t="s">
        <v>1391</v>
      </c>
      <c r="AM77" t="s">
        <v>1392</v>
      </c>
      <c r="AN77" t="s">
        <v>1393</v>
      </c>
      <c r="AO77" t="s">
        <v>1727</v>
      </c>
      <c r="AP77" t="s">
        <v>1728</v>
      </c>
      <c r="AQ77" t="s">
        <v>74</v>
      </c>
      <c r="AR77" t="s">
        <v>1729</v>
      </c>
      <c r="AS77" t="s">
        <v>1730</v>
      </c>
      <c r="AT77" t="s">
        <v>1398</v>
      </c>
      <c r="AU77">
        <v>2022</v>
      </c>
      <c r="AV77">
        <v>41</v>
      </c>
      <c r="AW77">
        <v>74</v>
      </c>
      <c r="AX77" t="s">
        <v>74</v>
      </c>
      <c r="AY77" t="s">
        <v>74</v>
      </c>
      <c r="AZ77" t="s">
        <v>74</v>
      </c>
      <c r="BA77" t="s">
        <v>74</v>
      </c>
      <c r="BB77">
        <v>275</v>
      </c>
      <c r="BC77">
        <v>298</v>
      </c>
      <c r="BD77" t="s">
        <v>74</v>
      </c>
      <c r="BE77" t="s">
        <v>1731</v>
      </c>
      <c r="BF77" t="str">
        <f>HYPERLINK("http://dx.doi.org/10.19053/01203053.v41.n74.2022.14683","http://dx.doi.org/10.19053/01203053.v41.n74.2022.14683")</f>
        <v>http://dx.doi.org/10.19053/01203053.v41.n74.2022.14683</v>
      </c>
      <c r="BG77" t="s">
        <v>74</v>
      </c>
      <c r="BH77" t="s">
        <v>74</v>
      </c>
      <c r="BI77">
        <v>24</v>
      </c>
      <c r="BJ77" t="s">
        <v>1732</v>
      </c>
      <c r="BK77" t="s">
        <v>180</v>
      </c>
      <c r="BL77" t="s">
        <v>781</v>
      </c>
      <c r="BM77" t="s">
        <v>1733</v>
      </c>
      <c r="BN77" t="s">
        <v>74</v>
      </c>
      <c r="BO77" t="s">
        <v>383</v>
      </c>
      <c r="BP77" t="s">
        <v>74</v>
      </c>
      <c r="BQ77" t="s">
        <v>74</v>
      </c>
      <c r="BR77" t="s">
        <v>104</v>
      </c>
      <c r="BS77" t="s">
        <v>1734</v>
      </c>
      <c r="BT77" t="str">
        <f>HYPERLINK("https%3A%2F%2Fwww.webofscience.com%2Fwos%2Fwoscc%2Ffull-record%2FWOS:000843374600010","View Full Record in Web of Science")</f>
        <v>View Full Record in Web of Science</v>
      </c>
    </row>
    <row r="78" spans="1:72" x14ac:dyDescent="0.25">
      <c r="A78" t="s">
        <v>72</v>
      </c>
      <c r="B78" t="s">
        <v>1735</v>
      </c>
      <c r="C78" t="s">
        <v>74</v>
      </c>
      <c r="D78" t="s">
        <v>74</v>
      </c>
      <c r="E78" t="s">
        <v>74</v>
      </c>
      <c r="F78" t="s">
        <v>1736</v>
      </c>
      <c r="G78" t="s">
        <v>74</v>
      </c>
      <c r="H78" t="s">
        <v>74</v>
      </c>
      <c r="I78" t="s">
        <v>1737</v>
      </c>
      <c r="J78" t="s">
        <v>1627</v>
      </c>
      <c r="K78" t="s">
        <v>74</v>
      </c>
      <c r="L78" t="s">
        <v>74</v>
      </c>
      <c r="M78" t="s">
        <v>78</v>
      </c>
      <c r="N78" t="s">
        <v>162</v>
      </c>
      <c r="O78" t="s">
        <v>74</v>
      </c>
      <c r="P78" t="s">
        <v>74</v>
      </c>
      <c r="Q78" t="s">
        <v>74</v>
      </c>
      <c r="R78" t="s">
        <v>74</v>
      </c>
      <c r="S78" t="s">
        <v>74</v>
      </c>
      <c r="T78" t="s">
        <v>1738</v>
      </c>
      <c r="U78" t="s">
        <v>1739</v>
      </c>
      <c r="V78" t="s">
        <v>1740</v>
      </c>
      <c r="W78" t="s">
        <v>1741</v>
      </c>
      <c r="X78" t="s">
        <v>140</v>
      </c>
      <c r="Y78" t="s">
        <v>1742</v>
      </c>
      <c r="Z78" t="s">
        <v>967</v>
      </c>
      <c r="AA78" t="s">
        <v>74</v>
      </c>
      <c r="AB78" t="s">
        <v>74</v>
      </c>
      <c r="AC78" t="s">
        <v>74</v>
      </c>
      <c r="AD78" t="s">
        <v>74</v>
      </c>
      <c r="AE78" t="s">
        <v>74</v>
      </c>
      <c r="AF78" t="s">
        <v>74</v>
      </c>
      <c r="AG78">
        <v>66</v>
      </c>
      <c r="AH78">
        <v>0</v>
      </c>
      <c r="AI78">
        <v>0</v>
      </c>
      <c r="AJ78">
        <v>7</v>
      </c>
      <c r="AK78">
        <v>7</v>
      </c>
      <c r="AL78" t="s">
        <v>1634</v>
      </c>
      <c r="AM78" t="s">
        <v>301</v>
      </c>
      <c r="AN78" t="s">
        <v>1635</v>
      </c>
      <c r="AO78" t="s">
        <v>1636</v>
      </c>
      <c r="AP78" t="s">
        <v>1637</v>
      </c>
      <c r="AQ78" t="s">
        <v>74</v>
      </c>
      <c r="AR78" t="s">
        <v>1638</v>
      </c>
      <c r="AS78" t="s">
        <v>1639</v>
      </c>
      <c r="AT78" t="s">
        <v>1336</v>
      </c>
      <c r="AU78">
        <v>2022</v>
      </c>
      <c r="AV78">
        <v>27</v>
      </c>
      <c r="AW78">
        <v>2</v>
      </c>
      <c r="AX78" t="s">
        <v>74</v>
      </c>
      <c r="AY78" t="s">
        <v>74</v>
      </c>
      <c r="AZ78" t="s">
        <v>74</v>
      </c>
      <c r="BA78" t="s">
        <v>74</v>
      </c>
      <c r="BB78">
        <v>282</v>
      </c>
      <c r="BC78">
        <v>291</v>
      </c>
      <c r="BD78" t="s">
        <v>74</v>
      </c>
      <c r="BE78" t="s">
        <v>1743</v>
      </c>
      <c r="BF78" t="str">
        <f>HYPERLINK("http://dx.doi.org/10.15446/abc.v27n2.92192","http://dx.doi.org/10.15446/abc.v27n2.92192")</f>
        <v>http://dx.doi.org/10.15446/abc.v27n2.92192</v>
      </c>
      <c r="BG78" t="s">
        <v>74</v>
      </c>
      <c r="BH78" t="s">
        <v>74</v>
      </c>
      <c r="BI78">
        <v>10</v>
      </c>
      <c r="BJ78" t="s">
        <v>1641</v>
      </c>
      <c r="BK78" t="s">
        <v>101</v>
      </c>
      <c r="BL78" t="s">
        <v>1641</v>
      </c>
      <c r="BM78" t="s">
        <v>1642</v>
      </c>
      <c r="BN78" t="s">
        <v>74</v>
      </c>
      <c r="BO78" t="s">
        <v>183</v>
      </c>
      <c r="BP78" t="s">
        <v>74</v>
      </c>
      <c r="BQ78" t="s">
        <v>74</v>
      </c>
      <c r="BR78" t="s">
        <v>104</v>
      </c>
      <c r="BS78" t="s">
        <v>1744</v>
      </c>
      <c r="BT78" t="str">
        <f>HYPERLINK("https%3A%2F%2Fwww.webofscience.com%2Fwos%2Fwoscc%2Ffull-record%2FWOS:000841922300013","View Full Record in Web of Science")</f>
        <v>View Full Record in Web of Science</v>
      </c>
    </row>
    <row r="79" spans="1:72" x14ac:dyDescent="0.25">
      <c r="A79" t="s">
        <v>72</v>
      </c>
      <c r="B79" t="s">
        <v>1498</v>
      </c>
      <c r="C79" t="s">
        <v>74</v>
      </c>
      <c r="D79" t="s">
        <v>74</v>
      </c>
      <c r="E79" t="s">
        <v>74</v>
      </c>
      <c r="F79" t="s">
        <v>1499</v>
      </c>
      <c r="G79" t="s">
        <v>74</v>
      </c>
      <c r="H79" t="s">
        <v>74</v>
      </c>
      <c r="I79" t="s">
        <v>1745</v>
      </c>
      <c r="J79" t="s">
        <v>1386</v>
      </c>
      <c r="K79" t="s">
        <v>74</v>
      </c>
      <c r="L79" t="s">
        <v>74</v>
      </c>
      <c r="M79" t="s">
        <v>1234</v>
      </c>
      <c r="N79" t="s">
        <v>1501</v>
      </c>
      <c r="O79" t="s">
        <v>74</v>
      </c>
      <c r="P79" t="s">
        <v>74</v>
      </c>
      <c r="Q79" t="s">
        <v>74</v>
      </c>
      <c r="R79" t="s">
        <v>74</v>
      </c>
      <c r="S79" t="s">
        <v>74</v>
      </c>
      <c r="T79" t="s">
        <v>74</v>
      </c>
      <c r="U79" t="s">
        <v>74</v>
      </c>
      <c r="V79" t="s">
        <v>74</v>
      </c>
      <c r="W79" t="s">
        <v>1502</v>
      </c>
      <c r="X79" t="s">
        <v>84</v>
      </c>
      <c r="Y79" t="s">
        <v>1503</v>
      </c>
      <c r="Z79" t="s">
        <v>74</v>
      </c>
      <c r="AA79" t="s">
        <v>74</v>
      </c>
      <c r="AB79" t="s">
        <v>74</v>
      </c>
      <c r="AC79" t="s">
        <v>74</v>
      </c>
      <c r="AD79" t="s">
        <v>74</v>
      </c>
      <c r="AE79" t="s">
        <v>74</v>
      </c>
      <c r="AF79" t="s">
        <v>74</v>
      </c>
      <c r="AG79">
        <v>0</v>
      </c>
      <c r="AH79">
        <v>0</v>
      </c>
      <c r="AI79">
        <v>0</v>
      </c>
      <c r="AJ79">
        <v>0</v>
      </c>
      <c r="AK79">
        <v>0</v>
      </c>
      <c r="AL79" t="s">
        <v>1391</v>
      </c>
      <c r="AM79" t="s">
        <v>1392</v>
      </c>
      <c r="AN79" t="s">
        <v>1393</v>
      </c>
      <c r="AO79" t="s">
        <v>1394</v>
      </c>
      <c r="AP79" t="s">
        <v>1395</v>
      </c>
      <c r="AQ79" t="s">
        <v>74</v>
      </c>
      <c r="AR79" t="s">
        <v>1396</v>
      </c>
      <c r="AS79" t="s">
        <v>1397</v>
      </c>
      <c r="AT79" t="s">
        <v>1295</v>
      </c>
      <c r="AU79">
        <v>2022</v>
      </c>
      <c r="AV79">
        <v>8</v>
      </c>
      <c r="AW79">
        <v>31</v>
      </c>
      <c r="AX79" t="s">
        <v>74</v>
      </c>
      <c r="AY79" t="s">
        <v>74</v>
      </c>
      <c r="AZ79" t="s">
        <v>74</v>
      </c>
      <c r="BA79" t="s">
        <v>74</v>
      </c>
      <c r="BB79">
        <v>11</v>
      </c>
      <c r="BC79">
        <v>14</v>
      </c>
      <c r="BD79" t="s">
        <v>74</v>
      </c>
      <c r="BE79" t="s">
        <v>74</v>
      </c>
      <c r="BF79" t="s">
        <v>74</v>
      </c>
      <c r="BG79" t="s">
        <v>74</v>
      </c>
      <c r="BH79" t="s">
        <v>74</v>
      </c>
      <c r="BI79">
        <v>4</v>
      </c>
      <c r="BJ79" t="s">
        <v>1400</v>
      </c>
      <c r="BK79" t="s">
        <v>180</v>
      </c>
      <c r="BL79" t="s">
        <v>1400</v>
      </c>
      <c r="BM79" t="s">
        <v>1746</v>
      </c>
      <c r="BN79" t="s">
        <v>74</v>
      </c>
      <c r="BO79" t="s">
        <v>74</v>
      </c>
      <c r="BP79" t="s">
        <v>74</v>
      </c>
      <c r="BQ79" t="s">
        <v>74</v>
      </c>
      <c r="BR79" t="s">
        <v>104</v>
      </c>
      <c r="BS79" t="s">
        <v>1747</v>
      </c>
      <c r="BT79" t="str">
        <f>HYPERLINK("https%3A%2F%2Fwww.webofscience.com%2Fwos%2Fwoscc%2Ffull-record%2FWOS:000906552800001","View Full Record in Web of Science")</f>
        <v>View Full Record in Web of Science</v>
      </c>
    </row>
    <row r="80" spans="1:72" x14ac:dyDescent="0.25">
      <c r="A80" t="s">
        <v>72</v>
      </c>
      <c r="B80" t="s">
        <v>1748</v>
      </c>
      <c r="C80" t="s">
        <v>74</v>
      </c>
      <c r="D80" t="s">
        <v>74</v>
      </c>
      <c r="E80" t="s">
        <v>74</v>
      </c>
      <c r="F80" t="s">
        <v>1749</v>
      </c>
      <c r="G80" t="s">
        <v>74</v>
      </c>
      <c r="H80" t="s">
        <v>74</v>
      </c>
      <c r="I80" t="s">
        <v>1750</v>
      </c>
      <c r="J80" t="s">
        <v>1721</v>
      </c>
      <c r="K80" t="s">
        <v>74</v>
      </c>
      <c r="L80" t="s">
        <v>74</v>
      </c>
      <c r="M80" t="s">
        <v>1234</v>
      </c>
      <c r="N80" t="s">
        <v>79</v>
      </c>
      <c r="O80" t="s">
        <v>74</v>
      </c>
      <c r="P80" t="s">
        <v>74</v>
      </c>
      <c r="Q80" t="s">
        <v>74</v>
      </c>
      <c r="R80" t="s">
        <v>74</v>
      </c>
      <c r="S80" t="s">
        <v>74</v>
      </c>
      <c r="T80" t="s">
        <v>1751</v>
      </c>
      <c r="U80" t="s">
        <v>1752</v>
      </c>
      <c r="V80" t="s">
        <v>1753</v>
      </c>
      <c r="W80" t="s">
        <v>1754</v>
      </c>
      <c r="X80" t="s">
        <v>84</v>
      </c>
      <c r="Y80" t="s">
        <v>1755</v>
      </c>
      <c r="Z80" t="s">
        <v>1756</v>
      </c>
      <c r="AA80" t="s">
        <v>74</v>
      </c>
      <c r="AB80" t="s">
        <v>74</v>
      </c>
      <c r="AC80" t="s">
        <v>1757</v>
      </c>
      <c r="AD80" t="s">
        <v>1757</v>
      </c>
      <c r="AE80" t="s">
        <v>1758</v>
      </c>
      <c r="AF80" t="s">
        <v>74</v>
      </c>
      <c r="AG80">
        <v>86</v>
      </c>
      <c r="AH80">
        <v>0</v>
      </c>
      <c r="AI80">
        <v>0</v>
      </c>
      <c r="AJ80">
        <v>3</v>
      </c>
      <c r="AK80">
        <v>4</v>
      </c>
      <c r="AL80" t="s">
        <v>1391</v>
      </c>
      <c r="AM80" t="s">
        <v>1392</v>
      </c>
      <c r="AN80" t="s">
        <v>1393</v>
      </c>
      <c r="AO80" t="s">
        <v>1728</v>
      </c>
      <c r="AP80" t="s">
        <v>74</v>
      </c>
      <c r="AQ80" t="s">
        <v>74</v>
      </c>
      <c r="AR80" t="s">
        <v>1729</v>
      </c>
      <c r="AS80" t="s">
        <v>1730</v>
      </c>
      <c r="AT80" t="s">
        <v>1295</v>
      </c>
      <c r="AU80">
        <v>2022</v>
      </c>
      <c r="AV80">
        <v>41</v>
      </c>
      <c r="AW80">
        <v>73</v>
      </c>
      <c r="AX80" t="s">
        <v>74</v>
      </c>
      <c r="AY80" t="s">
        <v>74</v>
      </c>
      <c r="AZ80" t="s">
        <v>74</v>
      </c>
      <c r="BA80" t="s">
        <v>74</v>
      </c>
      <c r="BB80">
        <v>83</v>
      </c>
      <c r="BC80">
        <v>111</v>
      </c>
      <c r="BD80" t="s">
        <v>74</v>
      </c>
      <c r="BE80" t="s">
        <v>1759</v>
      </c>
      <c r="BF80" t="str">
        <f>HYPERLINK("http://dx.doi.org/10.19053/01203053.v41.n73.2022.13524","http://dx.doi.org/10.19053/01203053.v41.n73.2022.13524")</f>
        <v>http://dx.doi.org/10.19053/01203053.v41.n73.2022.13524</v>
      </c>
      <c r="BG80" t="s">
        <v>74</v>
      </c>
      <c r="BH80" t="s">
        <v>74</v>
      </c>
      <c r="BI80">
        <v>29</v>
      </c>
      <c r="BJ80" t="s">
        <v>1732</v>
      </c>
      <c r="BK80" t="s">
        <v>180</v>
      </c>
      <c r="BL80" t="s">
        <v>781</v>
      </c>
      <c r="BM80" t="s">
        <v>1760</v>
      </c>
      <c r="BN80" t="s">
        <v>74</v>
      </c>
      <c r="BO80" t="s">
        <v>183</v>
      </c>
      <c r="BP80" t="s">
        <v>74</v>
      </c>
      <c r="BQ80" t="s">
        <v>74</v>
      </c>
      <c r="BR80" t="s">
        <v>104</v>
      </c>
      <c r="BS80" t="s">
        <v>1761</v>
      </c>
      <c r="BT80" t="str">
        <f>HYPERLINK("https%3A%2F%2Fwww.webofscience.com%2Fwos%2Fwoscc%2Ffull-record%2FWOS:000777493700006","View Full Record in Web of Science")</f>
        <v>View Full Record in Web of Science</v>
      </c>
    </row>
    <row r="81" spans="1:72" x14ac:dyDescent="0.25">
      <c r="A81" t="s">
        <v>72</v>
      </c>
      <c r="B81" t="s">
        <v>1762</v>
      </c>
      <c r="C81" t="s">
        <v>74</v>
      </c>
      <c r="D81" t="s">
        <v>74</v>
      </c>
      <c r="E81" t="s">
        <v>74</v>
      </c>
      <c r="F81" t="s">
        <v>1763</v>
      </c>
      <c r="G81" t="s">
        <v>74</v>
      </c>
      <c r="H81" t="s">
        <v>74</v>
      </c>
      <c r="I81" t="s">
        <v>1764</v>
      </c>
      <c r="J81" t="s">
        <v>1607</v>
      </c>
      <c r="K81" t="s">
        <v>74</v>
      </c>
      <c r="L81" t="s">
        <v>74</v>
      </c>
      <c r="M81" t="s">
        <v>1234</v>
      </c>
      <c r="N81" t="s">
        <v>79</v>
      </c>
      <c r="O81" t="s">
        <v>74</v>
      </c>
      <c r="P81" t="s">
        <v>74</v>
      </c>
      <c r="Q81" t="s">
        <v>74</v>
      </c>
      <c r="R81" t="s">
        <v>74</v>
      </c>
      <c r="S81" t="s">
        <v>74</v>
      </c>
      <c r="T81" t="s">
        <v>1765</v>
      </c>
      <c r="U81" t="s">
        <v>1766</v>
      </c>
      <c r="V81" t="s">
        <v>1767</v>
      </c>
      <c r="W81" t="s">
        <v>1768</v>
      </c>
      <c r="X81" t="s">
        <v>272</v>
      </c>
      <c r="Y81" t="s">
        <v>1769</v>
      </c>
      <c r="Z81" t="s">
        <v>1770</v>
      </c>
      <c r="AA81" t="s">
        <v>74</v>
      </c>
      <c r="AB81" t="s">
        <v>1771</v>
      </c>
      <c r="AC81" t="s">
        <v>74</v>
      </c>
      <c r="AD81" t="s">
        <v>74</v>
      </c>
      <c r="AE81" t="s">
        <v>74</v>
      </c>
      <c r="AF81" t="s">
        <v>74</v>
      </c>
      <c r="AG81">
        <v>47</v>
      </c>
      <c r="AH81">
        <v>0</v>
      </c>
      <c r="AI81">
        <v>0</v>
      </c>
      <c r="AJ81">
        <v>0</v>
      </c>
      <c r="AK81">
        <v>0</v>
      </c>
      <c r="AL81" t="s">
        <v>1613</v>
      </c>
      <c r="AM81" t="s">
        <v>1614</v>
      </c>
      <c r="AN81" t="s">
        <v>1615</v>
      </c>
      <c r="AO81" t="s">
        <v>1616</v>
      </c>
      <c r="AP81" t="s">
        <v>1617</v>
      </c>
      <c r="AQ81" t="s">
        <v>74</v>
      </c>
      <c r="AR81" t="s">
        <v>1618</v>
      </c>
      <c r="AS81" t="s">
        <v>1619</v>
      </c>
      <c r="AT81" t="s">
        <v>1336</v>
      </c>
      <c r="AU81">
        <v>2022</v>
      </c>
      <c r="AV81">
        <v>44</v>
      </c>
      <c r="AW81">
        <v>2</v>
      </c>
      <c r="AX81" t="s">
        <v>74</v>
      </c>
      <c r="AY81" t="s">
        <v>74</v>
      </c>
      <c r="AZ81" t="s">
        <v>74</v>
      </c>
      <c r="BA81" t="s">
        <v>74</v>
      </c>
      <c r="BB81">
        <v>51</v>
      </c>
      <c r="BC81">
        <v>72</v>
      </c>
      <c r="BD81" t="s">
        <v>74</v>
      </c>
      <c r="BE81" t="s">
        <v>1772</v>
      </c>
      <c r="BF81" t="str">
        <f>HYPERLINK("http://dx.doi.org/10.18273/revbol.v44n2-2022002","http://dx.doi.org/10.18273/revbol.v44n2-2022002")</f>
        <v>http://dx.doi.org/10.18273/revbol.v44n2-2022002</v>
      </c>
      <c r="BG81" t="s">
        <v>74</v>
      </c>
      <c r="BH81" t="s">
        <v>74</v>
      </c>
      <c r="BI81">
        <v>22</v>
      </c>
      <c r="BJ81" t="s">
        <v>1621</v>
      </c>
      <c r="BK81" t="s">
        <v>180</v>
      </c>
      <c r="BL81" t="s">
        <v>1621</v>
      </c>
      <c r="BM81" t="s">
        <v>1622</v>
      </c>
      <c r="BN81" t="s">
        <v>74</v>
      </c>
      <c r="BO81" t="s">
        <v>383</v>
      </c>
      <c r="BP81" t="s">
        <v>74</v>
      </c>
      <c r="BQ81" t="s">
        <v>74</v>
      </c>
      <c r="BR81" t="s">
        <v>104</v>
      </c>
      <c r="BS81" t="s">
        <v>1773</v>
      </c>
      <c r="BT81" t="str">
        <f>HYPERLINK("https%3A%2F%2Fwww.webofscience.com%2Fwos%2Fwoscc%2Ffull-record%2FWOS:000826221200002","View Full Record in Web of Science")</f>
        <v>View Full Record in Web of Science</v>
      </c>
    </row>
    <row r="82" spans="1:72" x14ac:dyDescent="0.25">
      <c r="A82" t="s">
        <v>72</v>
      </c>
      <c r="B82" t="s">
        <v>1774</v>
      </c>
      <c r="C82" t="s">
        <v>74</v>
      </c>
      <c r="D82" t="s">
        <v>74</v>
      </c>
      <c r="E82" t="s">
        <v>74</v>
      </c>
      <c r="F82" t="s">
        <v>1775</v>
      </c>
      <c r="G82" t="s">
        <v>74</v>
      </c>
      <c r="H82" t="s">
        <v>74</v>
      </c>
      <c r="I82" t="s">
        <v>1776</v>
      </c>
      <c r="J82" t="s">
        <v>1777</v>
      </c>
      <c r="K82" t="s">
        <v>74</v>
      </c>
      <c r="L82" t="s">
        <v>74</v>
      </c>
      <c r="M82" t="s">
        <v>1234</v>
      </c>
      <c r="N82" t="s">
        <v>79</v>
      </c>
      <c r="O82" t="s">
        <v>74</v>
      </c>
      <c r="P82" t="s">
        <v>74</v>
      </c>
      <c r="Q82" t="s">
        <v>74</v>
      </c>
      <c r="R82" t="s">
        <v>74</v>
      </c>
      <c r="S82" t="s">
        <v>74</v>
      </c>
      <c r="T82" t="s">
        <v>1778</v>
      </c>
      <c r="U82" t="s">
        <v>74</v>
      </c>
      <c r="V82" t="s">
        <v>1779</v>
      </c>
      <c r="W82" t="s">
        <v>1780</v>
      </c>
      <c r="X82" t="s">
        <v>84</v>
      </c>
      <c r="Y82" t="s">
        <v>1781</v>
      </c>
      <c r="Z82" t="s">
        <v>1782</v>
      </c>
      <c r="AA82" t="s">
        <v>74</v>
      </c>
      <c r="AB82" t="s">
        <v>74</v>
      </c>
      <c r="AC82" t="s">
        <v>74</v>
      </c>
      <c r="AD82" t="s">
        <v>74</v>
      </c>
      <c r="AE82" t="s">
        <v>74</v>
      </c>
      <c r="AF82" t="s">
        <v>74</v>
      </c>
      <c r="AG82">
        <v>34</v>
      </c>
      <c r="AH82">
        <v>0</v>
      </c>
      <c r="AI82">
        <v>0</v>
      </c>
      <c r="AJ82">
        <v>0</v>
      </c>
      <c r="AK82">
        <v>0</v>
      </c>
      <c r="AL82" t="s">
        <v>1783</v>
      </c>
      <c r="AM82" t="s">
        <v>1784</v>
      </c>
      <c r="AN82" t="s">
        <v>1785</v>
      </c>
      <c r="AO82" t="s">
        <v>1786</v>
      </c>
      <c r="AP82" t="s">
        <v>74</v>
      </c>
      <c r="AQ82" t="s">
        <v>74</v>
      </c>
      <c r="AR82" t="s">
        <v>1787</v>
      </c>
      <c r="AS82" t="s">
        <v>1788</v>
      </c>
      <c r="AT82" t="s">
        <v>660</v>
      </c>
      <c r="AU82">
        <v>2022</v>
      </c>
      <c r="AV82">
        <v>10</v>
      </c>
      <c r="AW82" t="s">
        <v>74</v>
      </c>
      <c r="AX82" t="s">
        <v>74</v>
      </c>
      <c r="AY82" t="s">
        <v>74</v>
      </c>
      <c r="AZ82" t="s">
        <v>74</v>
      </c>
      <c r="BA82" t="s">
        <v>74</v>
      </c>
      <c r="BB82" t="s">
        <v>74</v>
      </c>
      <c r="BC82" t="s">
        <v>74</v>
      </c>
      <c r="BD82" t="s">
        <v>74</v>
      </c>
      <c r="BE82" t="s">
        <v>1789</v>
      </c>
      <c r="BF82" t="str">
        <f>HYPERLINK("http://dx.doi.org/10.31057/2314.3908.v10.37312","http://dx.doi.org/10.31057/2314.3908.v10.37312")</f>
        <v>http://dx.doi.org/10.31057/2314.3908.v10.37312</v>
      </c>
      <c r="BG82" t="s">
        <v>74</v>
      </c>
      <c r="BH82" t="s">
        <v>74</v>
      </c>
      <c r="BI82">
        <v>20</v>
      </c>
      <c r="BJ82" t="s">
        <v>1459</v>
      </c>
      <c r="BK82" t="s">
        <v>180</v>
      </c>
      <c r="BL82" t="s">
        <v>1459</v>
      </c>
      <c r="BM82" t="s">
        <v>1790</v>
      </c>
      <c r="BN82" t="s">
        <v>74</v>
      </c>
      <c r="BO82" t="s">
        <v>183</v>
      </c>
      <c r="BP82" t="s">
        <v>74</v>
      </c>
      <c r="BQ82" t="s">
        <v>74</v>
      </c>
      <c r="BR82" t="s">
        <v>104</v>
      </c>
      <c r="BS82" t="s">
        <v>1791</v>
      </c>
      <c r="BT82" t="str">
        <f>HYPERLINK("https%3A%2F%2Fwww.webofscience.com%2Fwos%2Fwoscc%2Ffull-record%2FWOS:000798433700001","View Full Record in Web of Science")</f>
        <v>View Full Record in Web of Science</v>
      </c>
    </row>
    <row r="83" spans="1:72" x14ac:dyDescent="0.25">
      <c r="A83" t="s">
        <v>72</v>
      </c>
      <c r="B83" t="s">
        <v>1792</v>
      </c>
      <c r="C83" t="s">
        <v>74</v>
      </c>
      <c r="D83" t="s">
        <v>74</v>
      </c>
      <c r="E83" t="s">
        <v>74</v>
      </c>
      <c r="F83" t="s">
        <v>1793</v>
      </c>
      <c r="G83" t="s">
        <v>74</v>
      </c>
      <c r="H83" t="s">
        <v>74</v>
      </c>
      <c r="I83" t="s">
        <v>1794</v>
      </c>
      <c r="J83" t="s">
        <v>1795</v>
      </c>
      <c r="K83" t="s">
        <v>74</v>
      </c>
      <c r="L83" t="s">
        <v>74</v>
      </c>
      <c r="M83" t="s">
        <v>1796</v>
      </c>
      <c r="N83" t="s">
        <v>79</v>
      </c>
      <c r="O83" t="s">
        <v>74</v>
      </c>
      <c r="P83" t="s">
        <v>74</v>
      </c>
      <c r="Q83" t="s">
        <v>74</v>
      </c>
      <c r="R83" t="s">
        <v>74</v>
      </c>
      <c r="S83" t="s">
        <v>74</v>
      </c>
      <c r="T83" t="s">
        <v>1797</v>
      </c>
      <c r="U83" t="s">
        <v>74</v>
      </c>
      <c r="V83" t="s">
        <v>1798</v>
      </c>
      <c r="W83" t="s">
        <v>1799</v>
      </c>
      <c r="X83" t="s">
        <v>84</v>
      </c>
      <c r="Y83" t="s">
        <v>1800</v>
      </c>
      <c r="Z83" t="s">
        <v>1801</v>
      </c>
      <c r="AA83" t="s">
        <v>74</v>
      </c>
      <c r="AB83" t="s">
        <v>74</v>
      </c>
      <c r="AC83" t="s">
        <v>74</v>
      </c>
      <c r="AD83" t="s">
        <v>74</v>
      </c>
      <c r="AE83" t="s">
        <v>74</v>
      </c>
      <c r="AF83" t="s">
        <v>74</v>
      </c>
      <c r="AG83">
        <v>92</v>
      </c>
      <c r="AH83">
        <v>0</v>
      </c>
      <c r="AI83">
        <v>0</v>
      </c>
      <c r="AJ83">
        <v>0</v>
      </c>
      <c r="AK83">
        <v>0</v>
      </c>
      <c r="AL83" t="s">
        <v>1802</v>
      </c>
      <c r="AM83" t="s">
        <v>1803</v>
      </c>
      <c r="AN83" t="s">
        <v>1804</v>
      </c>
      <c r="AO83" t="s">
        <v>1805</v>
      </c>
      <c r="AP83" t="s">
        <v>1806</v>
      </c>
      <c r="AQ83" t="s">
        <v>74</v>
      </c>
      <c r="AR83" t="s">
        <v>1807</v>
      </c>
      <c r="AS83" t="s">
        <v>1808</v>
      </c>
      <c r="AT83" t="s">
        <v>1295</v>
      </c>
      <c r="AU83">
        <v>2022</v>
      </c>
      <c r="AV83">
        <v>17</v>
      </c>
      <c r="AW83">
        <v>40</v>
      </c>
      <c r="AX83" t="s">
        <v>74</v>
      </c>
      <c r="AY83" t="s">
        <v>74</v>
      </c>
      <c r="AZ83" t="s">
        <v>74</v>
      </c>
      <c r="BA83" t="s">
        <v>74</v>
      </c>
      <c r="BB83">
        <v>251</v>
      </c>
      <c r="BC83">
        <v>280</v>
      </c>
      <c r="BD83" t="s">
        <v>74</v>
      </c>
      <c r="BE83" t="s">
        <v>1809</v>
      </c>
      <c r="BF83" t="str">
        <f>HYPERLINK("http://dx.doi.org/10.15648/hc.40.2022.3208","http://dx.doi.org/10.15648/hc.40.2022.3208")</f>
        <v>http://dx.doi.org/10.15648/hc.40.2022.3208</v>
      </c>
      <c r="BG83" t="s">
        <v>74</v>
      </c>
      <c r="BH83" t="s">
        <v>74</v>
      </c>
      <c r="BI83">
        <v>30</v>
      </c>
      <c r="BJ83" t="s">
        <v>1459</v>
      </c>
      <c r="BK83" t="s">
        <v>180</v>
      </c>
      <c r="BL83" t="s">
        <v>1459</v>
      </c>
      <c r="BM83" t="s">
        <v>1810</v>
      </c>
      <c r="BN83" t="s">
        <v>74</v>
      </c>
      <c r="BO83" t="s">
        <v>735</v>
      </c>
      <c r="BP83" t="s">
        <v>74</v>
      </c>
      <c r="BQ83" t="s">
        <v>74</v>
      </c>
      <c r="BR83" t="s">
        <v>104</v>
      </c>
      <c r="BS83" t="s">
        <v>1811</v>
      </c>
      <c r="BT83" t="str">
        <f>HYPERLINK("https%3A%2F%2Fwww.webofscience.com%2Fwos%2Fwoscc%2Ffull-record%2FWOS:000807510600010","View Full Record in Web of Science")</f>
        <v>View Full Record in Web of Science</v>
      </c>
    </row>
    <row r="84" spans="1:72" x14ac:dyDescent="0.25">
      <c r="A84" t="s">
        <v>72</v>
      </c>
      <c r="B84" t="s">
        <v>1812</v>
      </c>
      <c r="C84" t="s">
        <v>74</v>
      </c>
      <c r="D84" t="s">
        <v>74</v>
      </c>
      <c r="E84" t="s">
        <v>74</v>
      </c>
      <c r="F84" t="s">
        <v>1813</v>
      </c>
      <c r="G84" t="s">
        <v>74</v>
      </c>
      <c r="H84" t="s">
        <v>74</v>
      </c>
      <c r="I84" t="s">
        <v>1814</v>
      </c>
      <c r="J84" t="s">
        <v>1815</v>
      </c>
      <c r="K84" t="s">
        <v>74</v>
      </c>
      <c r="L84" t="s">
        <v>74</v>
      </c>
      <c r="M84" t="s">
        <v>78</v>
      </c>
      <c r="N84" t="s">
        <v>1816</v>
      </c>
      <c r="O84" t="s">
        <v>74</v>
      </c>
      <c r="P84" t="s">
        <v>74</v>
      </c>
      <c r="Q84" t="s">
        <v>74</v>
      </c>
      <c r="R84" t="s">
        <v>74</v>
      </c>
      <c r="S84" t="s">
        <v>74</v>
      </c>
      <c r="T84" t="s">
        <v>1817</v>
      </c>
      <c r="U84" t="s">
        <v>74</v>
      </c>
      <c r="V84" t="s">
        <v>1818</v>
      </c>
      <c r="W84" t="s">
        <v>1819</v>
      </c>
      <c r="X84" t="s">
        <v>84</v>
      </c>
      <c r="Y84" t="s">
        <v>1820</v>
      </c>
      <c r="Z84" t="s">
        <v>1821</v>
      </c>
      <c r="AA84" t="s">
        <v>74</v>
      </c>
      <c r="AB84" t="s">
        <v>74</v>
      </c>
      <c r="AC84" t="s">
        <v>74</v>
      </c>
      <c r="AD84" t="s">
        <v>74</v>
      </c>
      <c r="AE84" t="s">
        <v>74</v>
      </c>
      <c r="AF84" t="s">
        <v>74</v>
      </c>
      <c r="AG84">
        <v>5</v>
      </c>
      <c r="AH84">
        <v>0</v>
      </c>
      <c r="AI84">
        <v>0</v>
      </c>
      <c r="AJ84">
        <v>0</v>
      </c>
      <c r="AK84">
        <v>0</v>
      </c>
      <c r="AL84" t="s">
        <v>1815</v>
      </c>
      <c r="AM84" t="s">
        <v>1822</v>
      </c>
      <c r="AN84" t="s">
        <v>1823</v>
      </c>
      <c r="AO84" t="s">
        <v>1824</v>
      </c>
      <c r="AP84" t="s">
        <v>1825</v>
      </c>
      <c r="AQ84" t="s">
        <v>74</v>
      </c>
      <c r="AR84" t="s">
        <v>1826</v>
      </c>
      <c r="AS84" t="s">
        <v>1827</v>
      </c>
      <c r="AT84" t="s">
        <v>400</v>
      </c>
      <c r="AU84">
        <v>2022</v>
      </c>
      <c r="AV84">
        <v>26</v>
      </c>
      <c r="AW84">
        <v>4</v>
      </c>
      <c r="AX84" t="s">
        <v>74</v>
      </c>
      <c r="AY84" t="s">
        <v>74</v>
      </c>
      <c r="AZ84" t="s">
        <v>74</v>
      </c>
      <c r="BA84" t="s">
        <v>74</v>
      </c>
      <c r="BB84">
        <v>576</v>
      </c>
      <c r="BC84">
        <v>577</v>
      </c>
      <c r="BD84" t="s">
        <v>74</v>
      </c>
      <c r="BE84" t="s">
        <v>1828</v>
      </c>
      <c r="BF84" t="str">
        <f>HYPERLINK("http://dx.doi.org/10.35975/apic.v26i4.1970","http://dx.doi.org/10.35975/apic.v26i4.1970")</f>
        <v>http://dx.doi.org/10.35975/apic.v26i4.1970</v>
      </c>
      <c r="BG84" t="s">
        <v>74</v>
      </c>
      <c r="BH84" t="s">
        <v>74</v>
      </c>
      <c r="BI84">
        <v>2</v>
      </c>
      <c r="BJ84" t="s">
        <v>1829</v>
      </c>
      <c r="BK84" t="s">
        <v>180</v>
      </c>
      <c r="BL84" t="s">
        <v>1829</v>
      </c>
      <c r="BM84" t="s">
        <v>1830</v>
      </c>
      <c r="BN84" t="s">
        <v>74</v>
      </c>
      <c r="BO84" t="s">
        <v>183</v>
      </c>
      <c r="BP84" t="s">
        <v>74</v>
      </c>
      <c r="BQ84" t="s">
        <v>74</v>
      </c>
      <c r="BR84" t="s">
        <v>104</v>
      </c>
      <c r="BS84" t="s">
        <v>1831</v>
      </c>
      <c r="BT84" t="str">
        <f>HYPERLINK("https%3A%2F%2Fwww.webofscience.com%2Fwos%2Fwoscc%2Ffull-record%2FWOS:000861049300025","View Full Record in Web of Science")</f>
        <v>View Full Record in Web of Science</v>
      </c>
    </row>
    <row r="85" spans="1:72" x14ac:dyDescent="0.25">
      <c r="A85" t="s">
        <v>72</v>
      </c>
      <c r="B85" t="s">
        <v>1832</v>
      </c>
      <c r="C85" t="s">
        <v>74</v>
      </c>
      <c r="D85" t="s">
        <v>74</v>
      </c>
      <c r="E85" t="s">
        <v>74</v>
      </c>
      <c r="F85" t="s">
        <v>1833</v>
      </c>
      <c r="G85" t="s">
        <v>74</v>
      </c>
      <c r="H85" t="s">
        <v>74</v>
      </c>
      <c r="I85" t="s">
        <v>1834</v>
      </c>
      <c r="J85" t="s">
        <v>1835</v>
      </c>
      <c r="K85" t="s">
        <v>74</v>
      </c>
      <c r="L85" t="s">
        <v>74</v>
      </c>
      <c r="M85" t="s">
        <v>78</v>
      </c>
      <c r="N85" t="s">
        <v>79</v>
      </c>
      <c r="O85" t="s">
        <v>74</v>
      </c>
      <c r="P85" t="s">
        <v>74</v>
      </c>
      <c r="Q85" t="s">
        <v>74</v>
      </c>
      <c r="R85" t="s">
        <v>74</v>
      </c>
      <c r="S85" t="s">
        <v>74</v>
      </c>
      <c r="T85" t="s">
        <v>1836</v>
      </c>
      <c r="U85" t="s">
        <v>74</v>
      </c>
      <c r="V85" t="s">
        <v>1837</v>
      </c>
      <c r="W85" t="s">
        <v>1838</v>
      </c>
      <c r="X85" t="s">
        <v>84</v>
      </c>
      <c r="Y85" t="s">
        <v>1839</v>
      </c>
      <c r="Z85" t="s">
        <v>1840</v>
      </c>
      <c r="AA85" t="s">
        <v>74</v>
      </c>
      <c r="AB85" t="s">
        <v>74</v>
      </c>
      <c r="AC85" t="s">
        <v>74</v>
      </c>
      <c r="AD85" t="s">
        <v>74</v>
      </c>
      <c r="AE85" t="s">
        <v>74</v>
      </c>
      <c r="AF85" t="s">
        <v>74</v>
      </c>
      <c r="AG85">
        <v>18</v>
      </c>
      <c r="AH85">
        <v>0</v>
      </c>
      <c r="AI85">
        <v>0</v>
      </c>
      <c r="AJ85">
        <v>1</v>
      </c>
      <c r="AK85">
        <v>1</v>
      </c>
      <c r="AL85" t="s">
        <v>251</v>
      </c>
      <c r="AM85" t="s">
        <v>252</v>
      </c>
      <c r="AN85" t="s">
        <v>253</v>
      </c>
      <c r="AO85" t="s">
        <v>1841</v>
      </c>
      <c r="AP85" t="s">
        <v>1842</v>
      </c>
      <c r="AQ85" t="s">
        <v>74</v>
      </c>
      <c r="AR85" t="s">
        <v>1843</v>
      </c>
      <c r="AS85" t="s">
        <v>1844</v>
      </c>
      <c r="AT85" t="s">
        <v>1845</v>
      </c>
      <c r="AU85">
        <v>2022</v>
      </c>
      <c r="AV85">
        <v>596</v>
      </c>
      <c r="AW85" t="s">
        <v>74</v>
      </c>
      <c r="AX85" t="s">
        <v>74</v>
      </c>
      <c r="AY85" t="s">
        <v>74</v>
      </c>
      <c r="AZ85" t="s">
        <v>74</v>
      </c>
      <c r="BA85" t="s">
        <v>74</v>
      </c>
      <c r="BB85" t="s">
        <v>74</v>
      </c>
      <c r="BC85" t="s">
        <v>74</v>
      </c>
      <c r="BD85">
        <v>127114</v>
      </c>
      <c r="BE85" t="s">
        <v>1846</v>
      </c>
      <c r="BF85" t="str">
        <f>HYPERLINK("http://dx.doi.org/10.1016/j.physa.2022.127114","http://dx.doi.org/10.1016/j.physa.2022.127114")</f>
        <v>http://dx.doi.org/10.1016/j.physa.2022.127114</v>
      </c>
      <c r="BG85" t="s">
        <v>74</v>
      </c>
      <c r="BH85" t="s">
        <v>233</v>
      </c>
      <c r="BI85">
        <v>10</v>
      </c>
      <c r="BJ85" t="s">
        <v>710</v>
      </c>
      <c r="BK85" t="s">
        <v>101</v>
      </c>
      <c r="BL85" t="s">
        <v>711</v>
      </c>
      <c r="BM85" t="s">
        <v>1847</v>
      </c>
      <c r="BN85" t="s">
        <v>74</v>
      </c>
      <c r="BO85" t="s">
        <v>74</v>
      </c>
      <c r="BP85" t="s">
        <v>74</v>
      </c>
      <c r="BQ85" t="s">
        <v>74</v>
      </c>
      <c r="BR85" t="s">
        <v>104</v>
      </c>
      <c r="BS85" t="s">
        <v>1848</v>
      </c>
      <c r="BT85" t="str">
        <f>HYPERLINK("https%3A%2F%2Fwww.webofscience.com%2Fwos%2Fwoscc%2Ffull-record%2FWOS:000806160300016","View Full Record in Web of Science")</f>
        <v>View Full Record in Web of Science</v>
      </c>
    </row>
    <row r="86" spans="1:72" x14ac:dyDescent="0.25">
      <c r="A86" t="s">
        <v>72</v>
      </c>
      <c r="B86" t="s">
        <v>1849</v>
      </c>
      <c r="C86" t="s">
        <v>74</v>
      </c>
      <c r="D86" t="s">
        <v>74</v>
      </c>
      <c r="E86" t="s">
        <v>74</v>
      </c>
      <c r="F86" t="s">
        <v>1850</v>
      </c>
      <c r="G86" t="s">
        <v>74</v>
      </c>
      <c r="H86" t="s">
        <v>74</v>
      </c>
      <c r="I86" t="s">
        <v>1851</v>
      </c>
      <c r="J86" t="s">
        <v>1852</v>
      </c>
      <c r="K86" t="s">
        <v>74</v>
      </c>
      <c r="L86" t="s">
        <v>74</v>
      </c>
      <c r="M86" t="s">
        <v>78</v>
      </c>
      <c r="N86" t="s">
        <v>79</v>
      </c>
      <c r="O86" t="s">
        <v>74</v>
      </c>
      <c r="P86" t="s">
        <v>74</v>
      </c>
      <c r="Q86" t="s">
        <v>74</v>
      </c>
      <c r="R86" t="s">
        <v>74</v>
      </c>
      <c r="S86" t="s">
        <v>74</v>
      </c>
      <c r="T86" t="s">
        <v>1853</v>
      </c>
      <c r="U86" t="s">
        <v>1854</v>
      </c>
      <c r="V86" t="s">
        <v>1855</v>
      </c>
      <c r="W86" t="s">
        <v>1856</v>
      </c>
      <c r="X86" t="s">
        <v>84</v>
      </c>
      <c r="Y86" t="s">
        <v>1857</v>
      </c>
      <c r="Z86" t="s">
        <v>1858</v>
      </c>
      <c r="AA86" t="s">
        <v>74</v>
      </c>
      <c r="AB86" t="s">
        <v>74</v>
      </c>
      <c r="AC86" t="s">
        <v>74</v>
      </c>
      <c r="AD86" t="s">
        <v>74</v>
      </c>
      <c r="AE86" t="s">
        <v>74</v>
      </c>
      <c r="AF86" t="s">
        <v>74</v>
      </c>
      <c r="AG86">
        <v>61</v>
      </c>
      <c r="AH86">
        <v>1</v>
      </c>
      <c r="AI86">
        <v>1</v>
      </c>
      <c r="AJ86">
        <v>5</v>
      </c>
      <c r="AK86">
        <v>5</v>
      </c>
      <c r="AL86" t="s">
        <v>1859</v>
      </c>
      <c r="AM86" t="s">
        <v>486</v>
      </c>
      <c r="AN86" t="s">
        <v>1860</v>
      </c>
      <c r="AO86" t="s">
        <v>1861</v>
      </c>
      <c r="AP86" t="s">
        <v>1862</v>
      </c>
      <c r="AQ86" t="s">
        <v>74</v>
      </c>
      <c r="AR86" t="s">
        <v>1863</v>
      </c>
      <c r="AS86" t="s">
        <v>1864</v>
      </c>
      <c r="AT86" t="s">
        <v>281</v>
      </c>
      <c r="AU86">
        <v>2022</v>
      </c>
      <c r="AV86">
        <v>165</v>
      </c>
      <c r="AW86" t="s">
        <v>74</v>
      </c>
      <c r="AX86" t="s">
        <v>74</v>
      </c>
      <c r="AY86" t="s">
        <v>74</v>
      </c>
      <c r="AZ86" t="s">
        <v>74</v>
      </c>
      <c r="BA86" t="s">
        <v>74</v>
      </c>
      <c r="BB86">
        <v>172</v>
      </c>
      <c r="BC86">
        <v>185</v>
      </c>
      <c r="BD86" t="s">
        <v>74</v>
      </c>
      <c r="BE86" t="s">
        <v>1865</v>
      </c>
      <c r="BF86" t="str">
        <f>HYPERLINK("http://dx.doi.org/10.1016/j.tra.2022.09.008","http://dx.doi.org/10.1016/j.tra.2022.09.008")</f>
        <v>http://dx.doi.org/10.1016/j.tra.2022.09.008</v>
      </c>
      <c r="BG86" t="s">
        <v>74</v>
      </c>
      <c r="BH86" t="s">
        <v>74</v>
      </c>
      <c r="BI86">
        <v>14</v>
      </c>
      <c r="BJ86" t="s">
        <v>1866</v>
      </c>
      <c r="BK86" t="s">
        <v>284</v>
      </c>
      <c r="BL86" t="s">
        <v>1867</v>
      </c>
      <c r="BM86" t="s">
        <v>1868</v>
      </c>
      <c r="BN86" t="s">
        <v>74</v>
      </c>
      <c r="BO86" t="s">
        <v>74</v>
      </c>
      <c r="BP86" t="s">
        <v>74</v>
      </c>
      <c r="BQ86" t="s">
        <v>74</v>
      </c>
      <c r="BR86" t="s">
        <v>104</v>
      </c>
      <c r="BS86" t="s">
        <v>1869</v>
      </c>
      <c r="BT86" t="str">
        <f>HYPERLINK("https%3A%2F%2Fwww.webofscience.com%2Fwos%2Fwoscc%2Ffull-record%2FWOS:000865288200004","View Full Record in Web of Science")</f>
        <v>View Full Record in Web of Science</v>
      </c>
    </row>
    <row r="87" spans="1:72" x14ac:dyDescent="0.25">
      <c r="A87" t="s">
        <v>72</v>
      </c>
      <c r="B87" t="s">
        <v>1870</v>
      </c>
      <c r="C87" t="s">
        <v>74</v>
      </c>
      <c r="D87" t="s">
        <v>74</v>
      </c>
      <c r="E87" t="s">
        <v>74</v>
      </c>
      <c r="F87" t="s">
        <v>1871</v>
      </c>
      <c r="G87" t="s">
        <v>74</v>
      </c>
      <c r="H87" t="s">
        <v>74</v>
      </c>
      <c r="I87" t="s">
        <v>1872</v>
      </c>
      <c r="J87" t="s">
        <v>1873</v>
      </c>
      <c r="K87" t="s">
        <v>74</v>
      </c>
      <c r="L87" t="s">
        <v>74</v>
      </c>
      <c r="M87" t="s">
        <v>1234</v>
      </c>
      <c r="N87" t="s">
        <v>79</v>
      </c>
      <c r="O87" t="s">
        <v>74</v>
      </c>
      <c r="P87" t="s">
        <v>74</v>
      </c>
      <c r="Q87" t="s">
        <v>74</v>
      </c>
      <c r="R87" t="s">
        <v>74</v>
      </c>
      <c r="S87" t="s">
        <v>74</v>
      </c>
      <c r="T87" t="s">
        <v>1874</v>
      </c>
      <c r="U87" t="s">
        <v>74</v>
      </c>
      <c r="V87" t="s">
        <v>1875</v>
      </c>
      <c r="W87" t="s">
        <v>1876</v>
      </c>
      <c r="X87" t="s">
        <v>84</v>
      </c>
      <c r="Y87" t="s">
        <v>1877</v>
      </c>
      <c r="Z87" t="s">
        <v>1878</v>
      </c>
      <c r="AA87" t="s">
        <v>74</v>
      </c>
      <c r="AB87" t="s">
        <v>74</v>
      </c>
      <c r="AC87" t="s">
        <v>74</v>
      </c>
      <c r="AD87" t="s">
        <v>74</v>
      </c>
      <c r="AE87" t="s">
        <v>74</v>
      </c>
      <c r="AF87" t="s">
        <v>74</v>
      </c>
      <c r="AG87">
        <v>38</v>
      </c>
      <c r="AH87">
        <v>0</v>
      </c>
      <c r="AI87">
        <v>0</v>
      </c>
      <c r="AJ87">
        <v>0</v>
      </c>
      <c r="AK87">
        <v>0</v>
      </c>
      <c r="AL87" t="s">
        <v>1879</v>
      </c>
      <c r="AM87" t="s">
        <v>1880</v>
      </c>
      <c r="AN87" t="s">
        <v>1881</v>
      </c>
      <c r="AO87" t="s">
        <v>1882</v>
      </c>
      <c r="AP87" t="s">
        <v>1883</v>
      </c>
      <c r="AQ87" t="s">
        <v>74</v>
      </c>
      <c r="AR87" t="s">
        <v>1884</v>
      </c>
      <c r="AS87" t="s">
        <v>1885</v>
      </c>
      <c r="AT87" t="s">
        <v>1398</v>
      </c>
      <c r="AU87">
        <v>2022</v>
      </c>
      <c r="AV87">
        <v>17</v>
      </c>
      <c r="AW87">
        <v>2</v>
      </c>
      <c r="AX87" t="s">
        <v>74</v>
      </c>
      <c r="AY87" t="s">
        <v>74</v>
      </c>
      <c r="AZ87" t="s">
        <v>74</v>
      </c>
      <c r="BA87" t="s">
        <v>74</v>
      </c>
      <c r="BB87">
        <v>208</v>
      </c>
      <c r="BC87">
        <v>223</v>
      </c>
      <c r="BD87" t="s">
        <v>74</v>
      </c>
      <c r="BE87" t="s">
        <v>1886</v>
      </c>
      <c r="BF87" t="str">
        <f>HYPERLINK("http://dx.doi.org/10.17163/alt.v17n2.2022.04","http://dx.doi.org/10.17163/alt.v17n2.2022.04")</f>
        <v>http://dx.doi.org/10.17163/alt.v17n2.2022.04</v>
      </c>
      <c r="BG87" t="s">
        <v>74</v>
      </c>
      <c r="BH87" t="s">
        <v>74</v>
      </c>
      <c r="BI87">
        <v>16</v>
      </c>
      <c r="BJ87" t="s">
        <v>1601</v>
      </c>
      <c r="BK87" t="s">
        <v>180</v>
      </c>
      <c r="BL87" t="s">
        <v>1601</v>
      </c>
      <c r="BM87" t="s">
        <v>1887</v>
      </c>
      <c r="BN87" t="s">
        <v>74</v>
      </c>
      <c r="BO87" t="s">
        <v>735</v>
      </c>
      <c r="BP87" t="s">
        <v>74</v>
      </c>
      <c r="BQ87" t="s">
        <v>74</v>
      </c>
      <c r="BR87" t="s">
        <v>104</v>
      </c>
      <c r="BS87" t="s">
        <v>1888</v>
      </c>
      <c r="BT87" t="str">
        <f>HYPERLINK("https%3A%2F%2Fwww.webofscience.com%2Fwos%2Fwoscc%2Ffull-record%2FWOS:000823732000005","View Full Record in Web of Science")</f>
        <v>View Full Record in Web of Science</v>
      </c>
    </row>
    <row r="88" spans="1:72" x14ac:dyDescent="0.25">
      <c r="A88" t="s">
        <v>72</v>
      </c>
      <c r="B88" t="s">
        <v>1889</v>
      </c>
      <c r="C88" t="s">
        <v>74</v>
      </c>
      <c r="D88" t="s">
        <v>74</v>
      </c>
      <c r="E88" t="s">
        <v>74</v>
      </c>
      <c r="F88" t="s">
        <v>1890</v>
      </c>
      <c r="G88" t="s">
        <v>74</v>
      </c>
      <c r="H88" t="s">
        <v>74</v>
      </c>
      <c r="I88" t="s">
        <v>1891</v>
      </c>
      <c r="J88" t="s">
        <v>1892</v>
      </c>
      <c r="K88" t="s">
        <v>74</v>
      </c>
      <c r="L88" t="s">
        <v>74</v>
      </c>
      <c r="M88" t="s">
        <v>1234</v>
      </c>
      <c r="N88" t="s">
        <v>79</v>
      </c>
      <c r="O88" t="s">
        <v>74</v>
      </c>
      <c r="P88" t="s">
        <v>74</v>
      </c>
      <c r="Q88" t="s">
        <v>74</v>
      </c>
      <c r="R88" t="s">
        <v>74</v>
      </c>
      <c r="S88" t="s">
        <v>74</v>
      </c>
      <c r="T88" t="s">
        <v>1893</v>
      </c>
      <c r="U88" t="s">
        <v>74</v>
      </c>
      <c r="V88" t="s">
        <v>1894</v>
      </c>
      <c r="W88" t="s">
        <v>1895</v>
      </c>
      <c r="X88" t="s">
        <v>84</v>
      </c>
      <c r="Y88" t="s">
        <v>1896</v>
      </c>
      <c r="Z88" t="s">
        <v>1897</v>
      </c>
      <c r="AA88" t="s">
        <v>74</v>
      </c>
      <c r="AB88" t="s">
        <v>74</v>
      </c>
      <c r="AC88" t="s">
        <v>74</v>
      </c>
      <c r="AD88" t="s">
        <v>74</v>
      </c>
      <c r="AE88" t="s">
        <v>74</v>
      </c>
      <c r="AF88" t="s">
        <v>74</v>
      </c>
      <c r="AG88">
        <v>17</v>
      </c>
      <c r="AH88">
        <v>0</v>
      </c>
      <c r="AI88">
        <v>0</v>
      </c>
      <c r="AJ88">
        <v>0</v>
      </c>
      <c r="AK88">
        <v>0</v>
      </c>
      <c r="AL88" t="s">
        <v>1898</v>
      </c>
      <c r="AM88" t="s">
        <v>1899</v>
      </c>
      <c r="AN88" t="s">
        <v>1900</v>
      </c>
      <c r="AO88" t="s">
        <v>1901</v>
      </c>
      <c r="AP88" t="s">
        <v>74</v>
      </c>
      <c r="AQ88" t="s">
        <v>74</v>
      </c>
      <c r="AR88" t="s">
        <v>1892</v>
      </c>
      <c r="AS88" t="s">
        <v>1902</v>
      </c>
      <c r="AT88" t="s">
        <v>1295</v>
      </c>
      <c r="AU88">
        <v>2022</v>
      </c>
      <c r="AV88" t="s">
        <v>74</v>
      </c>
      <c r="AW88">
        <v>42</v>
      </c>
      <c r="AX88" t="s">
        <v>74</v>
      </c>
      <c r="AY88" t="s">
        <v>74</v>
      </c>
      <c r="AZ88" t="s">
        <v>74</v>
      </c>
      <c r="BA88" t="s">
        <v>74</v>
      </c>
      <c r="BB88">
        <v>429</v>
      </c>
      <c r="BC88">
        <v>462</v>
      </c>
      <c r="BD88" t="s">
        <v>74</v>
      </c>
      <c r="BE88" t="s">
        <v>74</v>
      </c>
      <c r="BF88" t="s">
        <v>74</v>
      </c>
      <c r="BG88" t="s">
        <v>74</v>
      </c>
      <c r="BH88" t="s">
        <v>74</v>
      </c>
      <c r="BI88">
        <v>34</v>
      </c>
      <c r="BJ88" t="s">
        <v>1563</v>
      </c>
      <c r="BK88" t="s">
        <v>180</v>
      </c>
      <c r="BL88" t="s">
        <v>1421</v>
      </c>
      <c r="BM88" t="s">
        <v>1903</v>
      </c>
      <c r="BN88" t="s">
        <v>74</v>
      </c>
      <c r="BO88" t="s">
        <v>74</v>
      </c>
      <c r="BP88" t="s">
        <v>74</v>
      </c>
      <c r="BQ88" t="s">
        <v>74</v>
      </c>
      <c r="BR88" t="s">
        <v>104</v>
      </c>
      <c r="BS88" t="s">
        <v>1904</v>
      </c>
      <c r="BT88" t="str">
        <f>HYPERLINK("https%3A%2F%2Fwww.webofscience.com%2Fwos%2Fwoscc%2Ffull-record%2FWOS:000805986000001","View Full Record in Web of Science")</f>
        <v>View Full Record in Web of Science</v>
      </c>
    </row>
    <row r="89" spans="1:72" x14ac:dyDescent="0.25">
      <c r="A89" t="s">
        <v>72</v>
      </c>
      <c r="B89" t="s">
        <v>1905</v>
      </c>
      <c r="C89" t="s">
        <v>74</v>
      </c>
      <c r="D89" t="s">
        <v>74</v>
      </c>
      <c r="E89" t="s">
        <v>74</v>
      </c>
      <c r="F89" t="s">
        <v>1906</v>
      </c>
      <c r="G89" t="s">
        <v>74</v>
      </c>
      <c r="H89" t="s">
        <v>74</v>
      </c>
      <c r="I89" t="s">
        <v>1907</v>
      </c>
      <c r="J89" t="s">
        <v>1280</v>
      </c>
      <c r="K89" t="s">
        <v>74</v>
      </c>
      <c r="L89" t="s">
        <v>74</v>
      </c>
      <c r="M89" t="s">
        <v>78</v>
      </c>
      <c r="N89" t="s">
        <v>79</v>
      </c>
      <c r="O89" t="s">
        <v>74</v>
      </c>
      <c r="P89" t="s">
        <v>74</v>
      </c>
      <c r="Q89" t="s">
        <v>74</v>
      </c>
      <c r="R89" t="s">
        <v>74</v>
      </c>
      <c r="S89" t="s">
        <v>74</v>
      </c>
      <c r="T89" t="s">
        <v>1908</v>
      </c>
      <c r="U89" t="s">
        <v>1909</v>
      </c>
      <c r="V89" t="s">
        <v>1910</v>
      </c>
      <c r="W89" t="s">
        <v>1911</v>
      </c>
      <c r="X89" t="s">
        <v>84</v>
      </c>
      <c r="Y89" t="s">
        <v>1912</v>
      </c>
      <c r="Z89" t="s">
        <v>1913</v>
      </c>
      <c r="AA89" t="s">
        <v>74</v>
      </c>
      <c r="AB89" t="s">
        <v>74</v>
      </c>
      <c r="AC89" t="s">
        <v>74</v>
      </c>
      <c r="AD89" t="s">
        <v>74</v>
      </c>
      <c r="AE89" t="s">
        <v>74</v>
      </c>
      <c r="AF89" t="s">
        <v>74</v>
      </c>
      <c r="AG89">
        <v>23</v>
      </c>
      <c r="AH89">
        <v>0</v>
      </c>
      <c r="AI89">
        <v>0</v>
      </c>
      <c r="AJ89">
        <v>0</v>
      </c>
      <c r="AK89">
        <v>0</v>
      </c>
      <c r="AL89" t="s">
        <v>1288</v>
      </c>
      <c r="AM89" t="s">
        <v>1289</v>
      </c>
      <c r="AN89" t="s">
        <v>1290</v>
      </c>
      <c r="AO89" t="s">
        <v>1291</v>
      </c>
      <c r="AP89" t="s">
        <v>1292</v>
      </c>
      <c r="AQ89" t="s">
        <v>74</v>
      </c>
      <c r="AR89" t="s">
        <v>1293</v>
      </c>
      <c r="AS89" t="s">
        <v>1294</v>
      </c>
      <c r="AT89" t="s">
        <v>1295</v>
      </c>
      <c r="AU89">
        <v>2022</v>
      </c>
      <c r="AV89">
        <v>39</v>
      </c>
      <c r="AW89">
        <v>1</v>
      </c>
      <c r="AX89" t="s">
        <v>74</v>
      </c>
      <c r="AY89" t="s">
        <v>74</v>
      </c>
      <c r="AZ89" t="s">
        <v>74</v>
      </c>
      <c r="BA89" t="s">
        <v>74</v>
      </c>
      <c r="BB89">
        <v>7</v>
      </c>
      <c r="BC89">
        <v>15</v>
      </c>
      <c r="BD89" t="s">
        <v>74</v>
      </c>
      <c r="BE89" t="s">
        <v>1914</v>
      </c>
      <c r="BF89" t="str">
        <f>HYPERLINK("http://dx.doi.org/10.22267/rcia.213802.166","http://dx.doi.org/10.22267/rcia.213802.166")</f>
        <v>http://dx.doi.org/10.22267/rcia.213802.166</v>
      </c>
      <c r="BG89" t="s">
        <v>74</v>
      </c>
      <c r="BH89" t="s">
        <v>74</v>
      </c>
      <c r="BI89">
        <v>9</v>
      </c>
      <c r="BJ89" t="s">
        <v>355</v>
      </c>
      <c r="BK89" t="s">
        <v>180</v>
      </c>
      <c r="BL89" t="s">
        <v>155</v>
      </c>
      <c r="BM89" t="s">
        <v>1297</v>
      </c>
      <c r="BN89" t="s">
        <v>74</v>
      </c>
      <c r="BO89" t="s">
        <v>183</v>
      </c>
      <c r="BP89" t="s">
        <v>74</v>
      </c>
      <c r="BQ89" t="s">
        <v>74</v>
      </c>
      <c r="BR89" t="s">
        <v>104</v>
      </c>
      <c r="BS89" t="s">
        <v>1915</v>
      </c>
      <c r="BT89" t="str">
        <f>HYPERLINK("https%3A%2F%2Fwww.webofscience.com%2Fwos%2Fwoscc%2Ffull-record%2FWOS:000861324500001","View Full Record in Web of Science")</f>
        <v>View Full Record in Web of Science</v>
      </c>
    </row>
    <row r="90" spans="1:72" x14ac:dyDescent="0.25">
      <c r="A90" t="s">
        <v>72</v>
      </c>
      <c r="B90" t="s">
        <v>1644</v>
      </c>
      <c r="C90" t="s">
        <v>74</v>
      </c>
      <c r="D90" t="s">
        <v>74</v>
      </c>
      <c r="E90" t="s">
        <v>74</v>
      </c>
      <c r="F90" t="s">
        <v>1645</v>
      </c>
      <c r="G90" t="s">
        <v>74</v>
      </c>
      <c r="H90" t="s">
        <v>74</v>
      </c>
      <c r="I90" t="s">
        <v>1916</v>
      </c>
      <c r="J90" t="s">
        <v>1917</v>
      </c>
      <c r="K90" t="s">
        <v>74</v>
      </c>
      <c r="L90" t="s">
        <v>74</v>
      </c>
      <c r="M90" t="s">
        <v>78</v>
      </c>
      <c r="N90" t="s">
        <v>79</v>
      </c>
      <c r="O90" t="s">
        <v>74</v>
      </c>
      <c r="P90" t="s">
        <v>74</v>
      </c>
      <c r="Q90" t="s">
        <v>74</v>
      </c>
      <c r="R90" t="s">
        <v>74</v>
      </c>
      <c r="S90" t="s">
        <v>74</v>
      </c>
      <c r="T90" t="s">
        <v>1918</v>
      </c>
      <c r="U90" t="s">
        <v>1919</v>
      </c>
      <c r="V90" t="s">
        <v>1920</v>
      </c>
      <c r="W90" t="s">
        <v>1921</v>
      </c>
      <c r="X90" t="s">
        <v>84</v>
      </c>
      <c r="Y90" t="s">
        <v>1922</v>
      </c>
      <c r="Z90" t="s">
        <v>1653</v>
      </c>
      <c r="AA90" t="s">
        <v>74</v>
      </c>
      <c r="AB90" t="s">
        <v>74</v>
      </c>
      <c r="AC90" t="s">
        <v>74</v>
      </c>
      <c r="AD90" t="s">
        <v>74</v>
      </c>
      <c r="AE90" t="s">
        <v>74</v>
      </c>
      <c r="AF90" t="s">
        <v>74</v>
      </c>
      <c r="AG90">
        <v>29</v>
      </c>
      <c r="AH90">
        <v>1</v>
      </c>
      <c r="AI90">
        <v>1</v>
      </c>
      <c r="AJ90">
        <v>0</v>
      </c>
      <c r="AK90">
        <v>0</v>
      </c>
      <c r="AL90" t="s">
        <v>1923</v>
      </c>
      <c r="AM90" t="s">
        <v>252</v>
      </c>
      <c r="AN90" t="s">
        <v>1924</v>
      </c>
      <c r="AO90" t="s">
        <v>1925</v>
      </c>
      <c r="AP90" t="s">
        <v>1926</v>
      </c>
      <c r="AQ90" t="s">
        <v>74</v>
      </c>
      <c r="AR90" t="s">
        <v>1927</v>
      </c>
      <c r="AS90" t="s">
        <v>1928</v>
      </c>
      <c r="AT90" t="s">
        <v>74</v>
      </c>
      <c r="AU90">
        <v>2022</v>
      </c>
      <c r="AV90">
        <v>127</v>
      </c>
      <c r="AW90">
        <v>3</v>
      </c>
      <c r="AX90" t="s">
        <v>74</v>
      </c>
      <c r="AY90" t="s">
        <v>74</v>
      </c>
      <c r="AZ90" t="s">
        <v>74</v>
      </c>
      <c r="BA90" t="s">
        <v>74</v>
      </c>
      <c r="BB90">
        <v>275</v>
      </c>
      <c r="BC90">
        <v>296</v>
      </c>
      <c r="BD90" t="s">
        <v>74</v>
      </c>
      <c r="BE90" t="s">
        <v>1929</v>
      </c>
      <c r="BF90" t="str">
        <f>HYPERLINK("http://dx.doi.org/10.3233/ASY-211690","http://dx.doi.org/10.3233/ASY-211690")</f>
        <v>http://dx.doi.org/10.3233/ASY-211690</v>
      </c>
      <c r="BG90" t="s">
        <v>74</v>
      </c>
      <c r="BH90" t="s">
        <v>74</v>
      </c>
      <c r="BI90">
        <v>22</v>
      </c>
      <c r="BJ90" t="s">
        <v>1661</v>
      </c>
      <c r="BK90" t="s">
        <v>101</v>
      </c>
      <c r="BL90" t="s">
        <v>733</v>
      </c>
      <c r="BM90" t="s">
        <v>1930</v>
      </c>
      <c r="BN90" t="s">
        <v>74</v>
      </c>
      <c r="BO90" t="s">
        <v>74</v>
      </c>
      <c r="BP90" t="s">
        <v>74</v>
      </c>
      <c r="BQ90" t="s">
        <v>74</v>
      </c>
      <c r="BR90" t="s">
        <v>104</v>
      </c>
      <c r="BS90" t="s">
        <v>1931</v>
      </c>
      <c r="BT90" t="str">
        <f>HYPERLINK("https%3A%2F%2Fwww.webofscience.com%2Fwos%2Fwoscc%2Ffull-record%2FWOS:000752432000004","View Full Record in Web of Science")</f>
        <v>View Full Record in Web of Science</v>
      </c>
    </row>
    <row r="91" spans="1:72" x14ac:dyDescent="0.25">
      <c r="A91" t="s">
        <v>72</v>
      </c>
      <c r="B91" t="s">
        <v>1932</v>
      </c>
      <c r="C91" t="s">
        <v>74</v>
      </c>
      <c r="D91" t="s">
        <v>74</v>
      </c>
      <c r="E91" t="s">
        <v>74</v>
      </c>
      <c r="F91" t="s">
        <v>1933</v>
      </c>
      <c r="G91" t="s">
        <v>74</v>
      </c>
      <c r="H91" t="s">
        <v>74</v>
      </c>
      <c r="I91" t="s">
        <v>1934</v>
      </c>
      <c r="J91" t="s">
        <v>1935</v>
      </c>
      <c r="K91" t="s">
        <v>74</v>
      </c>
      <c r="L91" t="s">
        <v>74</v>
      </c>
      <c r="M91" t="s">
        <v>1234</v>
      </c>
      <c r="N91" t="s">
        <v>79</v>
      </c>
      <c r="O91" t="s">
        <v>74</v>
      </c>
      <c r="P91" t="s">
        <v>74</v>
      </c>
      <c r="Q91" t="s">
        <v>74</v>
      </c>
      <c r="R91" t="s">
        <v>74</v>
      </c>
      <c r="S91" t="s">
        <v>74</v>
      </c>
      <c r="T91" t="s">
        <v>1936</v>
      </c>
      <c r="U91" t="s">
        <v>74</v>
      </c>
      <c r="V91" t="s">
        <v>1937</v>
      </c>
      <c r="W91" t="s">
        <v>1938</v>
      </c>
      <c r="X91" t="s">
        <v>84</v>
      </c>
      <c r="Y91" t="s">
        <v>1939</v>
      </c>
      <c r="Z91" t="s">
        <v>1940</v>
      </c>
      <c r="AA91" t="s">
        <v>74</v>
      </c>
      <c r="AB91" t="s">
        <v>74</v>
      </c>
      <c r="AC91" t="s">
        <v>74</v>
      </c>
      <c r="AD91" t="s">
        <v>74</v>
      </c>
      <c r="AE91" t="s">
        <v>74</v>
      </c>
      <c r="AF91" t="s">
        <v>74</v>
      </c>
      <c r="AG91">
        <v>18</v>
      </c>
      <c r="AH91">
        <v>0</v>
      </c>
      <c r="AI91">
        <v>0</v>
      </c>
      <c r="AJ91">
        <v>0</v>
      </c>
      <c r="AK91">
        <v>0</v>
      </c>
      <c r="AL91" t="s">
        <v>1941</v>
      </c>
      <c r="AM91" t="s">
        <v>1942</v>
      </c>
      <c r="AN91" t="s">
        <v>1943</v>
      </c>
      <c r="AO91" t="s">
        <v>1944</v>
      </c>
      <c r="AP91" t="s">
        <v>1945</v>
      </c>
      <c r="AQ91" t="s">
        <v>74</v>
      </c>
      <c r="AR91" t="s">
        <v>1935</v>
      </c>
      <c r="AS91" t="s">
        <v>1946</v>
      </c>
      <c r="AT91" t="s">
        <v>1398</v>
      </c>
      <c r="AU91">
        <v>2022</v>
      </c>
      <c r="AV91">
        <v>43</v>
      </c>
      <c r="AW91">
        <v>2</v>
      </c>
      <c r="AX91" t="s">
        <v>74</v>
      </c>
      <c r="AY91" t="s">
        <v>74</v>
      </c>
      <c r="AZ91" t="s">
        <v>74</v>
      </c>
      <c r="BA91" t="s">
        <v>74</v>
      </c>
      <c r="BB91">
        <v>87</v>
      </c>
      <c r="BC91">
        <v>108</v>
      </c>
      <c r="BD91" t="s">
        <v>74</v>
      </c>
      <c r="BE91" t="s">
        <v>1947</v>
      </c>
      <c r="BF91" t="str">
        <f>HYPERLINK("http://dx.doi.org/10.19130/iifl.ap.2022.2.178x270s5","http://dx.doi.org/10.19130/iifl.ap.2022.2.178x270s5")</f>
        <v>http://dx.doi.org/10.19130/iifl.ap.2022.2.178x270s5</v>
      </c>
      <c r="BG91" t="s">
        <v>74</v>
      </c>
      <c r="BH91" t="s">
        <v>74</v>
      </c>
      <c r="BI91">
        <v>22</v>
      </c>
      <c r="BJ91" t="s">
        <v>1948</v>
      </c>
      <c r="BK91" t="s">
        <v>180</v>
      </c>
      <c r="BL91" t="s">
        <v>1522</v>
      </c>
      <c r="BM91" t="s">
        <v>1949</v>
      </c>
      <c r="BN91" t="s">
        <v>74</v>
      </c>
      <c r="BO91" t="s">
        <v>383</v>
      </c>
      <c r="BP91" t="s">
        <v>74</v>
      </c>
      <c r="BQ91" t="s">
        <v>74</v>
      </c>
      <c r="BR91" t="s">
        <v>104</v>
      </c>
      <c r="BS91" t="s">
        <v>1950</v>
      </c>
      <c r="BT91" t="str">
        <f>HYPERLINK("https%3A%2F%2Fwww.webofscience.com%2Fwos%2Fwoscc%2Ffull-record%2FWOS:000852706100005","View Full Record in Web of Science")</f>
        <v>View Full Record in Web of Science</v>
      </c>
    </row>
    <row r="92" spans="1:72" x14ac:dyDescent="0.25">
      <c r="A92" t="s">
        <v>72</v>
      </c>
      <c r="B92" t="s">
        <v>1951</v>
      </c>
      <c r="C92" t="s">
        <v>74</v>
      </c>
      <c r="D92" t="s">
        <v>74</v>
      </c>
      <c r="E92" t="s">
        <v>74</v>
      </c>
      <c r="F92" t="s">
        <v>1952</v>
      </c>
      <c r="G92" t="s">
        <v>74</v>
      </c>
      <c r="H92" t="s">
        <v>74</v>
      </c>
      <c r="I92" t="s">
        <v>1953</v>
      </c>
      <c r="J92" t="s">
        <v>1954</v>
      </c>
      <c r="K92" t="s">
        <v>74</v>
      </c>
      <c r="L92" t="s">
        <v>74</v>
      </c>
      <c r="M92" t="s">
        <v>1234</v>
      </c>
      <c r="N92" t="s">
        <v>79</v>
      </c>
      <c r="O92" t="s">
        <v>74</v>
      </c>
      <c r="P92" t="s">
        <v>74</v>
      </c>
      <c r="Q92" t="s">
        <v>74</v>
      </c>
      <c r="R92" t="s">
        <v>74</v>
      </c>
      <c r="S92" t="s">
        <v>74</v>
      </c>
      <c r="T92" t="s">
        <v>1955</v>
      </c>
      <c r="U92" t="s">
        <v>74</v>
      </c>
      <c r="V92" t="s">
        <v>1956</v>
      </c>
      <c r="W92" t="s">
        <v>1957</v>
      </c>
      <c r="X92" t="s">
        <v>84</v>
      </c>
      <c r="Y92" t="s">
        <v>1958</v>
      </c>
      <c r="Z92" t="s">
        <v>1959</v>
      </c>
      <c r="AA92" t="s">
        <v>74</v>
      </c>
      <c r="AB92" t="s">
        <v>74</v>
      </c>
      <c r="AC92" t="s">
        <v>74</v>
      </c>
      <c r="AD92" t="s">
        <v>74</v>
      </c>
      <c r="AE92" t="s">
        <v>74</v>
      </c>
      <c r="AF92" t="s">
        <v>74</v>
      </c>
      <c r="AG92">
        <v>20</v>
      </c>
      <c r="AH92">
        <v>0</v>
      </c>
      <c r="AI92">
        <v>0</v>
      </c>
      <c r="AJ92">
        <v>0</v>
      </c>
      <c r="AK92">
        <v>0</v>
      </c>
      <c r="AL92" t="s">
        <v>1960</v>
      </c>
      <c r="AM92" t="s">
        <v>301</v>
      </c>
      <c r="AN92" t="s">
        <v>1961</v>
      </c>
      <c r="AO92" t="s">
        <v>1962</v>
      </c>
      <c r="AP92" t="s">
        <v>1963</v>
      </c>
      <c r="AQ92" t="s">
        <v>74</v>
      </c>
      <c r="AR92" t="s">
        <v>1964</v>
      </c>
      <c r="AS92" t="s">
        <v>1965</v>
      </c>
      <c r="AT92" t="s">
        <v>1398</v>
      </c>
      <c r="AU92">
        <v>2022</v>
      </c>
      <c r="AV92">
        <v>17</v>
      </c>
      <c r="AW92">
        <v>32</v>
      </c>
      <c r="AX92" t="s">
        <v>74</v>
      </c>
      <c r="AY92" t="s">
        <v>74</v>
      </c>
      <c r="AZ92" t="s">
        <v>74</v>
      </c>
      <c r="BA92" t="s">
        <v>74</v>
      </c>
      <c r="BB92">
        <v>352</v>
      </c>
      <c r="BC92">
        <v>367</v>
      </c>
      <c r="BD92" t="s">
        <v>74</v>
      </c>
      <c r="BE92" t="s">
        <v>1966</v>
      </c>
      <c r="BF92" t="str">
        <f>HYPERLINK("http://dx.doi.org/10.14483/21450706.19627","http://dx.doi.org/10.14483/21450706.19627")</f>
        <v>http://dx.doi.org/10.14483/21450706.19627</v>
      </c>
      <c r="BG92" t="s">
        <v>74</v>
      </c>
      <c r="BH92" t="s">
        <v>74</v>
      </c>
      <c r="BI92">
        <v>16</v>
      </c>
      <c r="BJ92" t="s">
        <v>1967</v>
      </c>
      <c r="BK92" t="s">
        <v>180</v>
      </c>
      <c r="BL92" t="s">
        <v>1967</v>
      </c>
      <c r="BM92" t="s">
        <v>1968</v>
      </c>
      <c r="BN92" t="s">
        <v>74</v>
      </c>
      <c r="BO92" t="s">
        <v>735</v>
      </c>
      <c r="BP92" t="s">
        <v>74</v>
      </c>
      <c r="BQ92" t="s">
        <v>74</v>
      </c>
      <c r="BR92" t="s">
        <v>104</v>
      </c>
      <c r="BS92" t="s">
        <v>1969</v>
      </c>
      <c r="BT92" t="str">
        <f>HYPERLINK("https%3A%2F%2Fwww.webofscience.com%2Fwos%2Fwoscc%2Ffull-record%2FWOS:000830540200009","View Full Record in Web of Science")</f>
        <v>View Full Record in Web of Science</v>
      </c>
    </row>
    <row r="93" spans="1:72" x14ac:dyDescent="0.25">
      <c r="A93" t="s">
        <v>72</v>
      </c>
      <c r="B93" t="s">
        <v>1970</v>
      </c>
      <c r="C93" t="s">
        <v>74</v>
      </c>
      <c r="D93" t="s">
        <v>74</v>
      </c>
      <c r="E93" t="s">
        <v>74</v>
      </c>
      <c r="F93" t="s">
        <v>1971</v>
      </c>
      <c r="G93" t="s">
        <v>74</v>
      </c>
      <c r="H93" t="s">
        <v>74</v>
      </c>
      <c r="I93" t="s">
        <v>1972</v>
      </c>
      <c r="J93" t="s">
        <v>1973</v>
      </c>
      <c r="K93" t="s">
        <v>74</v>
      </c>
      <c r="L93" t="s">
        <v>74</v>
      </c>
      <c r="M93" t="s">
        <v>78</v>
      </c>
      <c r="N93" t="s">
        <v>79</v>
      </c>
      <c r="O93" t="s">
        <v>74</v>
      </c>
      <c r="P93" t="s">
        <v>74</v>
      </c>
      <c r="Q93" t="s">
        <v>74</v>
      </c>
      <c r="R93" t="s">
        <v>74</v>
      </c>
      <c r="S93" t="s">
        <v>74</v>
      </c>
      <c r="T93" t="s">
        <v>1974</v>
      </c>
      <c r="U93" t="s">
        <v>1975</v>
      </c>
      <c r="V93" t="s">
        <v>1976</v>
      </c>
      <c r="W93" t="s">
        <v>1977</v>
      </c>
      <c r="X93" t="s">
        <v>84</v>
      </c>
      <c r="Y93" t="s">
        <v>1978</v>
      </c>
      <c r="Z93" t="s">
        <v>1979</v>
      </c>
      <c r="AA93" t="s">
        <v>74</v>
      </c>
      <c r="AB93" t="s">
        <v>74</v>
      </c>
      <c r="AC93" t="s">
        <v>74</v>
      </c>
      <c r="AD93" t="s">
        <v>74</v>
      </c>
      <c r="AE93" t="s">
        <v>74</v>
      </c>
      <c r="AF93" t="s">
        <v>74</v>
      </c>
      <c r="AG93">
        <v>39</v>
      </c>
      <c r="AH93">
        <v>0</v>
      </c>
      <c r="AI93">
        <v>0</v>
      </c>
      <c r="AJ93">
        <v>0</v>
      </c>
      <c r="AK93">
        <v>1</v>
      </c>
      <c r="AL93" t="s">
        <v>1980</v>
      </c>
      <c r="AM93" t="s">
        <v>1981</v>
      </c>
      <c r="AN93" t="s">
        <v>1982</v>
      </c>
      <c r="AO93" t="s">
        <v>1983</v>
      </c>
      <c r="AP93" t="s">
        <v>1984</v>
      </c>
      <c r="AQ93" t="s">
        <v>74</v>
      </c>
      <c r="AR93" t="s">
        <v>1985</v>
      </c>
      <c r="AS93" t="s">
        <v>1986</v>
      </c>
      <c r="AT93" t="s">
        <v>1987</v>
      </c>
      <c r="AU93">
        <v>2022</v>
      </c>
      <c r="AV93">
        <v>13</v>
      </c>
      <c r="AW93">
        <v>1</v>
      </c>
      <c r="AX93" t="s">
        <v>74</v>
      </c>
      <c r="AY93" t="s">
        <v>74</v>
      </c>
      <c r="AZ93" t="s">
        <v>74</v>
      </c>
      <c r="BA93" t="s">
        <v>74</v>
      </c>
      <c r="BB93">
        <v>200</v>
      </c>
      <c r="BC93">
        <v>210</v>
      </c>
      <c r="BD93" t="s">
        <v>74</v>
      </c>
      <c r="BE93" t="s">
        <v>1988</v>
      </c>
      <c r="BF93" t="str">
        <f>HYPERLINK("http://dx.doi.org/10.22319/rmcp.v13i1.5675","http://dx.doi.org/10.22319/rmcp.v13i1.5675")</f>
        <v>http://dx.doi.org/10.22319/rmcp.v13i1.5675</v>
      </c>
      <c r="BG93" t="s">
        <v>74</v>
      </c>
      <c r="BH93" t="s">
        <v>74</v>
      </c>
      <c r="BI93">
        <v>11</v>
      </c>
      <c r="BJ93" t="s">
        <v>1989</v>
      </c>
      <c r="BK93" t="s">
        <v>101</v>
      </c>
      <c r="BL93" t="s">
        <v>155</v>
      </c>
      <c r="BM93" t="s">
        <v>1990</v>
      </c>
      <c r="BN93" t="s">
        <v>74</v>
      </c>
      <c r="BO93" t="s">
        <v>183</v>
      </c>
      <c r="BP93" t="s">
        <v>74</v>
      </c>
      <c r="BQ93" t="s">
        <v>74</v>
      </c>
      <c r="BR93" t="s">
        <v>104</v>
      </c>
      <c r="BS93" t="s">
        <v>1991</v>
      </c>
      <c r="BT93" t="str">
        <f>HYPERLINK("https%3A%2F%2Fwww.webofscience.com%2Fwos%2Fwoscc%2Ffull-record%2FWOS:000819955900014","View Full Record in Web of Science")</f>
        <v>View Full Record in Web of Science</v>
      </c>
    </row>
    <row r="94" spans="1:72" x14ac:dyDescent="0.25">
      <c r="A94" t="s">
        <v>72</v>
      </c>
      <c r="B94" t="s">
        <v>1992</v>
      </c>
      <c r="C94" t="s">
        <v>74</v>
      </c>
      <c r="D94" t="s">
        <v>74</v>
      </c>
      <c r="E94" t="s">
        <v>74</v>
      </c>
      <c r="F94" t="s">
        <v>1993</v>
      </c>
      <c r="G94" t="s">
        <v>74</v>
      </c>
      <c r="H94" t="s">
        <v>74</v>
      </c>
      <c r="I94" t="s">
        <v>1994</v>
      </c>
      <c r="J94" t="s">
        <v>1995</v>
      </c>
      <c r="K94" t="s">
        <v>74</v>
      </c>
      <c r="L94" t="s">
        <v>74</v>
      </c>
      <c r="M94" t="s">
        <v>1234</v>
      </c>
      <c r="N94" t="s">
        <v>79</v>
      </c>
      <c r="O94" t="s">
        <v>74</v>
      </c>
      <c r="P94" t="s">
        <v>74</v>
      </c>
      <c r="Q94" t="s">
        <v>74</v>
      </c>
      <c r="R94" t="s">
        <v>74</v>
      </c>
      <c r="S94" t="s">
        <v>74</v>
      </c>
      <c r="T94" t="s">
        <v>1996</v>
      </c>
      <c r="U94" t="s">
        <v>74</v>
      </c>
      <c r="V94" t="s">
        <v>1997</v>
      </c>
      <c r="W94" t="s">
        <v>1998</v>
      </c>
      <c r="X94" t="s">
        <v>140</v>
      </c>
      <c r="Y94" t="s">
        <v>1999</v>
      </c>
      <c r="Z94" t="s">
        <v>2000</v>
      </c>
      <c r="AA94" t="s">
        <v>74</v>
      </c>
      <c r="AB94" t="s">
        <v>74</v>
      </c>
      <c r="AC94" t="s">
        <v>74</v>
      </c>
      <c r="AD94" t="s">
        <v>74</v>
      </c>
      <c r="AE94" t="s">
        <v>74</v>
      </c>
      <c r="AF94" t="s">
        <v>74</v>
      </c>
      <c r="AG94">
        <v>27</v>
      </c>
      <c r="AH94">
        <v>0</v>
      </c>
      <c r="AI94">
        <v>0</v>
      </c>
      <c r="AJ94">
        <v>0</v>
      </c>
      <c r="AK94">
        <v>0</v>
      </c>
      <c r="AL94" t="s">
        <v>1391</v>
      </c>
      <c r="AM94" t="s">
        <v>1392</v>
      </c>
      <c r="AN94" t="s">
        <v>1393</v>
      </c>
      <c r="AO94" t="s">
        <v>2001</v>
      </c>
      <c r="AP94" t="s">
        <v>2002</v>
      </c>
      <c r="AQ94" t="s">
        <v>74</v>
      </c>
      <c r="AR94" t="s">
        <v>2003</v>
      </c>
      <c r="AS94" t="s">
        <v>2004</v>
      </c>
      <c r="AT94" t="s">
        <v>74</v>
      </c>
      <c r="AU94">
        <v>2022</v>
      </c>
      <c r="AV94">
        <v>39</v>
      </c>
      <c r="AW94" t="s">
        <v>74</v>
      </c>
      <c r="AX94" t="s">
        <v>74</v>
      </c>
      <c r="AY94" t="s">
        <v>74</v>
      </c>
      <c r="AZ94" t="s">
        <v>74</v>
      </c>
      <c r="BA94" t="s">
        <v>74</v>
      </c>
      <c r="BB94" t="s">
        <v>74</v>
      </c>
      <c r="BC94" t="s">
        <v>74</v>
      </c>
      <c r="BD94" t="s">
        <v>2005</v>
      </c>
      <c r="BE94" t="s">
        <v>2006</v>
      </c>
      <c r="BF94" t="str">
        <f>HYPERLINK("http://dx.doi.org/10.19053/0121053X.n39.2022.11739","http://dx.doi.org/10.19053/0121053X.n39.2022.11739")</f>
        <v>http://dx.doi.org/10.19053/0121053X.n39.2022.11739</v>
      </c>
      <c r="BG94" t="s">
        <v>74</v>
      </c>
      <c r="BH94" t="s">
        <v>74</v>
      </c>
      <c r="BI94">
        <v>21</v>
      </c>
      <c r="BJ94" t="s">
        <v>2007</v>
      </c>
      <c r="BK94" t="s">
        <v>180</v>
      </c>
      <c r="BL94" t="s">
        <v>2007</v>
      </c>
      <c r="BM94" t="s">
        <v>2008</v>
      </c>
      <c r="BN94" t="s">
        <v>74</v>
      </c>
      <c r="BO94" t="s">
        <v>183</v>
      </c>
      <c r="BP94" t="s">
        <v>74</v>
      </c>
      <c r="BQ94" t="s">
        <v>74</v>
      </c>
      <c r="BR94" t="s">
        <v>104</v>
      </c>
      <c r="BS94" t="s">
        <v>2009</v>
      </c>
      <c r="BT94" t="str">
        <f>HYPERLINK("https%3A%2F%2Fwww.webofscience.com%2Fwos%2Fwoscc%2Ffull-record%2FWOS:000757448900002","View Full Record in Web of Science")</f>
        <v>View Full Record in Web of Science</v>
      </c>
    </row>
    <row r="95" spans="1:72" x14ac:dyDescent="0.25">
      <c r="A95" t="s">
        <v>72</v>
      </c>
      <c r="B95" t="s">
        <v>2010</v>
      </c>
      <c r="C95" t="s">
        <v>74</v>
      </c>
      <c r="D95" t="s">
        <v>74</v>
      </c>
      <c r="E95" t="s">
        <v>74</v>
      </c>
      <c r="F95" t="s">
        <v>2011</v>
      </c>
      <c r="G95" t="s">
        <v>74</v>
      </c>
      <c r="H95" t="s">
        <v>74</v>
      </c>
      <c r="I95" t="s">
        <v>2012</v>
      </c>
      <c r="J95" t="s">
        <v>2013</v>
      </c>
      <c r="K95" t="s">
        <v>74</v>
      </c>
      <c r="L95" t="s">
        <v>74</v>
      </c>
      <c r="M95" t="s">
        <v>78</v>
      </c>
      <c r="N95" t="s">
        <v>79</v>
      </c>
      <c r="O95" t="s">
        <v>74</v>
      </c>
      <c r="P95" t="s">
        <v>74</v>
      </c>
      <c r="Q95" t="s">
        <v>74</v>
      </c>
      <c r="R95" t="s">
        <v>74</v>
      </c>
      <c r="S95" t="s">
        <v>74</v>
      </c>
      <c r="T95" t="s">
        <v>2014</v>
      </c>
      <c r="U95" t="s">
        <v>2015</v>
      </c>
      <c r="V95" t="s">
        <v>2016</v>
      </c>
      <c r="W95" t="s">
        <v>2017</v>
      </c>
      <c r="X95" t="s">
        <v>84</v>
      </c>
      <c r="Y95" t="s">
        <v>2018</v>
      </c>
      <c r="Z95" t="s">
        <v>2019</v>
      </c>
      <c r="AA95" t="s">
        <v>74</v>
      </c>
      <c r="AB95" t="s">
        <v>74</v>
      </c>
      <c r="AC95" t="s">
        <v>74</v>
      </c>
      <c r="AD95" t="s">
        <v>74</v>
      </c>
      <c r="AE95" t="s">
        <v>74</v>
      </c>
      <c r="AF95" t="s">
        <v>74</v>
      </c>
      <c r="AG95">
        <v>47</v>
      </c>
      <c r="AH95">
        <v>0</v>
      </c>
      <c r="AI95">
        <v>0</v>
      </c>
      <c r="AJ95">
        <v>3</v>
      </c>
      <c r="AK95">
        <v>3</v>
      </c>
      <c r="AL95" t="s">
        <v>2020</v>
      </c>
      <c r="AM95" t="s">
        <v>301</v>
      </c>
      <c r="AN95" t="s">
        <v>2021</v>
      </c>
      <c r="AO95" t="s">
        <v>2022</v>
      </c>
      <c r="AP95" t="s">
        <v>2023</v>
      </c>
      <c r="AQ95" t="s">
        <v>74</v>
      </c>
      <c r="AR95" t="s">
        <v>2024</v>
      </c>
      <c r="AS95" t="s">
        <v>2025</v>
      </c>
      <c r="AT95" t="s">
        <v>1295</v>
      </c>
      <c r="AU95">
        <v>2022</v>
      </c>
      <c r="AV95">
        <v>24</v>
      </c>
      <c r="AW95">
        <v>1</v>
      </c>
      <c r="AX95" t="s">
        <v>74</v>
      </c>
      <c r="AY95" t="s">
        <v>74</v>
      </c>
      <c r="AZ95" t="s">
        <v>74</v>
      </c>
      <c r="BA95" t="s">
        <v>74</v>
      </c>
      <c r="BB95">
        <v>105</v>
      </c>
      <c r="BC95">
        <v>118</v>
      </c>
      <c r="BD95" t="s">
        <v>74</v>
      </c>
      <c r="BE95" t="s">
        <v>2026</v>
      </c>
      <c r="BF95" t="str">
        <f>HYPERLINK("http://dx.doi.org/10.14483/22487085.17903","http://dx.doi.org/10.14483/22487085.17903")</f>
        <v>http://dx.doi.org/10.14483/22487085.17903</v>
      </c>
      <c r="BG95" t="s">
        <v>74</v>
      </c>
      <c r="BH95" t="s">
        <v>74</v>
      </c>
      <c r="BI95">
        <v>14</v>
      </c>
      <c r="BJ95" t="s">
        <v>2007</v>
      </c>
      <c r="BK95" t="s">
        <v>180</v>
      </c>
      <c r="BL95" t="s">
        <v>2007</v>
      </c>
      <c r="BM95" t="s">
        <v>2027</v>
      </c>
      <c r="BN95" t="s">
        <v>74</v>
      </c>
      <c r="BO95" t="s">
        <v>183</v>
      </c>
      <c r="BP95" t="s">
        <v>74</v>
      </c>
      <c r="BQ95" t="s">
        <v>74</v>
      </c>
      <c r="BR95" t="s">
        <v>104</v>
      </c>
      <c r="BS95" t="s">
        <v>2028</v>
      </c>
      <c r="BT95" t="str">
        <f>HYPERLINK("https%3A%2F%2Fwww.webofscience.com%2Fwos%2Fwoscc%2Ffull-record%2FWOS:000804320200008","View Full Record in Web of Science")</f>
        <v>View Full Record in Web of Science</v>
      </c>
    </row>
    <row r="96" spans="1:72" x14ac:dyDescent="0.25">
      <c r="A96" t="s">
        <v>72</v>
      </c>
      <c r="B96" t="s">
        <v>2029</v>
      </c>
      <c r="C96" t="s">
        <v>74</v>
      </c>
      <c r="D96" t="s">
        <v>74</v>
      </c>
      <c r="E96" t="s">
        <v>74</v>
      </c>
      <c r="F96" t="s">
        <v>2030</v>
      </c>
      <c r="G96" t="s">
        <v>74</v>
      </c>
      <c r="H96" t="s">
        <v>74</v>
      </c>
      <c r="I96" t="s">
        <v>2031</v>
      </c>
      <c r="J96" t="s">
        <v>2032</v>
      </c>
      <c r="K96" t="s">
        <v>74</v>
      </c>
      <c r="L96" t="s">
        <v>74</v>
      </c>
      <c r="M96" t="s">
        <v>78</v>
      </c>
      <c r="N96" t="s">
        <v>162</v>
      </c>
      <c r="O96" t="s">
        <v>74</v>
      </c>
      <c r="P96" t="s">
        <v>74</v>
      </c>
      <c r="Q96" t="s">
        <v>74</v>
      </c>
      <c r="R96" t="s">
        <v>74</v>
      </c>
      <c r="S96" t="s">
        <v>74</v>
      </c>
      <c r="T96" t="s">
        <v>2033</v>
      </c>
      <c r="U96" t="s">
        <v>2034</v>
      </c>
      <c r="V96" t="s">
        <v>2035</v>
      </c>
      <c r="W96" t="s">
        <v>2036</v>
      </c>
      <c r="X96" t="s">
        <v>2037</v>
      </c>
      <c r="Y96" t="s">
        <v>2038</v>
      </c>
      <c r="Z96" t="s">
        <v>2039</v>
      </c>
      <c r="AA96" t="s">
        <v>74</v>
      </c>
      <c r="AB96" t="s">
        <v>74</v>
      </c>
      <c r="AC96" t="s">
        <v>2040</v>
      </c>
      <c r="AD96" t="s">
        <v>2041</v>
      </c>
      <c r="AE96" t="s">
        <v>2042</v>
      </c>
      <c r="AF96" t="s">
        <v>74</v>
      </c>
      <c r="AG96">
        <v>204</v>
      </c>
      <c r="AH96">
        <v>0</v>
      </c>
      <c r="AI96">
        <v>0</v>
      </c>
      <c r="AJ96">
        <v>7</v>
      </c>
      <c r="AK96">
        <v>7</v>
      </c>
      <c r="AL96" t="s">
        <v>2043</v>
      </c>
      <c r="AM96" t="s">
        <v>2044</v>
      </c>
      <c r="AN96" t="s">
        <v>2045</v>
      </c>
      <c r="AO96" t="s">
        <v>2046</v>
      </c>
      <c r="AP96" t="s">
        <v>2047</v>
      </c>
      <c r="AQ96" t="s">
        <v>74</v>
      </c>
      <c r="AR96" t="s">
        <v>2048</v>
      </c>
      <c r="AS96" t="s">
        <v>2049</v>
      </c>
      <c r="AT96" t="s">
        <v>2050</v>
      </c>
      <c r="AU96">
        <v>2022</v>
      </c>
      <c r="AV96">
        <v>11</v>
      </c>
      <c r="AW96">
        <v>1</v>
      </c>
      <c r="AX96" t="s">
        <v>74</v>
      </c>
      <c r="AY96" t="s">
        <v>74</v>
      </c>
      <c r="AZ96" t="s">
        <v>74</v>
      </c>
      <c r="BA96" t="s">
        <v>74</v>
      </c>
      <c r="BB96">
        <v>766</v>
      </c>
      <c r="BC96">
        <v>809</v>
      </c>
      <c r="BD96" t="s">
        <v>74</v>
      </c>
      <c r="BE96" t="s">
        <v>2051</v>
      </c>
      <c r="BF96" t="str">
        <f>HYPERLINK("http://dx.doi.org/10.1515/gps-2022-0068","http://dx.doi.org/10.1515/gps-2022-0068")</f>
        <v>http://dx.doi.org/10.1515/gps-2022-0068</v>
      </c>
      <c r="BG96" t="s">
        <v>74</v>
      </c>
      <c r="BH96" t="s">
        <v>74</v>
      </c>
      <c r="BI96">
        <v>44</v>
      </c>
      <c r="BJ96" t="s">
        <v>1029</v>
      </c>
      <c r="BK96" t="s">
        <v>101</v>
      </c>
      <c r="BL96" t="s">
        <v>1030</v>
      </c>
      <c r="BM96" t="s">
        <v>2052</v>
      </c>
      <c r="BN96" t="s">
        <v>74</v>
      </c>
      <c r="BO96" t="s">
        <v>183</v>
      </c>
      <c r="BP96" t="s">
        <v>74</v>
      </c>
      <c r="BQ96" t="s">
        <v>74</v>
      </c>
      <c r="BR96" t="s">
        <v>104</v>
      </c>
      <c r="BS96" t="s">
        <v>2053</v>
      </c>
      <c r="BT96" t="str">
        <f>HYPERLINK("https%3A%2F%2Fwww.webofscience.com%2Fwos%2Fwoscc%2Ffull-record%2FWOS:000840875600002","View Full Record in Web of Science")</f>
        <v>View Full Record in Web of Science</v>
      </c>
    </row>
    <row r="97" spans="1:72" x14ac:dyDescent="0.25">
      <c r="A97" t="s">
        <v>72</v>
      </c>
      <c r="B97" t="s">
        <v>2054</v>
      </c>
      <c r="C97" t="s">
        <v>74</v>
      </c>
      <c r="D97" t="s">
        <v>74</v>
      </c>
      <c r="E97" t="s">
        <v>74</v>
      </c>
      <c r="F97" t="s">
        <v>2055</v>
      </c>
      <c r="G97" t="s">
        <v>74</v>
      </c>
      <c r="H97" t="s">
        <v>74</v>
      </c>
      <c r="I97" t="s">
        <v>2056</v>
      </c>
      <c r="J97" t="s">
        <v>2057</v>
      </c>
      <c r="K97" t="s">
        <v>74</v>
      </c>
      <c r="L97" t="s">
        <v>74</v>
      </c>
      <c r="M97" t="s">
        <v>78</v>
      </c>
      <c r="N97" t="s">
        <v>79</v>
      </c>
      <c r="O97" t="s">
        <v>74</v>
      </c>
      <c r="P97" t="s">
        <v>74</v>
      </c>
      <c r="Q97" t="s">
        <v>74</v>
      </c>
      <c r="R97" t="s">
        <v>74</v>
      </c>
      <c r="S97" t="s">
        <v>74</v>
      </c>
      <c r="T97" t="s">
        <v>2058</v>
      </c>
      <c r="U97" t="s">
        <v>2059</v>
      </c>
      <c r="V97" t="s">
        <v>2060</v>
      </c>
      <c r="W97" t="s">
        <v>2061</v>
      </c>
      <c r="X97" t="s">
        <v>2062</v>
      </c>
      <c r="Y97" t="s">
        <v>2063</v>
      </c>
      <c r="Z97" t="s">
        <v>2064</v>
      </c>
      <c r="AA97" t="s">
        <v>74</v>
      </c>
      <c r="AB97" t="s">
        <v>2065</v>
      </c>
      <c r="AC97" t="s">
        <v>2066</v>
      </c>
      <c r="AD97" t="s">
        <v>2066</v>
      </c>
      <c r="AE97" t="s">
        <v>2067</v>
      </c>
      <c r="AF97" t="s">
        <v>74</v>
      </c>
      <c r="AG97">
        <v>21</v>
      </c>
      <c r="AH97">
        <v>0</v>
      </c>
      <c r="AI97">
        <v>0</v>
      </c>
      <c r="AJ97">
        <v>0</v>
      </c>
      <c r="AK97">
        <v>0</v>
      </c>
      <c r="AL97" t="s">
        <v>1859</v>
      </c>
      <c r="AM97" t="s">
        <v>486</v>
      </c>
      <c r="AN97" t="s">
        <v>1860</v>
      </c>
      <c r="AO97" t="s">
        <v>2068</v>
      </c>
      <c r="AP97" t="s">
        <v>2069</v>
      </c>
      <c r="AQ97" t="s">
        <v>74</v>
      </c>
      <c r="AR97" t="s">
        <v>2070</v>
      </c>
      <c r="AS97" t="s">
        <v>2071</v>
      </c>
      <c r="AT97" t="s">
        <v>1313</v>
      </c>
      <c r="AU97">
        <v>2022</v>
      </c>
      <c r="AV97">
        <v>188</v>
      </c>
      <c r="AW97" t="s">
        <v>74</v>
      </c>
      <c r="AX97" t="s">
        <v>74</v>
      </c>
      <c r="AY97" t="s">
        <v>74</v>
      </c>
      <c r="AZ97" t="s">
        <v>74</v>
      </c>
      <c r="BA97" t="s">
        <v>74</v>
      </c>
      <c r="BB97" t="s">
        <v>74</v>
      </c>
      <c r="BC97" t="s">
        <v>74</v>
      </c>
      <c r="BD97">
        <v>110360</v>
      </c>
      <c r="BE97" t="s">
        <v>2072</v>
      </c>
      <c r="BF97" t="str">
        <f>HYPERLINK("http://dx.doi.org/10.1016/j.apradiso.2022.110360","http://dx.doi.org/10.1016/j.apradiso.2022.110360")</f>
        <v>http://dx.doi.org/10.1016/j.apradiso.2022.110360</v>
      </c>
      <c r="BG97" t="s">
        <v>74</v>
      </c>
      <c r="BH97" t="s">
        <v>440</v>
      </c>
      <c r="BI97">
        <v>8</v>
      </c>
      <c r="BJ97" t="s">
        <v>2073</v>
      </c>
      <c r="BK97" t="s">
        <v>101</v>
      </c>
      <c r="BL97" t="s">
        <v>2074</v>
      </c>
      <c r="BM97" t="s">
        <v>2075</v>
      </c>
      <c r="BN97">
        <v>35839709</v>
      </c>
      <c r="BO97" t="s">
        <v>74</v>
      </c>
      <c r="BP97" t="s">
        <v>74</v>
      </c>
      <c r="BQ97" t="s">
        <v>74</v>
      </c>
      <c r="BR97" t="s">
        <v>104</v>
      </c>
      <c r="BS97" t="s">
        <v>2076</v>
      </c>
      <c r="BT97" t="str">
        <f>HYPERLINK("https%3A%2F%2Fwww.webofscience.com%2Fwos%2Fwoscc%2Ffull-record%2FWOS:000861265900001","View Full Record in Web of Science")</f>
        <v>View Full Record in Web of Science</v>
      </c>
    </row>
    <row r="98" spans="1:72" x14ac:dyDescent="0.25">
      <c r="A98" t="s">
        <v>72</v>
      </c>
      <c r="B98" t="s">
        <v>2077</v>
      </c>
      <c r="C98" t="s">
        <v>74</v>
      </c>
      <c r="D98" t="s">
        <v>74</v>
      </c>
      <c r="E98" t="s">
        <v>74</v>
      </c>
      <c r="F98" t="s">
        <v>2078</v>
      </c>
      <c r="G98" t="s">
        <v>74</v>
      </c>
      <c r="H98" t="s">
        <v>74</v>
      </c>
      <c r="I98" t="s">
        <v>2079</v>
      </c>
      <c r="J98" t="s">
        <v>2080</v>
      </c>
      <c r="K98" t="s">
        <v>74</v>
      </c>
      <c r="L98" t="s">
        <v>74</v>
      </c>
      <c r="M98" t="s">
        <v>78</v>
      </c>
      <c r="N98" t="s">
        <v>79</v>
      </c>
      <c r="O98" t="s">
        <v>74</v>
      </c>
      <c r="P98" t="s">
        <v>74</v>
      </c>
      <c r="Q98" t="s">
        <v>74</v>
      </c>
      <c r="R98" t="s">
        <v>74</v>
      </c>
      <c r="S98" t="s">
        <v>74</v>
      </c>
      <c r="T98" t="s">
        <v>2081</v>
      </c>
      <c r="U98" t="s">
        <v>74</v>
      </c>
      <c r="V98" t="s">
        <v>2082</v>
      </c>
      <c r="W98" t="s">
        <v>2083</v>
      </c>
      <c r="X98" t="s">
        <v>84</v>
      </c>
      <c r="Y98" t="s">
        <v>2084</v>
      </c>
      <c r="Z98" t="s">
        <v>2085</v>
      </c>
      <c r="AA98" t="s">
        <v>2086</v>
      </c>
      <c r="AB98" t="s">
        <v>2087</v>
      </c>
      <c r="AC98" t="s">
        <v>2088</v>
      </c>
      <c r="AD98" t="s">
        <v>2089</v>
      </c>
      <c r="AE98" t="s">
        <v>2090</v>
      </c>
      <c r="AF98" t="s">
        <v>74</v>
      </c>
      <c r="AG98">
        <v>18</v>
      </c>
      <c r="AH98">
        <v>0</v>
      </c>
      <c r="AI98">
        <v>0</v>
      </c>
      <c r="AJ98">
        <v>0</v>
      </c>
      <c r="AK98">
        <v>0</v>
      </c>
      <c r="AL98" t="s">
        <v>92</v>
      </c>
      <c r="AM98" t="s">
        <v>93</v>
      </c>
      <c r="AN98" t="s">
        <v>94</v>
      </c>
      <c r="AO98" t="s">
        <v>74</v>
      </c>
      <c r="AP98" t="s">
        <v>2091</v>
      </c>
      <c r="AQ98" t="s">
        <v>74</v>
      </c>
      <c r="AR98" t="s">
        <v>2092</v>
      </c>
      <c r="AS98" t="s">
        <v>2093</v>
      </c>
      <c r="AT98" t="s">
        <v>416</v>
      </c>
      <c r="AU98">
        <v>2022</v>
      </c>
      <c r="AV98">
        <v>7</v>
      </c>
      <c r="AW98">
        <v>9</v>
      </c>
      <c r="AX98" t="s">
        <v>74</v>
      </c>
      <c r="AY98" t="s">
        <v>74</v>
      </c>
      <c r="AZ98" t="s">
        <v>74</v>
      </c>
      <c r="BA98" t="s">
        <v>74</v>
      </c>
      <c r="BB98" t="s">
        <v>74</v>
      </c>
      <c r="BC98" t="s">
        <v>74</v>
      </c>
      <c r="BD98">
        <v>240</v>
      </c>
      <c r="BE98" t="s">
        <v>2094</v>
      </c>
      <c r="BF98" t="str">
        <f>HYPERLINK("http://dx.doi.org/10.3390/tropicalmed7090240","http://dx.doi.org/10.3390/tropicalmed7090240")</f>
        <v>http://dx.doi.org/10.3390/tropicalmed7090240</v>
      </c>
      <c r="BG98" t="s">
        <v>74</v>
      </c>
      <c r="BH98" t="s">
        <v>74</v>
      </c>
      <c r="BI98">
        <v>11</v>
      </c>
      <c r="BJ98" t="s">
        <v>2095</v>
      </c>
      <c r="BK98" t="s">
        <v>101</v>
      </c>
      <c r="BL98" t="s">
        <v>2095</v>
      </c>
      <c r="BM98" t="s">
        <v>2096</v>
      </c>
      <c r="BN98">
        <v>36136651</v>
      </c>
      <c r="BO98" t="s">
        <v>2097</v>
      </c>
      <c r="BP98" t="s">
        <v>74</v>
      </c>
      <c r="BQ98" t="s">
        <v>74</v>
      </c>
      <c r="BR98" t="s">
        <v>104</v>
      </c>
      <c r="BS98" t="s">
        <v>2098</v>
      </c>
      <c r="BT98" t="str">
        <f>HYPERLINK("https%3A%2F%2Fwww.webofscience.com%2Fwos%2Fwoscc%2Ffull-record%2FWOS:000858863600001","View Full Record in Web of Science")</f>
        <v>View Full Record in Web of Science</v>
      </c>
    </row>
    <row r="99" spans="1:72" x14ac:dyDescent="0.25">
      <c r="A99" t="s">
        <v>72</v>
      </c>
      <c r="B99" t="s">
        <v>2099</v>
      </c>
      <c r="C99" t="s">
        <v>74</v>
      </c>
      <c r="D99" t="s">
        <v>74</v>
      </c>
      <c r="E99" t="s">
        <v>74</v>
      </c>
      <c r="F99" t="s">
        <v>2100</v>
      </c>
      <c r="G99" t="s">
        <v>74</v>
      </c>
      <c r="H99" t="s">
        <v>74</v>
      </c>
      <c r="I99" t="s">
        <v>2101</v>
      </c>
      <c r="J99" t="s">
        <v>77</v>
      </c>
      <c r="K99" t="s">
        <v>74</v>
      </c>
      <c r="L99" t="s">
        <v>74</v>
      </c>
      <c r="M99" t="s">
        <v>78</v>
      </c>
      <c r="N99" t="s">
        <v>79</v>
      </c>
      <c r="O99" t="s">
        <v>74</v>
      </c>
      <c r="P99" t="s">
        <v>74</v>
      </c>
      <c r="Q99" t="s">
        <v>74</v>
      </c>
      <c r="R99" t="s">
        <v>74</v>
      </c>
      <c r="S99" t="s">
        <v>74</v>
      </c>
      <c r="T99" t="s">
        <v>2102</v>
      </c>
      <c r="U99" t="s">
        <v>2103</v>
      </c>
      <c r="V99" t="s">
        <v>2104</v>
      </c>
      <c r="W99" t="s">
        <v>2105</v>
      </c>
      <c r="X99" t="s">
        <v>2106</v>
      </c>
      <c r="Y99" t="s">
        <v>2107</v>
      </c>
      <c r="Z99" t="s">
        <v>2108</v>
      </c>
      <c r="AA99" t="s">
        <v>2109</v>
      </c>
      <c r="AB99" t="s">
        <v>2110</v>
      </c>
      <c r="AC99" t="s">
        <v>2111</v>
      </c>
      <c r="AD99" t="s">
        <v>2112</v>
      </c>
      <c r="AE99" t="s">
        <v>2113</v>
      </c>
      <c r="AF99" t="s">
        <v>74</v>
      </c>
      <c r="AG99">
        <v>45</v>
      </c>
      <c r="AH99">
        <v>0</v>
      </c>
      <c r="AI99">
        <v>0</v>
      </c>
      <c r="AJ99">
        <v>3</v>
      </c>
      <c r="AK99">
        <v>3</v>
      </c>
      <c r="AL99" t="s">
        <v>92</v>
      </c>
      <c r="AM99" t="s">
        <v>93</v>
      </c>
      <c r="AN99" t="s">
        <v>94</v>
      </c>
      <c r="AO99" t="s">
        <v>74</v>
      </c>
      <c r="AP99" t="s">
        <v>95</v>
      </c>
      <c r="AQ99" t="s">
        <v>74</v>
      </c>
      <c r="AR99" t="s">
        <v>96</v>
      </c>
      <c r="AS99" t="s">
        <v>97</v>
      </c>
      <c r="AT99" t="s">
        <v>1313</v>
      </c>
      <c r="AU99">
        <v>2022</v>
      </c>
      <c r="AV99">
        <v>14</v>
      </c>
      <c r="AW99">
        <v>19</v>
      </c>
      <c r="AX99" t="s">
        <v>74</v>
      </c>
      <c r="AY99" t="s">
        <v>74</v>
      </c>
      <c r="AZ99" t="s">
        <v>74</v>
      </c>
      <c r="BA99" t="s">
        <v>74</v>
      </c>
      <c r="BB99" t="s">
        <v>74</v>
      </c>
      <c r="BC99" t="s">
        <v>74</v>
      </c>
      <c r="BD99">
        <v>3938</v>
      </c>
      <c r="BE99" t="s">
        <v>2114</v>
      </c>
      <c r="BF99" t="str">
        <f>HYPERLINK("http://dx.doi.org/10.3390/polym14193938","http://dx.doi.org/10.3390/polym14193938")</f>
        <v>http://dx.doi.org/10.3390/polym14193938</v>
      </c>
      <c r="BG99" t="s">
        <v>74</v>
      </c>
      <c r="BH99" t="s">
        <v>74</v>
      </c>
      <c r="BI99">
        <v>17</v>
      </c>
      <c r="BJ99" t="s">
        <v>100</v>
      </c>
      <c r="BK99" t="s">
        <v>101</v>
      </c>
      <c r="BL99" t="s">
        <v>100</v>
      </c>
      <c r="BM99" t="s">
        <v>2115</v>
      </c>
      <c r="BN99">
        <v>36235886</v>
      </c>
      <c r="BO99" t="s">
        <v>129</v>
      </c>
      <c r="BP99" t="s">
        <v>74</v>
      </c>
      <c r="BQ99" t="s">
        <v>74</v>
      </c>
      <c r="BR99" t="s">
        <v>104</v>
      </c>
      <c r="BS99" t="s">
        <v>2116</v>
      </c>
      <c r="BT99" t="str">
        <f>HYPERLINK("https%3A%2F%2Fwww.webofscience.com%2Fwos%2Fwoscc%2Ffull-record%2FWOS:000867922100001","View Full Record in Web of Science")</f>
        <v>View Full Record in Web of Science</v>
      </c>
    </row>
    <row r="100" spans="1:72" x14ac:dyDescent="0.25">
      <c r="A100" t="s">
        <v>72</v>
      </c>
      <c r="B100" t="s">
        <v>2117</v>
      </c>
      <c r="C100" t="s">
        <v>74</v>
      </c>
      <c r="D100" t="s">
        <v>74</v>
      </c>
      <c r="E100" t="s">
        <v>74</v>
      </c>
      <c r="F100" t="s">
        <v>2118</v>
      </c>
      <c r="G100" t="s">
        <v>74</v>
      </c>
      <c r="H100" t="s">
        <v>74</v>
      </c>
      <c r="I100" t="s">
        <v>2119</v>
      </c>
      <c r="J100" t="s">
        <v>582</v>
      </c>
      <c r="K100" t="s">
        <v>74</v>
      </c>
      <c r="L100" t="s">
        <v>74</v>
      </c>
      <c r="M100" t="s">
        <v>78</v>
      </c>
      <c r="N100" t="s">
        <v>79</v>
      </c>
      <c r="O100" t="s">
        <v>74</v>
      </c>
      <c r="P100" t="s">
        <v>74</v>
      </c>
      <c r="Q100" t="s">
        <v>74</v>
      </c>
      <c r="R100" t="s">
        <v>74</v>
      </c>
      <c r="S100" t="s">
        <v>74</v>
      </c>
      <c r="T100" t="s">
        <v>2120</v>
      </c>
      <c r="U100" t="s">
        <v>2121</v>
      </c>
      <c r="V100" t="s">
        <v>2122</v>
      </c>
      <c r="W100" t="s">
        <v>2123</v>
      </c>
      <c r="X100" t="s">
        <v>2124</v>
      </c>
      <c r="Y100" t="s">
        <v>2125</v>
      </c>
      <c r="Z100" t="s">
        <v>2126</v>
      </c>
      <c r="AA100" t="s">
        <v>2127</v>
      </c>
      <c r="AB100" t="s">
        <v>2128</v>
      </c>
      <c r="AC100" t="s">
        <v>2129</v>
      </c>
      <c r="AD100" t="s">
        <v>2130</v>
      </c>
      <c r="AE100" t="s">
        <v>2131</v>
      </c>
      <c r="AF100" t="s">
        <v>74</v>
      </c>
      <c r="AG100">
        <v>55</v>
      </c>
      <c r="AH100">
        <v>0</v>
      </c>
      <c r="AI100">
        <v>0</v>
      </c>
      <c r="AJ100">
        <v>4</v>
      </c>
      <c r="AK100">
        <v>6</v>
      </c>
      <c r="AL100" t="s">
        <v>251</v>
      </c>
      <c r="AM100" t="s">
        <v>252</v>
      </c>
      <c r="AN100" t="s">
        <v>253</v>
      </c>
      <c r="AO100" t="s">
        <v>594</v>
      </c>
      <c r="AP100" t="s">
        <v>595</v>
      </c>
      <c r="AQ100" t="s">
        <v>74</v>
      </c>
      <c r="AR100" t="s">
        <v>596</v>
      </c>
      <c r="AS100" t="s">
        <v>597</v>
      </c>
      <c r="AT100" t="s">
        <v>2132</v>
      </c>
      <c r="AU100">
        <v>2022</v>
      </c>
      <c r="AV100">
        <v>1253</v>
      </c>
      <c r="AW100" t="s">
        <v>74</v>
      </c>
      <c r="AX100" t="s">
        <v>74</v>
      </c>
      <c r="AY100" t="s">
        <v>74</v>
      </c>
      <c r="AZ100" t="s">
        <v>74</v>
      </c>
      <c r="BA100" t="s">
        <v>74</v>
      </c>
      <c r="BB100" t="s">
        <v>74</v>
      </c>
      <c r="BC100" t="s">
        <v>74</v>
      </c>
      <c r="BD100">
        <v>132253</v>
      </c>
      <c r="BE100" t="s">
        <v>2133</v>
      </c>
      <c r="BF100" t="str">
        <f>HYPERLINK("http://dx.doi.org/10.1016/j.molstruc.2021.132253","http://dx.doi.org/10.1016/j.molstruc.2021.132253")</f>
        <v>http://dx.doi.org/10.1016/j.molstruc.2021.132253</v>
      </c>
      <c r="BG100" t="s">
        <v>74</v>
      </c>
      <c r="BH100" t="s">
        <v>74</v>
      </c>
      <c r="BI100">
        <v>11</v>
      </c>
      <c r="BJ100" t="s">
        <v>600</v>
      </c>
      <c r="BK100" t="s">
        <v>101</v>
      </c>
      <c r="BL100" t="s">
        <v>206</v>
      </c>
      <c r="BM100" t="s">
        <v>2134</v>
      </c>
      <c r="BN100" t="s">
        <v>74</v>
      </c>
      <c r="BO100" t="s">
        <v>74</v>
      </c>
      <c r="BP100" t="s">
        <v>74</v>
      </c>
      <c r="BQ100" t="s">
        <v>74</v>
      </c>
      <c r="BR100" t="s">
        <v>104</v>
      </c>
      <c r="BS100" t="s">
        <v>2135</v>
      </c>
      <c r="BT100" t="str">
        <f>HYPERLINK("https%3A%2F%2Fwww.webofscience.com%2Fwos%2Fwoscc%2Ffull-record%2FWOS:000780918500024","View Full Record in Web of Science")</f>
        <v>View Full Record in Web of Science</v>
      </c>
    </row>
    <row r="101" spans="1:72" x14ac:dyDescent="0.25">
      <c r="A101" t="s">
        <v>72</v>
      </c>
      <c r="B101" t="s">
        <v>2136</v>
      </c>
      <c r="C101" t="s">
        <v>74</v>
      </c>
      <c r="D101" t="s">
        <v>74</v>
      </c>
      <c r="E101" t="s">
        <v>74</v>
      </c>
      <c r="F101" t="s">
        <v>2137</v>
      </c>
      <c r="G101" t="s">
        <v>74</v>
      </c>
      <c r="H101" t="s">
        <v>74</v>
      </c>
      <c r="I101" t="s">
        <v>2138</v>
      </c>
      <c r="J101" t="s">
        <v>2139</v>
      </c>
      <c r="K101" t="s">
        <v>74</v>
      </c>
      <c r="L101" t="s">
        <v>74</v>
      </c>
      <c r="M101" t="s">
        <v>78</v>
      </c>
      <c r="N101" t="s">
        <v>79</v>
      </c>
      <c r="O101" t="s">
        <v>74</v>
      </c>
      <c r="P101" t="s">
        <v>74</v>
      </c>
      <c r="Q101" t="s">
        <v>74</v>
      </c>
      <c r="R101" t="s">
        <v>74</v>
      </c>
      <c r="S101" t="s">
        <v>74</v>
      </c>
      <c r="T101" t="s">
        <v>2140</v>
      </c>
      <c r="U101" t="s">
        <v>2141</v>
      </c>
      <c r="V101" t="s">
        <v>2142</v>
      </c>
      <c r="W101" t="s">
        <v>2143</v>
      </c>
      <c r="X101" t="s">
        <v>2144</v>
      </c>
      <c r="Y101" t="s">
        <v>2145</v>
      </c>
      <c r="Z101" t="s">
        <v>2146</v>
      </c>
      <c r="AA101" t="s">
        <v>74</v>
      </c>
      <c r="AB101" t="s">
        <v>2147</v>
      </c>
      <c r="AC101" t="s">
        <v>2148</v>
      </c>
      <c r="AD101" t="s">
        <v>2149</v>
      </c>
      <c r="AE101" t="s">
        <v>2150</v>
      </c>
      <c r="AF101" t="s">
        <v>74</v>
      </c>
      <c r="AG101">
        <v>69</v>
      </c>
      <c r="AH101">
        <v>1</v>
      </c>
      <c r="AI101">
        <v>1</v>
      </c>
      <c r="AJ101">
        <v>1</v>
      </c>
      <c r="AK101">
        <v>5</v>
      </c>
      <c r="AL101" t="s">
        <v>798</v>
      </c>
      <c r="AM101" t="s">
        <v>799</v>
      </c>
      <c r="AN101" t="s">
        <v>800</v>
      </c>
      <c r="AO101" t="s">
        <v>2151</v>
      </c>
      <c r="AP101" t="s">
        <v>2152</v>
      </c>
      <c r="AQ101" t="s">
        <v>74</v>
      </c>
      <c r="AR101" t="s">
        <v>2153</v>
      </c>
      <c r="AS101" t="s">
        <v>2154</v>
      </c>
      <c r="AT101" t="s">
        <v>1118</v>
      </c>
      <c r="AU101">
        <v>2022</v>
      </c>
      <c r="AV101">
        <v>37</v>
      </c>
      <c r="AW101">
        <v>2</v>
      </c>
      <c r="AX101" t="s">
        <v>74</v>
      </c>
      <c r="AY101" t="s">
        <v>74</v>
      </c>
      <c r="AZ101" t="s">
        <v>74</v>
      </c>
      <c r="BA101" t="s">
        <v>74</v>
      </c>
      <c r="BB101">
        <v>160</v>
      </c>
      <c r="BC101">
        <v>172</v>
      </c>
      <c r="BD101" t="s">
        <v>74</v>
      </c>
      <c r="BE101" t="s">
        <v>2155</v>
      </c>
      <c r="BF101" t="str">
        <f>HYPERLINK("http://dx.doi.org/10.1111/1442-1984.12364","http://dx.doi.org/10.1111/1442-1984.12364")</f>
        <v>http://dx.doi.org/10.1111/1442-1984.12364</v>
      </c>
      <c r="BG101" t="s">
        <v>74</v>
      </c>
      <c r="BH101" t="s">
        <v>354</v>
      </c>
      <c r="BI101">
        <v>13</v>
      </c>
      <c r="BJ101" t="s">
        <v>2156</v>
      </c>
      <c r="BK101" t="s">
        <v>101</v>
      </c>
      <c r="BL101" t="s">
        <v>2157</v>
      </c>
      <c r="BM101" t="s">
        <v>2158</v>
      </c>
      <c r="BN101" t="s">
        <v>74</v>
      </c>
      <c r="BO101" t="s">
        <v>74</v>
      </c>
      <c r="BP101" t="s">
        <v>74</v>
      </c>
      <c r="BQ101" t="s">
        <v>74</v>
      </c>
      <c r="BR101" t="s">
        <v>104</v>
      </c>
      <c r="BS101" t="s">
        <v>2159</v>
      </c>
      <c r="BT101" t="str">
        <f>HYPERLINK("https%3A%2F%2Fwww.webofscience.com%2Fwos%2Fwoscc%2Ffull-record%2FWOS:000742865300001","View Full Record in Web of Science")</f>
        <v>View Full Record in Web of Science</v>
      </c>
    </row>
    <row r="102" spans="1:72" x14ac:dyDescent="0.25">
      <c r="A102" t="s">
        <v>72</v>
      </c>
      <c r="B102" t="s">
        <v>2160</v>
      </c>
      <c r="C102" t="s">
        <v>74</v>
      </c>
      <c r="D102" t="s">
        <v>74</v>
      </c>
      <c r="E102" t="s">
        <v>74</v>
      </c>
      <c r="F102" t="s">
        <v>2161</v>
      </c>
      <c r="G102" t="s">
        <v>74</v>
      </c>
      <c r="H102" t="s">
        <v>74</v>
      </c>
      <c r="I102" t="s">
        <v>2162</v>
      </c>
      <c r="J102" t="s">
        <v>2163</v>
      </c>
      <c r="K102" t="s">
        <v>74</v>
      </c>
      <c r="L102" t="s">
        <v>74</v>
      </c>
      <c r="M102" t="s">
        <v>78</v>
      </c>
      <c r="N102" t="s">
        <v>79</v>
      </c>
      <c r="O102" t="s">
        <v>74</v>
      </c>
      <c r="P102" t="s">
        <v>74</v>
      </c>
      <c r="Q102" t="s">
        <v>74</v>
      </c>
      <c r="R102" t="s">
        <v>74</v>
      </c>
      <c r="S102" t="s">
        <v>74</v>
      </c>
      <c r="T102" t="s">
        <v>2164</v>
      </c>
      <c r="U102" t="s">
        <v>2165</v>
      </c>
      <c r="V102" t="s">
        <v>2166</v>
      </c>
      <c r="W102" t="s">
        <v>2167</v>
      </c>
      <c r="X102" t="s">
        <v>2168</v>
      </c>
      <c r="Y102" t="s">
        <v>2169</v>
      </c>
      <c r="Z102" t="s">
        <v>2170</v>
      </c>
      <c r="AA102" t="s">
        <v>2171</v>
      </c>
      <c r="AB102" t="s">
        <v>2172</v>
      </c>
      <c r="AC102" t="s">
        <v>74</v>
      </c>
      <c r="AD102" t="s">
        <v>74</v>
      </c>
      <c r="AE102" t="s">
        <v>74</v>
      </c>
      <c r="AF102" t="s">
        <v>74</v>
      </c>
      <c r="AG102">
        <v>56</v>
      </c>
      <c r="AH102">
        <v>3</v>
      </c>
      <c r="AI102">
        <v>3</v>
      </c>
      <c r="AJ102">
        <v>8</v>
      </c>
      <c r="AK102">
        <v>59</v>
      </c>
      <c r="AL102" t="s">
        <v>2173</v>
      </c>
      <c r="AM102" t="s">
        <v>2174</v>
      </c>
      <c r="AN102" t="s">
        <v>2175</v>
      </c>
      <c r="AO102" t="s">
        <v>2176</v>
      </c>
      <c r="AP102" t="s">
        <v>2177</v>
      </c>
      <c r="AQ102" t="s">
        <v>74</v>
      </c>
      <c r="AR102" t="s">
        <v>2178</v>
      </c>
      <c r="AS102" t="s">
        <v>2179</v>
      </c>
      <c r="AT102" t="s">
        <v>2180</v>
      </c>
      <c r="AU102">
        <v>2022</v>
      </c>
      <c r="AV102">
        <v>13</v>
      </c>
      <c r="AW102">
        <v>1</v>
      </c>
      <c r="AX102" t="s">
        <v>74</v>
      </c>
      <c r="AY102" t="s">
        <v>74</v>
      </c>
      <c r="AZ102" t="s">
        <v>74</v>
      </c>
      <c r="BA102" t="s">
        <v>74</v>
      </c>
      <c r="BB102">
        <v>135</v>
      </c>
      <c r="BC102">
        <v>150</v>
      </c>
      <c r="BD102" t="s">
        <v>74</v>
      </c>
      <c r="BE102" t="s">
        <v>2181</v>
      </c>
      <c r="BF102" t="str">
        <f>HYPERLINK("http://dx.doi.org/10.5267/j.ijiec.2021.6.001","http://dx.doi.org/10.5267/j.ijiec.2021.6.001")</f>
        <v>http://dx.doi.org/10.5267/j.ijiec.2021.6.001</v>
      </c>
      <c r="BG102" t="s">
        <v>74</v>
      </c>
      <c r="BH102" t="s">
        <v>74</v>
      </c>
      <c r="BI102">
        <v>16</v>
      </c>
      <c r="BJ102" t="s">
        <v>2182</v>
      </c>
      <c r="BK102" t="s">
        <v>101</v>
      </c>
      <c r="BL102" t="s">
        <v>2183</v>
      </c>
      <c r="BM102" t="s">
        <v>2184</v>
      </c>
      <c r="BN102" t="s">
        <v>74</v>
      </c>
      <c r="BO102" t="s">
        <v>74</v>
      </c>
      <c r="BP102" t="s">
        <v>74</v>
      </c>
      <c r="BQ102" t="s">
        <v>74</v>
      </c>
      <c r="BR102" t="s">
        <v>104</v>
      </c>
      <c r="BS102" t="s">
        <v>2185</v>
      </c>
      <c r="BT102" t="str">
        <f>HYPERLINK("https%3A%2F%2Fwww.webofscience.com%2Fwos%2Fwoscc%2Ffull-record%2FWOS:000719401500010","View Full Record in Web of Science")</f>
        <v>View Full Record in Web of Science</v>
      </c>
    </row>
    <row r="103" spans="1:72" x14ac:dyDescent="0.25">
      <c r="A103" t="s">
        <v>72</v>
      </c>
      <c r="B103" t="s">
        <v>2186</v>
      </c>
      <c r="C103" t="s">
        <v>74</v>
      </c>
      <c r="D103" t="s">
        <v>74</v>
      </c>
      <c r="E103" t="s">
        <v>74</v>
      </c>
      <c r="F103" t="s">
        <v>2187</v>
      </c>
      <c r="G103" t="s">
        <v>74</v>
      </c>
      <c r="H103" t="s">
        <v>74</v>
      </c>
      <c r="I103" t="s">
        <v>2188</v>
      </c>
      <c r="J103" t="s">
        <v>2189</v>
      </c>
      <c r="K103" t="s">
        <v>74</v>
      </c>
      <c r="L103" t="s">
        <v>74</v>
      </c>
      <c r="M103" t="s">
        <v>78</v>
      </c>
      <c r="N103" t="s">
        <v>162</v>
      </c>
      <c r="O103" t="s">
        <v>74</v>
      </c>
      <c r="P103" t="s">
        <v>74</v>
      </c>
      <c r="Q103" t="s">
        <v>74</v>
      </c>
      <c r="R103" t="s">
        <v>74</v>
      </c>
      <c r="S103" t="s">
        <v>74</v>
      </c>
      <c r="T103" t="s">
        <v>2190</v>
      </c>
      <c r="U103" t="s">
        <v>2191</v>
      </c>
      <c r="V103" t="s">
        <v>2192</v>
      </c>
      <c r="W103" t="s">
        <v>2193</v>
      </c>
      <c r="X103" t="s">
        <v>2194</v>
      </c>
      <c r="Y103" t="s">
        <v>2195</v>
      </c>
      <c r="Z103" t="s">
        <v>2196</v>
      </c>
      <c r="AA103" t="s">
        <v>2197</v>
      </c>
      <c r="AB103" t="s">
        <v>2198</v>
      </c>
      <c r="AC103" t="s">
        <v>2199</v>
      </c>
      <c r="AD103" t="s">
        <v>2200</v>
      </c>
      <c r="AE103" t="s">
        <v>2201</v>
      </c>
      <c r="AF103" t="s">
        <v>74</v>
      </c>
      <c r="AG103">
        <v>164</v>
      </c>
      <c r="AH103">
        <v>6</v>
      </c>
      <c r="AI103">
        <v>6</v>
      </c>
      <c r="AJ103">
        <v>13</v>
      </c>
      <c r="AK103">
        <v>30</v>
      </c>
      <c r="AL103" t="s">
        <v>251</v>
      </c>
      <c r="AM103" t="s">
        <v>252</v>
      </c>
      <c r="AN103" t="s">
        <v>253</v>
      </c>
      <c r="AO103" t="s">
        <v>2202</v>
      </c>
      <c r="AP103" t="s">
        <v>2203</v>
      </c>
      <c r="AQ103" t="s">
        <v>74</v>
      </c>
      <c r="AR103" t="s">
        <v>2204</v>
      </c>
      <c r="AS103" t="s">
        <v>2205</v>
      </c>
      <c r="AT103" t="s">
        <v>256</v>
      </c>
      <c r="AU103">
        <v>2022</v>
      </c>
      <c r="AV103">
        <v>46</v>
      </c>
      <c r="AW103" t="s">
        <v>74</v>
      </c>
      <c r="AX103" t="s">
        <v>74</v>
      </c>
      <c r="AY103" t="s">
        <v>74</v>
      </c>
      <c r="AZ103" t="s">
        <v>74</v>
      </c>
      <c r="BA103" t="s">
        <v>74</v>
      </c>
      <c r="BB103" t="s">
        <v>74</v>
      </c>
      <c r="BC103" t="s">
        <v>74</v>
      </c>
      <c r="BD103">
        <v>101577</v>
      </c>
      <c r="BE103" t="s">
        <v>2206</v>
      </c>
      <c r="BF103" t="str">
        <f>HYPERLINK("http://dx.doi.org/10.1016/j.fbio.2022.101577","http://dx.doi.org/10.1016/j.fbio.2022.101577")</f>
        <v>http://dx.doi.org/10.1016/j.fbio.2022.101577</v>
      </c>
      <c r="BG103" t="s">
        <v>74</v>
      </c>
      <c r="BH103" t="s">
        <v>74</v>
      </c>
      <c r="BI103">
        <v>17</v>
      </c>
      <c r="BJ103" t="s">
        <v>402</v>
      </c>
      <c r="BK103" t="s">
        <v>101</v>
      </c>
      <c r="BL103" t="s">
        <v>402</v>
      </c>
      <c r="BM103" t="s">
        <v>2207</v>
      </c>
      <c r="BN103" t="s">
        <v>74</v>
      </c>
      <c r="BO103" t="s">
        <v>74</v>
      </c>
      <c r="BP103" t="s">
        <v>74</v>
      </c>
      <c r="BQ103" t="s">
        <v>74</v>
      </c>
      <c r="BR103" t="s">
        <v>104</v>
      </c>
      <c r="BS103" t="s">
        <v>2208</v>
      </c>
      <c r="BT103" t="str">
        <f>HYPERLINK("https%3A%2F%2Fwww.webofscience.com%2Fwos%2Fwoscc%2Ffull-record%2FWOS:000770685300005","View Full Record in Web of Science")</f>
        <v>View Full Record in Web of Science</v>
      </c>
    </row>
    <row r="104" spans="1:72" x14ac:dyDescent="0.25">
      <c r="A104" t="s">
        <v>72</v>
      </c>
      <c r="B104" t="s">
        <v>2209</v>
      </c>
      <c r="C104" t="s">
        <v>74</v>
      </c>
      <c r="D104" t="s">
        <v>74</v>
      </c>
      <c r="E104" t="s">
        <v>74</v>
      </c>
      <c r="F104" t="s">
        <v>2210</v>
      </c>
      <c r="G104" t="s">
        <v>74</v>
      </c>
      <c r="H104" t="s">
        <v>74</v>
      </c>
      <c r="I104" t="s">
        <v>2211</v>
      </c>
      <c r="J104" t="s">
        <v>2212</v>
      </c>
      <c r="K104" t="s">
        <v>74</v>
      </c>
      <c r="L104" t="s">
        <v>74</v>
      </c>
      <c r="M104" t="s">
        <v>78</v>
      </c>
      <c r="N104" t="s">
        <v>162</v>
      </c>
      <c r="O104" t="s">
        <v>74</v>
      </c>
      <c r="P104" t="s">
        <v>74</v>
      </c>
      <c r="Q104" t="s">
        <v>74</v>
      </c>
      <c r="R104" t="s">
        <v>74</v>
      </c>
      <c r="S104" t="s">
        <v>74</v>
      </c>
      <c r="T104" t="s">
        <v>74</v>
      </c>
      <c r="U104" t="s">
        <v>2213</v>
      </c>
      <c r="V104" t="s">
        <v>2214</v>
      </c>
      <c r="W104" t="s">
        <v>2215</v>
      </c>
      <c r="X104" t="s">
        <v>2216</v>
      </c>
      <c r="Y104" t="s">
        <v>2217</v>
      </c>
      <c r="Z104" t="s">
        <v>2218</v>
      </c>
      <c r="AA104" t="s">
        <v>2219</v>
      </c>
      <c r="AB104" t="s">
        <v>2220</v>
      </c>
      <c r="AC104" t="s">
        <v>2221</v>
      </c>
      <c r="AD104" t="s">
        <v>2222</v>
      </c>
      <c r="AE104" t="s">
        <v>2223</v>
      </c>
      <c r="AF104" t="s">
        <v>74</v>
      </c>
      <c r="AG104">
        <v>104</v>
      </c>
      <c r="AH104">
        <v>14</v>
      </c>
      <c r="AI104">
        <v>15</v>
      </c>
      <c r="AJ104">
        <v>21</v>
      </c>
      <c r="AK104">
        <v>40</v>
      </c>
      <c r="AL104" t="s">
        <v>2224</v>
      </c>
      <c r="AM104" t="s">
        <v>460</v>
      </c>
      <c r="AN104" t="s">
        <v>2225</v>
      </c>
      <c r="AO104" t="s">
        <v>2226</v>
      </c>
      <c r="AP104" t="s">
        <v>2227</v>
      </c>
      <c r="AQ104" t="s">
        <v>74</v>
      </c>
      <c r="AR104" t="s">
        <v>2228</v>
      </c>
      <c r="AS104" t="s">
        <v>2229</v>
      </c>
      <c r="AT104" t="s">
        <v>256</v>
      </c>
      <c r="AU104">
        <v>2022</v>
      </c>
      <c r="AV104">
        <v>27</v>
      </c>
      <c r="AW104">
        <v>4</v>
      </c>
      <c r="AX104" t="s">
        <v>74</v>
      </c>
      <c r="AY104" t="s">
        <v>74</v>
      </c>
      <c r="AZ104" t="s">
        <v>74</v>
      </c>
      <c r="BA104" t="s">
        <v>74</v>
      </c>
      <c r="BB104">
        <v>364</v>
      </c>
      <c r="BC104">
        <v>378</v>
      </c>
      <c r="BD104" t="s">
        <v>74</v>
      </c>
      <c r="BE104" t="s">
        <v>2230</v>
      </c>
      <c r="BF104" t="str">
        <f>HYPERLINK("http://dx.doi.org/10.1016/j.tplants.2021.09.010","http://dx.doi.org/10.1016/j.tplants.2021.09.010")</f>
        <v>http://dx.doi.org/10.1016/j.tplants.2021.09.010</v>
      </c>
      <c r="BG104" t="s">
        <v>74</v>
      </c>
      <c r="BH104" t="s">
        <v>233</v>
      </c>
      <c r="BI104">
        <v>15</v>
      </c>
      <c r="BJ104" t="s">
        <v>2231</v>
      </c>
      <c r="BK104" t="s">
        <v>101</v>
      </c>
      <c r="BL104" t="s">
        <v>2231</v>
      </c>
      <c r="BM104" t="s">
        <v>2232</v>
      </c>
      <c r="BN104">
        <v>35000859</v>
      </c>
      <c r="BO104" t="s">
        <v>2233</v>
      </c>
      <c r="BP104" t="s">
        <v>2234</v>
      </c>
      <c r="BQ104" t="s">
        <v>2235</v>
      </c>
      <c r="BR104" t="s">
        <v>104</v>
      </c>
      <c r="BS104" t="s">
        <v>2236</v>
      </c>
      <c r="BT104" t="str">
        <f>HYPERLINK("https%3A%2F%2Fwww.webofscience.com%2Fwos%2Fwoscc%2Ffull-record%2FWOS:000767964800009","View Full Record in Web of Science")</f>
        <v>View Full Record in Web of Science</v>
      </c>
    </row>
    <row r="105" spans="1:72" x14ac:dyDescent="0.25">
      <c r="A105" t="s">
        <v>72</v>
      </c>
      <c r="B105" t="s">
        <v>2237</v>
      </c>
      <c r="C105" t="s">
        <v>74</v>
      </c>
      <c r="D105" t="s">
        <v>74</v>
      </c>
      <c r="E105" t="s">
        <v>74</v>
      </c>
      <c r="F105" t="s">
        <v>2238</v>
      </c>
      <c r="G105" t="s">
        <v>74</v>
      </c>
      <c r="H105" t="s">
        <v>74</v>
      </c>
      <c r="I105" t="s">
        <v>2239</v>
      </c>
      <c r="J105" t="s">
        <v>2240</v>
      </c>
      <c r="K105" t="s">
        <v>74</v>
      </c>
      <c r="L105" t="s">
        <v>74</v>
      </c>
      <c r="M105" t="s">
        <v>78</v>
      </c>
      <c r="N105" t="s">
        <v>79</v>
      </c>
      <c r="O105" t="s">
        <v>74</v>
      </c>
      <c r="P105" t="s">
        <v>74</v>
      </c>
      <c r="Q105" t="s">
        <v>74</v>
      </c>
      <c r="R105" t="s">
        <v>74</v>
      </c>
      <c r="S105" t="s">
        <v>74</v>
      </c>
      <c r="T105" t="s">
        <v>2241</v>
      </c>
      <c r="U105" t="s">
        <v>2242</v>
      </c>
      <c r="V105" t="s">
        <v>2243</v>
      </c>
      <c r="W105" t="s">
        <v>2244</v>
      </c>
      <c r="X105" t="s">
        <v>2245</v>
      </c>
      <c r="Y105" t="s">
        <v>2246</v>
      </c>
      <c r="Z105" t="s">
        <v>2247</v>
      </c>
      <c r="AA105" t="s">
        <v>74</v>
      </c>
      <c r="AB105" t="s">
        <v>2248</v>
      </c>
      <c r="AC105" t="s">
        <v>74</v>
      </c>
      <c r="AD105" t="s">
        <v>74</v>
      </c>
      <c r="AE105" t="s">
        <v>74</v>
      </c>
      <c r="AF105" t="s">
        <v>74</v>
      </c>
      <c r="AG105">
        <v>64</v>
      </c>
      <c r="AH105">
        <v>0</v>
      </c>
      <c r="AI105">
        <v>0</v>
      </c>
      <c r="AJ105">
        <v>6</v>
      </c>
      <c r="AK105">
        <v>6</v>
      </c>
      <c r="AL105" t="s">
        <v>485</v>
      </c>
      <c r="AM105" t="s">
        <v>486</v>
      </c>
      <c r="AN105" t="s">
        <v>487</v>
      </c>
      <c r="AO105" t="s">
        <v>2249</v>
      </c>
      <c r="AP105" t="s">
        <v>2250</v>
      </c>
      <c r="AQ105" t="s">
        <v>74</v>
      </c>
      <c r="AR105" t="s">
        <v>2251</v>
      </c>
      <c r="AS105" t="s">
        <v>2252</v>
      </c>
      <c r="AT105" t="s">
        <v>416</v>
      </c>
      <c r="AU105">
        <v>2022</v>
      </c>
      <c r="AV105">
        <v>70</v>
      </c>
      <c r="AW105" t="s">
        <v>74</v>
      </c>
      <c r="AX105" t="s">
        <v>74</v>
      </c>
      <c r="AY105" t="s">
        <v>74</v>
      </c>
      <c r="AZ105" t="s">
        <v>74</v>
      </c>
      <c r="BA105" t="s">
        <v>74</v>
      </c>
      <c r="BB105" t="s">
        <v>74</v>
      </c>
      <c r="BC105" t="s">
        <v>74</v>
      </c>
      <c r="BD105">
        <v>101192</v>
      </c>
      <c r="BE105" t="s">
        <v>2253</v>
      </c>
      <c r="BF105" t="str">
        <f>HYPERLINK("http://dx.doi.org/10.1016/j.asd.2022.101192","http://dx.doi.org/10.1016/j.asd.2022.101192")</f>
        <v>http://dx.doi.org/10.1016/j.asd.2022.101192</v>
      </c>
      <c r="BG105" t="s">
        <v>74</v>
      </c>
      <c r="BH105" t="s">
        <v>440</v>
      </c>
      <c r="BI105">
        <v>15</v>
      </c>
      <c r="BJ105" t="s">
        <v>980</v>
      </c>
      <c r="BK105" t="s">
        <v>101</v>
      </c>
      <c r="BL105" t="s">
        <v>980</v>
      </c>
      <c r="BM105" t="s">
        <v>2254</v>
      </c>
      <c r="BN105">
        <v>35863120</v>
      </c>
      <c r="BO105" t="s">
        <v>74</v>
      </c>
      <c r="BP105" t="s">
        <v>74</v>
      </c>
      <c r="BQ105" t="s">
        <v>74</v>
      </c>
      <c r="BR105" t="s">
        <v>104</v>
      </c>
      <c r="BS105" t="s">
        <v>2255</v>
      </c>
      <c r="BT105" t="str">
        <f>HYPERLINK("https%3A%2F%2Fwww.webofscience.com%2Fwos%2Fwoscc%2Ffull-record%2FWOS:000837831500002","View Full Record in Web of Science")</f>
        <v>View Full Record in Web of Science</v>
      </c>
    </row>
    <row r="106" spans="1:72" x14ac:dyDescent="0.25">
      <c r="A106" t="s">
        <v>72</v>
      </c>
      <c r="B106" t="s">
        <v>2256</v>
      </c>
      <c r="C106" t="s">
        <v>74</v>
      </c>
      <c r="D106" t="s">
        <v>74</v>
      </c>
      <c r="E106" t="s">
        <v>74</v>
      </c>
      <c r="F106" t="s">
        <v>2257</v>
      </c>
      <c r="G106" t="s">
        <v>74</v>
      </c>
      <c r="H106" t="s">
        <v>74</v>
      </c>
      <c r="I106" t="s">
        <v>2258</v>
      </c>
      <c r="J106" t="s">
        <v>2259</v>
      </c>
      <c r="K106" t="s">
        <v>74</v>
      </c>
      <c r="L106" t="s">
        <v>74</v>
      </c>
      <c r="M106" t="s">
        <v>78</v>
      </c>
      <c r="N106" t="s">
        <v>79</v>
      </c>
      <c r="O106" t="s">
        <v>74</v>
      </c>
      <c r="P106" t="s">
        <v>74</v>
      </c>
      <c r="Q106" t="s">
        <v>74</v>
      </c>
      <c r="R106" t="s">
        <v>74</v>
      </c>
      <c r="S106" t="s">
        <v>74</v>
      </c>
      <c r="T106" t="s">
        <v>2260</v>
      </c>
      <c r="U106" t="s">
        <v>74</v>
      </c>
      <c r="V106" t="s">
        <v>2261</v>
      </c>
      <c r="W106" t="s">
        <v>2262</v>
      </c>
      <c r="X106" t="s">
        <v>84</v>
      </c>
      <c r="Y106" t="s">
        <v>2263</v>
      </c>
      <c r="Z106" t="s">
        <v>2264</v>
      </c>
      <c r="AA106" t="s">
        <v>74</v>
      </c>
      <c r="AB106" t="s">
        <v>74</v>
      </c>
      <c r="AC106" t="s">
        <v>74</v>
      </c>
      <c r="AD106" t="s">
        <v>74</v>
      </c>
      <c r="AE106" t="s">
        <v>74</v>
      </c>
      <c r="AF106" t="s">
        <v>74</v>
      </c>
      <c r="AG106">
        <v>43</v>
      </c>
      <c r="AH106">
        <v>0</v>
      </c>
      <c r="AI106">
        <v>0</v>
      </c>
      <c r="AJ106">
        <v>2</v>
      </c>
      <c r="AK106">
        <v>2</v>
      </c>
      <c r="AL106" t="s">
        <v>2265</v>
      </c>
      <c r="AM106" t="s">
        <v>1803</v>
      </c>
      <c r="AN106" t="s">
        <v>2266</v>
      </c>
      <c r="AO106" t="s">
        <v>2267</v>
      </c>
      <c r="AP106" t="s">
        <v>2268</v>
      </c>
      <c r="AQ106" t="s">
        <v>74</v>
      </c>
      <c r="AR106" t="s">
        <v>2259</v>
      </c>
      <c r="AS106" t="s">
        <v>2259</v>
      </c>
      <c r="AT106" t="s">
        <v>1398</v>
      </c>
      <c r="AU106">
        <v>2022</v>
      </c>
      <c r="AV106">
        <v>18</v>
      </c>
      <c r="AW106">
        <v>2</v>
      </c>
      <c r="AX106" t="s">
        <v>74</v>
      </c>
      <c r="AY106" t="s">
        <v>74</v>
      </c>
      <c r="AZ106" t="s">
        <v>74</v>
      </c>
      <c r="BA106" t="s">
        <v>74</v>
      </c>
      <c r="BB106" t="s">
        <v>74</v>
      </c>
      <c r="BC106" t="s">
        <v>74</v>
      </c>
      <c r="BD106" t="s">
        <v>74</v>
      </c>
      <c r="BE106" t="s">
        <v>2269</v>
      </c>
      <c r="BF106" t="str">
        <f>HYPERLINK("http://dx.doi.org/10.17981/ingecuc.18.2.2022.14","http://dx.doi.org/10.17981/ingecuc.18.2.2022.14")</f>
        <v>http://dx.doi.org/10.17981/ingecuc.18.2.2022.14</v>
      </c>
      <c r="BG106" t="s">
        <v>74</v>
      </c>
      <c r="BH106" t="s">
        <v>74</v>
      </c>
      <c r="BI106">
        <v>13</v>
      </c>
      <c r="BJ106" t="s">
        <v>308</v>
      </c>
      <c r="BK106" t="s">
        <v>180</v>
      </c>
      <c r="BL106" t="s">
        <v>309</v>
      </c>
      <c r="BM106" t="s">
        <v>2270</v>
      </c>
      <c r="BN106" t="s">
        <v>74</v>
      </c>
      <c r="BO106" t="s">
        <v>74</v>
      </c>
      <c r="BP106" t="s">
        <v>74</v>
      </c>
      <c r="BQ106" t="s">
        <v>74</v>
      </c>
      <c r="BR106" t="s">
        <v>104</v>
      </c>
      <c r="BS106" t="s">
        <v>2271</v>
      </c>
      <c r="BT106" t="str">
        <f>HYPERLINK("https%3A%2F%2Fwww.webofscience.com%2Fwos%2Fwoscc%2Ffull-record%2FWOS:000878841200001","View Full Record in Web of Science")</f>
        <v>View Full Record in Web of Science</v>
      </c>
    </row>
    <row r="107" spans="1:72" x14ac:dyDescent="0.25">
      <c r="A107" t="s">
        <v>72</v>
      </c>
      <c r="B107" t="s">
        <v>2272</v>
      </c>
      <c r="C107" t="s">
        <v>74</v>
      </c>
      <c r="D107" t="s">
        <v>74</v>
      </c>
      <c r="E107" t="s">
        <v>74</v>
      </c>
      <c r="F107" t="s">
        <v>2273</v>
      </c>
      <c r="G107" t="s">
        <v>74</v>
      </c>
      <c r="H107" t="s">
        <v>74</v>
      </c>
      <c r="I107" t="s">
        <v>2274</v>
      </c>
      <c r="J107" t="s">
        <v>2275</v>
      </c>
      <c r="K107" t="s">
        <v>74</v>
      </c>
      <c r="L107" t="s">
        <v>74</v>
      </c>
      <c r="M107" t="s">
        <v>78</v>
      </c>
      <c r="N107" t="s">
        <v>79</v>
      </c>
      <c r="O107" t="s">
        <v>74</v>
      </c>
      <c r="P107" t="s">
        <v>74</v>
      </c>
      <c r="Q107" t="s">
        <v>74</v>
      </c>
      <c r="R107" t="s">
        <v>74</v>
      </c>
      <c r="S107" t="s">
        <v>74</v>
      </c>
      <c r="T107" t="s">
        <v>2276</v>
      </c>
      <c r="U107" t="s">
        <v>2277</v>
      </c>
      <c r="V107" t="s">
        <v>2278</v>
      </c>
      <c r="W107" t="s">
        <v>2279</v>
      </c>
      <c r="X107" t="s">
        <v>2280</v>
      </c>
      <c r="Y107" t="s">
        <v>2281</v>
      </c>
      <c r="Z107" t="s">
        <v>2282</v>
      </c>
      <c r="AA107" t="s">
        <v>2283</v>
      </c>
      <c r="AB107" t="s">
        <v>2284</v>
      </c>
      <c r="AC107" t="s">
        <v>2285</v>
      </c>
      <c r="AD107" t="s">
        <v>2286</v>
      </c>
      <c r="AE107" t="s">
        <v>2287</v>
      </c>
      <c r="AF107" t="s">
        <v>74</v>
      </c>
      <c r="AG107">
        <v>33</v>
      </c>
      <c r="AH107">
        <v>0</v>
      </c>
      <c r="AI107">
        <v>0</v>
      </c>
      <c r="AJ107">
        <v>0</v>
      </c>
      <c r="AK107">
        <v>0</v>
      </c>
      <c r="AL107" t="s">
        <v>2288</v>
      </c>
      <c r="AM107" t="s">
        <v>2289</v>
      </c>
      <c r="AN107" t="s">
        <v>2290</v>
      </c>
      <c r="AO107" t="s">
        <v>2291</v>
      </c>
      <c r="AP107" t="s">
        <v>2292</v>
      </c>
      <c r="AQ107" t="s">
        <v>74</v>
      </c>
      <c r="AR107" t="s">
        <v>2293</v>
      </c>
      <c r="AS107" t="s">
        <v>2294</v>
      </c>
      <c r="AT107" t="s">
        <v>2295</v>
      </c>
      <c r="AU107">
        <v>2023</v>
      </c>
      <c r="AV107">
        <v>518</v>
      </c>
      <c r="AW107">
        <v>1</v>
      </c>
      <c r="AX107" t="s">
        <v>74</v>
      </c>
      <c r="AY107" t="s">
        <v>74</v>
      </c>
      <c r="AZ107" t="s">
        <v>74</v>
      </c>
      <c r="BA107" t="s">
        <v>74</v>
      </c>
      <c r="BB107" t="s">
        <v>74</v>
      </c>
      <c r="BC107" t="s">
        <v>74</v>
      </c>
      <c r="BD107">
        <v>126674</v>
      </c>
      <c r="BE107" t="s">
        <v>2296</v>
      </c>
      <c r="BF107" t="str">
        <f>HYPERLINK("http://dx.doi.org/10.1016/j.jmaa.2022.126674","http://dx.doi.org/10.1016/j.jmaa.2022.126674")</f>
        <v>http://dx.doi.org/10.1016/j.jmaa.2022.126674</v>
      </c>
      <c r="BG107" t="s">
        <v>74</v>
      </c>
      <c r="BH107" t="s">
        <v>74</v>
      </c>
      <c r="BI107">
        <v>21</v>
      </c>
      <c r="BJ107" t="s">
        <v>2297</v>
      </c>
      <c r="BK107" t="s">
        <v>101</v>
      </c>
      <c r="BL107" t="s">
        <v>733</v>
      </c>
      <c r="BM107" t="s">
        <v>2298</v>
      </c>
      <c r="BN107" t="s">
        <v>74</v>
      </c>
      <c r="BO107" t="s">
        <v>74</v>
      </c>
      <c r="BP107" t="s">
        <v>74</v>
      </c>
      <c r="BQ107" t="s">
        <v>74</v>
      </c>
      <c r="BR107" t="s">
        <v>104</v>
      </c>
      <c r="BS107" t="s">
        <v>2299</v>
      </c>
      <c r="BT107" t="str">
        <f>HYPERLINK("https%3A%2F%2Fwww.webofscience.com%2Fwos%2Fwoscc%2Ffull-record%2FWOS:000875317100027","View Full Record in Web of Science")</f>
        <v>View Full Record in Web of Science</v>
      </c>
    </row>
    <row r="108" spans="1:72" x14ac:dyDescent="0.25">
      <c r="A108" t="s">
        <v>72</v>
      </c>
      <c r="B108" t="s">
        <v>2300</v>
      </c>
      <c r="C108" t="s">
        <v>74</v>
      </c>
      <c r="D108" t="s">
        <v>74</v>
      </c>
      <c r="E108" t="s">
        <v>74</v>
      </c>
      <c r="F108" t="s">
        <v>2301</v>
      </c>
      <c r="G108" t="s">
        <v>74</v>
      </c>
      <c r="H108" t="s">
        <v>74</v>
      </c>
      <c r="I108" t="s">
        <v>2302</v>
      </c>
      <c r="J108" t="s">
        <v>339</v>
      </c>
      <c r="K108" t="s">
        <v>74</v>
      </c>
      <c r="L108" t="s">
        <v>74</v>
      </c>
      <c r="M108" t="s">
        <v>78</v>
      </c>
      <c r="N108" t="s">
        <v>79</v>
      </c>
      <c r="O108" t="s">
        <v>74</v>
      </c>
      <c r="P108" t="s">
        <v>74</v>
      </c>
      <c r="Q108" t="s">
        <v>74</v>
      </c>
      <c r="R108" t="s">
        <v>74</v>
      </c>
      <c r="S108" t="s">
        <v>74</v>
      </c>
      <c r="T108" t="s">
        <v>2303</v>
      </c>
      <c r="U108" t="s">
        <v>74</v>
      </c>
      <c r="V108" t="s">
        <v>2304</v>
      </c>
      <c r="W108" t="s">
        <v>2305</v>
      </c>
      <c r="X108" t="s">
        <v>84</v>
      </c>
      <c r="Y108" t="s">
        <v>2306</v>
      </c>
      <c r="Z108" t="s">
        <v>345</v>
      </c>
      <c r="AA108" t="s">
        <v>74</v>
      </c>
      <c r="AB108" t="s">
        <v>2307</v>
      </c>
      <c r="AC108" t="s">
        <v>2308</v>
      </c>
      <c r="AD108" t="s">
        <v>2308</v>
      </c>
      <c r="AE108" t="s">
        <v>2309</v>
      </c>
      <c r="AF108" t="s">
        <v>74</v>
      </c>
      <c r="AG108">
        <v>22</v>
      </c>
      <c r="AH108">
        <v>0</v>
      </c>
      <c r="AI108">
        <v>0</v>
      </c>
      <c r="AJ108">
        <v>1</v>
      </c>
      <c r="AK108">
        <v>6</v>
      </c>
      <c r="AL108" t="s">
        <v>146</v>
      </c>
      <c r="AM108" t="s">
        <v>147</v>
      </c>
      <c r="AN108" t="s">
        <v>148</v>
      </c>
      <c r="AO108" t="s">
        <v>349</v>
      </c>
      <c r="AP108" t="s">
        <v>350</v>
      </c>
      <c r="AQ108" t="s">
        <v>74</v>
      </c>
      <c r="AR108" t="s">
        <v>351</v>
      </c>
      <c r="AS108" t="s">
        <v>352</v>
      </c>
      <c r="AT108" t="s">
        <v>124</v>
      </c>
      <c r="AU108">
        <v>2022</v>
      </c>
      <c r="AV108">
        <v>74</v>
      </c>
      <c r="AW108">
        <v>2</v>
      </c>
      <c r="AX108" t="s">
        <v>74</v>
      </c>
      <c r="AY108" t="s">
        <v>74</v>
      </c>
      <c r="AZ108" t="s">
        <v>74</v>
      </c>
      <c r="BA108" t="s">
        <v>74</v>
      </c>
      <c r="BB108">
        <v>347</v>
      </c>
      <c r="BC108">
        <v>355</v>
      </c>
      <c r="BD108" t="s">
        <v>74</v>
      </c>
      <c r="BE108" t="s">
        <v>2310</v>
      </c>
      <c r="BF108" t="str">
        <f>HYPERLINK("http://dx.doi.org/10.1007/s10343-021-00613-y","http://dx.doi.org/10.1007/s10343-021-00613-y")</f>
        <v>http://dx.doi.org/10.1007/s10343-021-00613-y</v>
      </c>
      <c r="BG108" t="s">
        <v>74</v>
      </c>
      <c r="BH108" t="s">
        <v>354</v>
      </c>
      <c r="BI108">
        <v>9</v>
      </c>
      <c r="BJ108" t="s">
        <v>355</v>
      </c>
      <c r="BK108" t="s">
        <v>101</v>
      </c>
      <c r="BL108" t="s">
        <v>155</v>
      </c>
      <c r="BM108" t="s">
        <v>356</v>
      </c>
      <c r="BN108" t="s">
        <v>74</v>
      </c>
      <c r="BO108" t="s">
        <v>74</v>
      </c>
      <c r="BP108" t="s">
        <v>74</v>
      </c>
      <c r="BQ108" t="s">
        <v>74</v>
      </c>
      <c r="BR108" t="s">
        <v>104</v>
      </c>
      <c r="BS108" t="s">
        <v>2311</v>
      </c>
      <c r="BT108" t="str">
        <f>HYPERLINK("https%3A%2F%2Fwww.webofscience.com%2Fwos%2Fwoscc%2Ffull-record%2FWOS:000744857100001","View Full Record in Web of Science")</f>
        <v>View Full Record in Web of Science</v>
      </c>
    </row>
    <row r="109" spans="1:72" x14ac:dyDescent="0.25">
      <c r="A109" t="s">
        <v>72</v>
      </c>
      <c r="B109" t="s">
        <v>2312</v>
      </c>
      <c r="C109" t="s">
        <v>74</v>
      </c>
      <c r="D109" t="s">
        <v>74</v>
      </c>
      <c r="E109" t="s">
        <v>74</v>
      </c>
      <c r="F109" t="s">
        <v>2313</v>
      </c>
      <c r="G109" t="s">
        <v>74</v>
      </c>
      <c r="H109" t="s">
        <v>74</v>
      </c>
      <c r="I109" t="s">
        <v>2314</v>
      </c>
      <c r="J109" t="s">
        <v>2315</v>
      </c>
      <c r="K109" t="s">
        <v>74</v>
      </c>
      <c r="L109" t="s">
        <v>74</v>
      </c>
      <c r="M109" t="s">
        <v>1234</v>
      </c>
      <c r="N109" t="s">
        <v>79</v>
      </c>
      <c r="O109" t="s">
        <v>74</v>
      </c>
      <c r="P109" t="s">
        <v>74</v>
      </c>
      <c r="Q109" t="s">
        <v>74</v>
      </c>
      <c r="R109" t="s">
        <v>74</v>
      </c>
      <c r="S109" t="s">
        <v>74</v>
      </c>
      <c r="T109" t="s">
        <v>2316</v>
      </c>
      <c r="U109" t="s">
        <v>2317</v>
      </c>
      <c r="V109" t="s">
        <v>2318</v>
      </c>
      <c r="W109" t="s">
        <v>2319</v>
      </c>
      <c r="X109" t="s">
        <v>84</v>
      </c>
      <c r="Y109" t="s">
        <v>2320</v>
      </c>
      <c r="Z109" t="s">
        <v>2321</v>
      </c>
      <c r="AA109" t="s">
        <v>74</v>
      </c>
      <c r="AB109" t="s">
        <v>74</v>
      </c>
      <c r="AC109" t="s">
        <v>74</v>
      </c>
      <c r="AD109" t="s">
        <v>74</v>
      </c>
      <c r="AE109" t="s">
        <v>74</v>
      </c>
      <c r="AF109" t="s">
        <v>74</v>
      </c>
      <c r="AG109">
        <v>11</v>
      </c>
      <c r="AH109">
        <v>0</v>
      </c>
      <c r="AI109">
        <v>0</v>
      </c>
      <c r="AJ109">
        <v>1</v>
      </c>
      <c r="AK109">
        <v>1</v>
      </c>
      <c r="AL109" t="s">
        <v>2322</v>
      </c>
      <c r="AM109" t="s">
        <v>2323</v>
      </c>
      <c r="AN109" t="s">
        <v>2324</v>
      </c>
      <c r="AO109" t="s">
        <v>2325</v>
      </c>
      <c r="AP109" t="s">
        <v>74</v>
      </c>
      <c r="AQ109" t="s">
        <v>74</v>
      </c>
      <c r="AR109" t="s">
        <v>2326</v>
      </c>
      <c r="AS109" t="s">
        <v>2327</v>
      </c>
      <c r="AT109" t="s">
        <v>74</v>
      </c>
      <c r="AU109">
        <v>2022</v>
      </c>
      <c r="AV109">
        <v>32</v>
      </c>
      <c r="AW109" t="s">
        <v>74</v>
      </c>
      <c r="AX109" t="s">
        <v>74</v>
      </c>
      <c r="AY109" t="s">
        <v>74</v>
      </c>
      <c r="AZ109" t="s">
        <v>74</v>
      </c>
      <c r="BA109" t="s">
        <v>74</v>
      </c>
      <c r="BB109" t="s">
        <v>74</v>
      </c>
      <c r="BC109" t="s">
        <v>74</v>
      </c>
      <c r="BD109" t="s">
        <v>2328</v>
      </c>
      <c r="BE109" t="s">
        <v>2329</v>
      </c>
      <c r="BF109" t="str">
        <f>HYPERLINK("http://dx.doi.org/10.52973/rcfcy-e32071","http://dx.doi.org/10.52973/rcfcy-e32071")</f>
        <v>http://dx.doi.org/10.52973/rcfcy-e32071</v>
      </c>
      <c r="BG109" t="s">
        <v>74</v>
      </c>
      <c r="BH109" t="s">
        <v>74</v>
      </c>
      <c r="BI109">
        <v>4</v>
      </c>
      <c r="BJ109" t="s">
        <v>1181</v>
      </c>
      <c r="BK109" t="s">
        <v>101</v>
      </c>
      <c r="BL109" t="s">
        <v>1181</v>
      </c>
      <c r="BM109" t="s">
        <v>2330</v>
      </c>
      <c r="BN109" t="s">
        <v>74</v>
      </c>
      <c r="BO109" t="s">
        <v>74</v>
      </c>
      <c r="BP109" t="s">
        <v>74</v>
      </c>
      <c r="BQ109" t="s">
        <v>74</v>
      </c>
      <c r="BR109" t="s">
        <v>104</v>
      </c>
      <c r="BS109" t="s">
        <v>2331</v>
      </c>
      <c r="BT109" t="str">
        <f>HYPERLINK("https%3A%2F%2Fwww.webofscience.com%2Fwos%2Fwoscc%2Ffull-record%2FWOS:000737345300001","View Full Record in Web of Science")</f>
        <v>View Full Record in Web of Science</v>
      </c>
    </row>
    <row r="110" spans="1:72" x14ac:dyDescent="0.25">
      <c r="A110" t="s">
        <v>72</v>
      </c>
      <c r="B110" t="s">
        <v>2332</v>
      </c>
      <c r="C110" t="s">
        <v>74</v>
      </c>
      <c r="D110" t="s">
        <v>74</v>
      </c>
      <c r="E110" t="s">
        <v>74</v>
      </c>
      <c r="F110" t="s">
        <v>2333</v>
      </c>
      <c r="G110" t="s">
        <v>74</v>
      </c>
      <c r="H110" t="s">
        <v>74</v>
      </c>
      <c r="I110" t="s">
        <v>2334</v>
      </c>
      <c r="J110" t="s">
        <v>2013</v>
      </c>
      <c r="K110" t="s">
        <v>74</v>
      </c>
      <c r="L110" t="s">
        <v>74</v>
      </c>
      <c r="M110" t="s">
        <v>78</v>
      </c>
      <c r="N110" t="s">
        <v>79</v>
      </c>
      <c r="O110" t="s">
        <v>74</v>
      </c>
      <c r="P110" t="s">
        <v>74</v>
      </c>
      <c r="Q110" t="s">
        <v>74</v>
      </c>
      <c r="R110" t="s">
        <v>74</v>
      </c>
      <c r="S110" t="s">
        <v>74</v>
      </c>
      <c r="T110" t="s">
        <v>2335</v>
      </c>
      <c r="U110" t="s">
        <v>74</v>
      </c>
      <c r="V110" t="s">
        <v>2336</v>
      </c>
      <c r="W110" t="s">
        <v>2337</v>
      </c>
      <c r="X110" t="s">
        <v>2338</v>
      </c>
      <c r="Y110" t="s">
        <v>2339</v>
      </c>
      <c r="Z110" t="s">
        <v>2340</v>
      </c>
      <c r="AA110" t="s">
        <v>74</v>
      </c>
      <c r="AB110" t="s">
        <v>74</v>
      </c>
      <c r="AC110" t="s">
        <v>74</v>
      </c>
      <c r="AD110" t="s">
        <v>74</v>
      </c>
      <c r="AE110" t="s">
        <v>74</v>
      </c>
      <c r="AF110" t="s">
        <v>74</v>
      </c>
      <c r="AG110">
        <v>40</v>
      </c>
      <c r="AH110">
        <v>0</v>
      </c>
      <c r="AI110">
        <v>0</v>
      </c>
      <c r="AJ110">
        <v>2</v>
      </c>
      <c r="AK110">
        <v>2</v>
      </c>
      <c r="AL110" t="s">
        <v>2020</v>
      </c>
      <c r="AM110" t="s">
        <v>301</v>
      </c>
      <c r="AN110" t="s">
        <v>2021</v>
      </c>
      <c r="AO110" t="s">
        <v>2022</v>
      </c>
      <c r="AP110" t="s">
        <v>2023</v>
      </c>
      <c r="AQ110" t="s">
        <v>74</v>
      </c>
      <c r="AR110" t="s">
        <v>2024</v>
      </c>
      <c r="AS110" t="s">
        <v>2025</v>
      </c>
      <c r="AT110" t="s">
        <v>1398</v>
      </c>
      <c r="AU110">
        <v>2022</v>
      </c>
      <c r="AV110">
        <v>24</v>
      </c>
      <c r="AW110">
        <v>2</v>
      </c>
      <c r="AX110" t="s">
        <v>74</v>
      </c>
      <c r="AY110" t="s">
        <v>74</v>
      </c>
      <c r="AZ110" t="s">
        <v>74</v>
      </c>
      <c r="BA110" t="s">
        <v>74</v>
      </c>
      <c r="BB110">
        <v>187</v>
      </c>
      <c r="BC110">
        <v>202</v>
      </c>
      <c r="BD110" t="s">
        <v>74</v>
      </c>
      <c r="BE110" t="s">
        <v>2341</v>
      </c>
      <c r="BF110" t="str">
        <f>HYPERLINK("http://dx.doi.org/10.14483/22487085.17827","http://dx.doi.org/10.14483/22487085.17827")</f>
        <v>http://dx.doi.org/10.14483/22487085.17827</v>
      </c>
      <c r="BG110" t="s">
        <v>74</v>
      </c>
      <c r="BH110" t="s">
        <v>74</v>
      </c>
      <c r="BI110">
        <v>16</v>
      </c>
      <c r="BJ110" t="s">
        <v>2007</v>
      </c>
      <c r="BK110" t="s">
        <v>180</v>
      </c>
      <c r="BL110" t="s">
        <v>2007</v>
      </c>
      <c r="BM110" t="s">
        <v>2342</v>
      </c>
      <c r="BN110" t="s">
        <v>74</v>
      </c>
      <c r="BO110" t="s">
        <v>183</v>
      </c>
      <c r="BP110" t="s">
        <v>74</v>
      </c>
      <c r="BQ110" t="s">
        <v>74</v>
      </c>
      <c r="BR110" t="s">
        <v>104</v>
      </c>
      <c r="BS110" t="s">
        <v>2343</v>
      </c>
      <c r="BT110" t="str">
        <f>HYPERLINK("https%3A%2F%2Fwww.webofscience.com%2Fwos%2Fwoscc%2Ffull-record%2FWOS:000852046800003","View Full Record in Web of Science")</f>
        <v>View Full Record in Web of Science</v>
      </c>
    </row>
    <row r="111" spans="1:72" x14ac:dyDescent="0.25">
      <c r="A111" t="s">
        <v>72</v>
      </c>
      <c r="B111" t="s">
        <v>2344</v>
      </c>
      <c r="C111" t="s">
        <v>74</v>
      </c>
      <c r="D111" t="s">
        <v>74</v>
      </c>
      <c r="E111" t="s">
        <v>74</v>
      </c>
      <c r="F111" t="s">
        <v>2345</v>
      </c>
      <c r="G111" t="s">
        <v>74</v>
      </c>
      <c r="H111" t="s">
        <v>74</v>
      </c>
      <c r="I111" t="s">
        <v>2346</v>
      </c>
      <c r="J111" t="s">
        <v>2347</v>
      </c>
      <c r="K111" t="s">
        <v>74</v>
      </c>
      <c r="L111" t="s">
        <v>74</v>
      </c>
      <c r="M111" t="s">
        <v>78</v>
      </c>
      <c r="N111" t="s">
        <v>79</v>
      </c>
      <c r="O111" t="s">
        <v>74</v>
      </c>
      <c r="P111" t="s">
        <v>74</v>
      </c>
      <c r="Q111" t="s">
        <v>74</v>
      </c>
      <c r="R111" t="s">
        <v>74</v>
      </c>
      <c r="S111" t="s">
        <v>74</v>
      </c>
      <c r="T111" t="s">
        <v>74</v>
      </c>
      <c r="U111" t="s">
        <v>2348</v>
      </c>
      <c r="V111" t="s">
        <v>2349</v>
      </c>
      <c r="W111" t="s">
        <v>2350</v>
      </c>
      <c r="X111" t="s">
        <v>2351</v>
      </c>
      <c r="Y111" t="s">
        <v>2352</v>
      </c>
      <c r="Z111" t="s">
        <v>74</v>
      </c>
      <c r="AA111" t="s">
        <v>74</v>
      </c>
      <c r="AB111" t="s">
        <v>2353</v>
      </c>
      <c r="AC111" t="s">
        <v>2354</v>
      </c>
      <c r="AD111" t="s">
        <v>2355</v>
      </c>
      <c r="AE111" t="s">
        <v>2356</v>
      </c>
      <c r="AF111" t="s">
        <v>74</v>
      </c>
      <c r="AG111">
        <v>70</v>
      </c>
      <c r="AH111">
        <v>2</v>
      </c>
      <c r="AI111">
        <v>2</v>
      </c>
      <c r="AJ111">
        <v>0</v>
      </c>
      <c r="AK111">
        <v>0</v>
      </c>
      <c r="AL111" t="s">
        <v>2357</v>
      </c>
      <c r="AM111" t="s">
        <v>2358</v>
      </c>
      <c r="AN111" t="s">
        <v>2359</v>
      </c>
      <c r="AO111" t="s">
        <v>2360</v>
      </c>
      <c r="AP111" t="s">
        <v>2361</v>
      </c>
      <c r="AQ111" t="s">
        <v>74</v>
      </c>
      <c r="AR111" t="s">
        <v>2362</v>
      </c>
      <c r="AS111" t="s">
        <v>2363</v>
      </c>
      <c r="AT111" t="s">
        <v>2364</v>
      </c>
      <c r="AU111">
        <v>2022</v>
      </c>
      <c r="AV111">
        <v>105</v>
      </c>
      <c r="AW111">
        <v>9</v>
      </c>
      <c r="AX111" t="s">
        <v>74</v>
      </c>
      <c r="AY111" t="s">
        <v>74</v>
      </c>
      <c r="AZ111" t="s">
        <v>74</v>
      </c>
      <c r="BA111" t="s">
        <v>74</v>
      </c>
      <c r="BB111" t="s">
        <v>74</v>
      </c>
      <c r="BC111" t="s">
        <v>74</v>
      </c>
      <c r="BD111">
        <v>95026</v>
      </c>
      <c r="BE111" t="s">
        <v>2365</v>
      </c>
      <c r="BF111" t="str">
        <f>HYPERLINK("http://dx.doi.org/10.1103/PhysRevD.105.095026","http://dx.doi.org/10.1103/PhysRevD.105.095026")</f>
        <v>http://dx.doi.org/10.1103/PhysRevD.105.095026</v>
      </c>
      <c r="BG111" t="s">
        <v>74</v>
      </c>
      <c r="BH111" t="s">
        <v>74</v>
      </c>
      <c r="BI111">
        <v>19</v>
      </c>
      <c r="BJ111" t="s">
        <v>2366</v>
      </c>
      <c r="BK111" t="s">
        <v>101</v>
      </c>
      <c r="BL111" t="s">
        <v>2367</v>
      </c>
      <c r="BM111" t="s">
        <v>2368</v>
      </c>
      <c r="BN111" t="s">
        <v>74</v>
      </c>
      <c r="BO111" t="s">
        <v>2369</v>
      </c>
      <c r="BP111" t="s">
        <v>74</v>
      </c>
      <c r="BQ111" t="s">
        <v>74</v>
      </c>
      <c r="BR111" t="s">
        <v>104</v>
      </c>
      <c r="BS111" t="s">
        <v>2370</v>
      </c>
      <c r="BT111" t="str">
        <f>HYPERLINK("https%3A%2F%2Fwww.webofscience.com%2Fwos%2Fwoscc%2Ffull-record%2FWOS:000807778600002","View Full Record in Web of Science")</f>
        <v>View Full Record in Web of Science</v>
      </c>
    </row>
    <row r="112" spans="1:72" x14ac:dyDescent="0.25">
      <c r="A112" t="s">
        <v>72</v>
      </c>
      <c r="B112" t="s">
        <v>2371</v>
      </c>
      <c r="C112" t="s">
        <v>74</v>
      </c>
      <c r="D112" t="s">
        <v>74</v>
      </c>
      <c r="E112" t="s">
        <v>74</v>
      </c>
      <c r="F112" t="s">
        <v>2372</v>
      </c>
      <c r="G112" t="s">
        <v>74</v>
      </c>
      <c r="H112" t="s">
        <v>74</v>
      </c>
      <c r="I112" t="s">
        <v>2373</v>
      </c>
      <c r="J112" t="s">
        <v>2374</v>
      </c>
      <c r="K112" t="s">
        <v>74</v>
      </c>
      <c r="L112" t="s">
        <v>74</v>
      </c>
      <c r="M112" t="s">
        <v>78</v>
      </c>
      <c r="N112" t="s">
        <v>2375</v>
      </c>
      <c r="O112" t="s">
        <v>74</v>
      </c>
      <c r="P112" t="s">
        <v>74</v>
      </c>
      <c r="Q112" t="s">
        <v>74</v>
      </c>
      <c r="R112" t="s">
        <v>74</v>
      </c>
      <c r="S112" t="s">
        <v>74</v>
      </c>
      <c r="T112" t="s">
        <v>2376</v>
      </c>
      <c r="U112" t="s">
        <v>2377</v>
      </c>
      <c r="V112" t="s">
        <v>2378</v>
      </c>
      <c r="W112" t="s">
        <v>2379</v>
      </c>
      <c r="X112" t="s">
        <v>2380</v>
      </c>
      <c r="Y112" t="s">
        <v>2381</v>
      </c>
      <c r="Z112" t="s">
        <v>2382</v>
      </c>
      <c r="AA112" t="s">
        <v>2383</v>
      </c>
      <c r="AB112" t="s">
        <v>2384</v>
      </c>
      <c r="AC112" t="s">
        <v>2385</v>
      </c>
      <c r="AD112" t="s">
        <v>2386</v>
      </c>
      <c r="AE112" t="s">
        <v>2387</v>
      </c>
      <c r="AF112" t="s">
        <v>74</v>
      </c>
      <c r="AG112">
        <v>86</v>
      </c>
      <c r="AH112">
        <v>0</v>
      </c>
      <c r="AI112">
        <v>0</v>
      </c>
      <c r="AJ112">
        <v>7</v>
      </c>
      <c r="AK112">
        <v>8</v>
      </c>
      <c r="AL112" t="s">
        <v>2388</v>
      </c>
      <c r="AM112" t="s">
        <v>614</v>
      </c>
      <c r="AN112" t="s">
        <v>2389</v>
      </c>
      <c r="AO112" t="s">
        <v>2390</v>
      </c>
      <c r="AP112" t="s">
        <v>2391</v>
      </c>
      <c r="AQ112" t="s">
        <v>74</v>
      </c>
      <c r="AR112" t="s">
        <v>2392</v>
      </c>
      <c r="AS112" t="s">
        <v>2393</v>
      </c>
      <c r="AT112" t="s">
        <v>74</v>
      </c>
      <c r="AU112" t="s">
        <v>74</v>
      </c>
      <c r="AV112" t="s">
        <v>74</v>
      </c>
      <c r="AW112" t="s">
        <v>74</v>
      </c>
      <c r="AX112" t="s">
        <v>74</v>
      </c>
      <c r="AY112" t="s">
        <v>74</v>
      </c>
      <c r="AZ112" t="s">
        <v>74</v>
      </c>
      <c r="BA112" t="s">
        <v>74</v>
      </c>
      <c r="BB112" t="s">
        <v>74</v>
      </c>
      <c r="BC112" t="s">
        <v>74</v>
      </c>
      <c r="BD112" t="s">
        <v>74</v>
      </c>
      <c r="BE112" t="s">
        <v>2394</v>
      </c>
      <c r="BF112" t="str">
        <f>HYPERLINK("http://dx.doi.org/10.1080/02508281.2022.2072653","http://dx.doi.org/10.1080/02508281.2022.2072653")</f>
        <v>http://dx.doi.org/10.1080/02508281.2022.2072653</v>
      </c>
      <c r="BG112" t="s">
        <v>74</v>
      </c>
      <c r="BH112" t="s">
        <v>492</v>
      </c>
      <c r="BI112">
        <v>17</v>
      </c>
      <c r="BJ112" t="s">
        <v>1563</v>
      </c>
      <c r="BK112" t="s">
        <v>180</v>
      </c>
      <c r="BL112" t="s">
        <v>1421</v>
      </c>
      <c r="BM112" t="s">
        <v>2395</v>
      </c>
      <c r="BN112" t="s">
        <v>74</v>
      </c>
      <c r="BO112" t="s">
        <v>74</v>
      </c>
      <c r="BP112" t="s">
        <v>74</v>
      </c>
      <c r="BQ112" t="s">
        <v>74</v>
      </c>
      <c r="BR112" t="s">
        <v>104</v>
      </c>
      <c r="BS112" t="s">
        <v>2396</v>
      </c>
      <c r="BT112" t="str">
        <f>HYPERLINK("https%3A%2F%2Fwww.webofscience.com%2Fwos%2Fwoscc%2Ffull-record%2FWOS:000815399000001","View Full Record in Web of Science")</f>
        <v>View Full Record in Web of Science</v>
      </c>
    </row>
    <row r="113" spans="1:72" x14ac:dyDescent="0.25">
      <c r="A113" t="s">
        <v>72</v>
      </c>
      <c r="B113" t="s">
        <v>2397</v>
      </c>
      <c r="C113" t="s">
        <v>74</v>
      </c>
      <c r="D113" t="s">
        <v>74</v>
      </c>
      <c r="E113" t="s">
        <v>74</v>
      </c>
      <c r="F113" t="s">
        <v>2398</v>
      </c>
      <c r="G113" t="s">
        <v>74</v>
      </c>
      <c r="H113" t="s">
        <v>74</v>
      </c>
      <c r="I113" t="s">
        <v>2399</v>
      </c>
      <c r="J113" t="s">
        <v>2400</v>
      </c>
      <c r="K113" t="s">
        <v>74</v>
      </c>
      <c r="L113" t="s">
        <v>74</v>
      </c>
      <c r="M113" t="s">
        <v>78</v>
      </c>
      <c r="N113" t="s">
        <v>2375</v>
      </c>
      <c r="O113" t="s">
        <v>74</v>
      </c>
      <c r="P113" t="s">
        <v>74</v>
      </c>
      <c r="Q113" t="s">
        <v>74</v>
      </c>
      <c r="R113" t="s">
        <v>74</v>
      </c>
      <c r="S113" t="s">
        <v>74</v>
      </c>
      <c r="T113" t="s">
        <v>2401</v>
      </c>
      <c r="U113" t="s">
        <v>2402</v>
      </c>
      <c r="V113" t="s">
        <v>2403</v>
      </c>
      <c r="W113" t="s">
        <v>2404</v>
      </c>
      <c r="X113" t="s">
        <v>2405</v>
      </c>
      <c r="Y113" t="s">
        <v>2406</v>
      </c>
      <c r="Z113" t="s">
        <v>2407</v>
      </c>
      <c r="AA113" t="s">
        <v>2408</v>
      </c>
      <c r="AB113" t="s">
        <v>2409</v>
      </c>
      <c r="AC113" t="s">
        <v>2410</v>
      </c>
      <c r="AD113" t="s">
        <v>2410</v>
      </c>
      <c r="AE113" t="s">
        <v>2411</v>
      </c>
      <c r="AF113" t="s">
        <v>74</v>
      </c>
      <c r="AG113">
        <v>139</v>
      </c>
      <c r="AH113">
        <v>0</v>
      </c>
      <c r="AI113">
        <v>0</v>
      </c>
      <c r="AJ113">
        <v>16</v>
      </c>
      <c r="AK113">
        <v>16</v>
      </c>
      <c r="AL113" t="s">
        <v>225</v>
      </c>
      <c r="AM113" t="s">
        <v>226</v>
      </c>
      <c r="AN113" t="s">
        <v>227</v>
      </c>
      <c r="AO113" t="s">
        <v>2412</v>
      </c>
      <c r="AP113" t="s">
        <v>2413</v>
      </c>
      <c r="AQ113" t="s">
        <v>74</v>
      </c>
      <c r="AR113" t="s">
        <v>2414</v>
      </c>
      <c r="AS113" t="s">
        <v>2415</v>
      </c>
      <c r="AT113" t="s">
        <v>74</v>
      </c>
      <c r="AU113" t="s">
        <v>74</v>
      </c>
      <c r="AV113" t="s">
        <v>74</v>
      </c>
      <c r="AW113" t="s">
        <v>74</v>
      </c>
      <c r="AX113" t="s">
        <v>74</v>
      </c>
      <c r="AY113" t="s">
        <v>74</v>
      </c>
      <c r="AZ113" t="s">
        <v>74</v>
      </c>
      <c r="BA113" t="s">
        <v>74</v>
      </c>
      <c r="BB113" t="s">
        <v>74</v>
      </c>
      <c r="BC113" t="s">
        <v>74</v>
      </c>
      <c r="BD113" t="s">
        <v>74</v>
      </c>
      <c r="BE113" t="s">
        <v>2416</v>
      </c>
      <c r="BF113" t="str">
        <f>HYPERLINK("http://dx.doi.org/10.1007/s13399-022-03535-5","http://dx.doi.org/10.1007/s13399-022-03535-5")</f>
        <v>http://dx.doi.org/10.1007/s13399-022-03535-5</v>
      </c>
      <c r="BG113" t="s">
        <v>74</v>
      </c>
      <c r="BH113" t="s">
        <v>832</v>
      </c>
      <c r="BI113">
        <v>19</v>
      </c>
      <c r="BJ113" t="s">
        <v>2417</v>
      </c>
      <c r="BK113" t="s">
        <v>101</v>
      </c>
      <c r="BL113" t="s">
        <v>2418</v>
      </c>
      <c r="BM113" t="s">
        <v>2419</v>
      </c>
      <c r="BN113" t="s">
        <v>74</v>
      </c>
      <c r="BO113" t="s">
        <v>74</v>
      </c>
      <c r="BP113" t="s">
        <v>74</v>
      </c>
      <c r="BQ113" t="s">
        <v>74</v>
      </c>
      <c r="BR113" t="s">
        <v>104</v>
      </c>
      <c r="BS113" t="s">
        <v>2420</v>
      </c>
      <c r="BT113" t="str">
        <f>HYPERLINK("https%3A%2F%2Fwww.webofscience.com%2Fwos%2Fwoscc%2Ffull-record%2FWOS:000881906800001","View Full Record in Web of Science")</f>
        <v>View Full Record in Web of Science</v>
      </c>
    </row>
    <row r="114" spans="1:72" x14ac:dyDescent="0.25">
      <c r="A114" t="s">
        <v>72</v>
      </c>
      <c r="B114" t="s">
        <v>2421</v>
      </c>
      <c r="C114" t="s">
        <v>74</v>
      </c>
      <c r="D114" t="s">
        <v>74</v>
      </c>
      <c r="E114" t="s">
        <v>74</v>
      </c>
      <c r="F114" t="s">
        <v>2422</v>
      </c>
      <c r="G114" t="s">
        <v>74</v>
      </c>
      <c r="H114" t="s">
        <v>74</v>
      </c>
      <c r="I114" t="s">
        <v>2423</v>
      </c>
      <c r="J114" t="s">
        <v>2424</v>
      </c>
      <c r="K114" t="s">
        <v>74</v>
      </c>
      <c r="L114" t="s">
        <v>74</v>
      </c>
      <c r="M114" t="s">
        <v>1234</v>
      </c>
      <c r="N114" t="s">
        <v>79</v>
      </c>
      <c r="O114" t="s">
        <v>74</v>
      </c>
      <c r="P114" t="s">
        <v>74</v>
      </c>
      <c r="Q114" t="s">
        <v>74</v>
      </c>
      <c r="R114" t="s">
        <v>74</v>
      </c>
      <c r="S114" t="s">
        <v>74</v>
      </c>
      <c r="T114" t="s">
        <v>2425</v>
      </c>
      <c r="U114" t="s">
        <v>74</v>
      </c>
      <c r="V114" t="s">
        <v>2426</v>
      </c>
      <c r="W114" t="s">
        <v>2427</v>
      </c>
      <c r="X114" t="s">
        <v>2428</v>
      </c>
      <c r="Y114" t="s">
        <v>2429</v>
      </c>
      <c r="Z114" t="s">
        <v>2430</v>
      </c>
      <c r="AA114" t="s">
        <v>74</v>
      </c>
      <c r="AB114" t="s">
        <v>74</v>
      </c>
      <c r="AC114" t="s">
        <v>74</v>
      </c>
      <c r="AD114" t="s">
        <v>74</v>
      </c>
      <c r="AE114" t="s">
        <v>74</v>
      </c>
      <c r="AF114" t="s">
        <v>74</v>
      </c>
      <c r="AG114">
        <v>20</v>
      </c>
      <c r="AH114">
        <v>0</v>
      </c>
      <c r="AI114">
        <v>0</v>
      </c>
      <c r="AJ114">
        <v>3</v>
      </c>
      <c r="AK114">
        <v>3</v>
      </c>
      <c r="AL114" t="s">
        <v>1515</v>
      </c>
      <c r="AM114" t="s">
        <v>1392</v>
      </c>
      <c r="AN114" t="s">
        <v>1516</v>
      </c>
      <c r="AO114" t="s">
        <v>2431</v>
      </c>
      <c r="AP114" t="s">
        <v>2432</v>
      </c>
      <c r="AQ114" t="s">
        <v>74</v>
      </c>
      <c r="AR114" t="s">
        <v>2433</v>
      </c>
      <c r="AS114" t="s">
        <v>2434</v>
      </c>
      <c r="AT114" t="s">
        <v>1398</v>
      </c>
      <c r="AU114">
        <v>2022</v>
      </c>
      <c r="AV114" t="s">
        <v>74</v>
      </c>
      <c r="AW114">
        <v>25</v>
      </c>
      <c r="AX114" t="s">
        <v>74</v>
      </c>
      <c r="AY114" t="s">
        <v>74</v>
      </c>
      <c r="AZ114" t="s">
        <v>74</v>
      </c>
      <c r="BA114" t="s">
        <v>74</v>
      </c>
      <c r="BB114">
        <v>345</v>
      </c>
      <c r="BC114">
        <v>381</v>
      </c>
      <c r="BD114" t="s">
        <v>74</v>
      </c>
      <c r="BE114" t="s">
        <v>2435</v>
      </c>
      <c r="BF114" t="str">
        <f>HYPERLINK("http://dx.doi.org/10.19053/20275137.n25.2022.14542","http://dx.doi.org/10.19053/20275137.n25.2022.14542")</f>
        <v>http://dx.doi.org/10.19053/20275137.n25.2022.14542</v>
      </c>
      <c r="BG114" t="s">
        <v>74</v>
      </c>
      <c r="BH114" t="s">
        <v>74</v>
      </c>
      <c r="BI114">
        <v>37</v>
      </c>
      <c r="BJ114" t="s">
        <v>1459</v>
      </c>
      <c r="BK114" t="s">
        <v>180</v>
      </c>
      <c r="BL114" t="s">
        <v>1459</v>
      </c>
      <c r="BM114" t="s">
        <v>2436</v>
      </c>
      <c r="BN114" t="s">
        <v>74</v>
      </c>
      <c r="BO114" t="s">
        <v>383</v>
      </c>
      <c r="BP114" t="s">
        <v>74</v>
      </c>
      <c r="BQ114" t="s">
        <v>74</v>
      </c>
      <c r="BR114" t="s">
        <v>104</v>
      </c>
      <c r="BS114" t="s">
        <v>2437</v>
      </c>
      <c r="BT114" t="str">
        <f>HYPERLINK("https%3A%2F%2Fwww.webofscience.com%2Fwos%2Fwoscc%2Ffull-record%2FWOS:000864735500010","View Full Record in Web of Science")</f>
        <v>View Full Record in Web of Science</v>
      </c>
    </row>
    <row r="115" spans="1:72" x14ac:dyDescent="0.25">
      <c r="A115" t="s">
        <v>72</v>
      </c>
      <c r="B115" t="s">
        <v>2438</v>
      </c>
      <c r="C115" t="s">
        <v>74</v>
      </c>
      <c r="D115" t="s">
        <v>74</v>
      </c>
      <c r="E115" t="s">
        <v>74</v>
      </c>
      <c r="F115" t="s">
        <v>2439</v>
      </c>
      <c r="G115" t="s">
        <v>74</v>
      </c>
      <c r="H115" t="s">
        <v>74</v>
      </c>
      <c r="I115" t="s">
        <v>2440</v>
      </c>
      <c r="J115" t="s">
        <v>2441</v>
      </c>
      <c r="K115" t="s">
        <v>74</v>
      </c>
      <c r="L115" t="s">
        <v>74</v>
      </c>
      <c r="M115" t="s">
        <v>78</v>
      </c>
      <c r="N115" t="s">
        <v>79</v>
      </c>
      <c r="O115" t="s">
        <v>74</v>
      </c>
      <c r="P115" t="s">
        <v>74</v>
      </c>
      <c r="Q115" t="s">
        <v>74</v>
      </c>
      <c r="R115" t="s">
        <v>74</v>
      </c>
      <c r="S115" t="s">
        <v>74</v>
      </c>
      <c r="T115" t="s">
        <v>2442</v>
      </c>
      <c r="U115" t="s">
        <v>74</v>
      </c>
      <c r="V115" t="s">
        <v>2443</v>
      </c>
      <c r="W115" t="s">
        <v>2444</v>
      </c>
      <c r="X115" t="s">
        <v>2445</v>
      </c>
      <c r="Y115" t="s">
        <v>2446</v>
      </c>
      <c r="Z115" t="s">
        <v>2447</v>
      </c>
      <c r="AA115" t="s">
        <v>74</v>
      </c>
      <c r="AB115" t="s">
        <v>2448</v>
      </c>
      <c r="AC115" t="s">
        <v>2449</v>
      </c>
      <c r="AD115" t="s">
        <v>2450</v>
      </c>
      <c r="AE115" t="s">
        <v>2451</v>
      </c>
      <c r="AF115" t="s">
        <v>74</v>
      </c>
      <c r="AG115">
        <v>24</v>
      </c>
      <c r="AH115">
        <v>0</v>
      </c>
      <c r="AI115">
        <v>0</v>
      </c>
      <c r="AJ115">
        <v>0</v>
      </c>
      <c r="AK115">
        <v>0</v>
      </c>
      <c r="AL115" t="s">
        <v>92</v>
      </c>
      <c r="AM115" t="s">
        <v>93</v>
      </c>
      <c r="AN115" t="s">
        <v>94</v>
      </c>
      <c r="AO115" t="s">
        <v>74</v>
      </c>
      <c r="AP115" t="s">
        <v>2452</v>
      </c>
      <c r="AQ115" t="s">
        <v>74</v>
      </c>
      <c r="AR115" t="s">
        <v>2441</v>
      </c>
      <c r="AS115" t="s">
        <v>2453</v>
      </c>
      <c r="AT115" t="s">
        <v>416</v>
      </c>
      <c r="AU115">
        <v>2022</v>
      </c>
      <c r="AV115">
        <v>10</v>
      </c>
      <c r="AW115">
        <v>9</v>
      </c>
      <c r="AX115" t="s">
        <v>74</v>
      </c>
      <c r="AY115" t="s">
        <v>74</v>
      </c>
      <c r="AZ115" t="s">
        <v>74</v>
      </c>
      <c r="BA115" t="s">
        <v>74</v>
      </c>
      <c r="BB115" t="s">
        <v>74</v>
      </c>
      <c r="BC115" t="s">
        <v>74</v>
      </c>
      <c r="BD115">
        <v>164</v>
      </c>
      <c r="BE115" t="s">
        <v>2454</v>
      </c>
      <c r="BF115" t="str">
        <f>HYPERLINK("http://dx.doi.org/10.3390/computation10090164","http://dx.doi.org/10.3390/computation10090164")</f>
        <v>http://dx.doi.org/10.3390/computation10090164</v>
      </c>
      <c r="BG115" t="s">
        <v>74</v>
      </c>
      <c r="BH115" t="s">
        <v>74</v>
      </c>
      <c r="BI115">
        <v>31</v>
      </c>
      <c r="BJ115" t="s">
        <v>2455</v>
      </c>
      <c r="BK115" t="s">
        <v>180</v>
      </c>
      <c r="BL115" t="s">
        <v>733</v>
      </c>
      <c r="BM115" t="s">
        <v>2456</v>
      </c>
      <c r="BN115" t="s">
        <v>74</v>
      </c>
      <c r="BO115" t="s">
        <v>183</v>
      </c>
      <c r="BP115" t="s">
        <v>74</v>
      </c>
      <c r="BQ115" t="s">
        <v>74</v>
      </c>
      <c r="BR115" t="s">
        <v>104</v>
      </c>
      <c r="BS115" t="s">
        <v>2457</v>
      </c>
      <c r="BT115" t="str">
        <f>HYPERLINK("https%3A%2F%2Fwww.webofscience.com%2Fwos%2Fwoscc%2Ffull-record%2FWOS:000858103200001","View Full Record in Web of Science")</f>
        <v>View Full Record in Web of Science</v>
      </c>
    </row>
    <row r="116" spans="1:72" x14ac:dyDescent="0.25">
      <c r="A116" t="s">
        <v>72</v>
      </c>
      <c r="B116" t="s">
        <v>2458</v>
      </c>
      <c r="C116" t="s">
        <v>74</v>
      </c>
      <c r="D116" t="s">
        <v>74</v>
      </c>
      <c r="E116" t="s">
        <v>74</v>
      </c>
      <c r="F116" t="s">
        <v>2459</v>
      </c>
      <c r="G116" t="s">
        <v>74</v>
      </c>
      <c r="H116" t="s">
        <v>74</v>
      </c>
      <c r="I116" t="s">
        <v>2460</v>
      </c>
      <c r="J116" t="s">
        <v>2461</v>
      </c>
      <c r="K116" t="s">
        <v>74</v>
      </c>
      <c r="L116" t="s">
        <v>74</v>
      </c>
      <c r="M116" t="s">
        <v>1234</v>
      </c>
      <c r="N116" t="s">
        <v>79</v>
      </c>
      <c r="O116" t="s">
        <v>74</v>
      </c>
      <c r="P116" t="s">
        <v>74</v>
      </c>
      <c r="Q116" t="s">
        <v>74</v>
      </c>
      <c r="R116" t="s">
        <v>74</v>
      </c>
      <c r="S116" t="s">
        <v>74</v>
      </c>
      <c r="T116" t="s">
        <v>2462</v>
      </c>
      <c r="U116" t="s">
        <v>74</v>
      </c>
      <c r="V116" t="s">
        <v>2463</v>
      </c>
      <c r="W116" t="s">
        <v>2464</v>
      </c>
      <c r="X116" t="s">
        <v>2465</v>
      </c>
      <c r="Y116" t="s">
        <v>2466</v>
      </c>
      <c r="Z116" t="s">
        <v>2467</v>
      </c>
      <c r="AA116" t="s">
        <v>74</v>
      </c>
      <c r="AB116" t="s">
        <v>74</v>
      </c>
      <c r="AC116" t="s">
        <v>74</v>
      </c>
      <c r="AD116" t="s">
        <v>74</v>
      </c>
      <c r="AE116" t="s">
        <v>74</v>
      </c>
      <c r="AF116" t="s">
        <v>74</v>
      </c>
      <c r="AG116">
        <v>41</v>
      </c>
      <c r="AH116">
        <v>0</v>
      </c>
      <c r="AI116">
        <v>0</v>
      </c>
      <c r="AJ116">
        <v>0</v>
      </c>
      <c r="AK116">
        <v>0</v>
      </c>
      <c r="AL116" t="s">
        <v>2468</v>
      </c>
      <c r="AM116" t="s">
        <v>301</v>
      </c>
      <c r="AN116" t="s">
        <v>2469</v>
      </c>
      <c r="AO116" t="s">
        <v>2470</v>
      </c>
      <c r="AP116" t="s">
        <v>2471</v>
      </c>
      <c r="AQ116" t="s">
        <v>74</v>
      </c>
      <c r="AR116" t="s">
        <v>2472</v>
      </c>
      <c r="AS116" t="s">
        <v>2473</v>
      </c>
      <c r="AT116" t="s">
        <v>1295</v>
      </c>
      <c r="AU116">
        <v>2023</v>
      </c>
      <c r="AV116">
        <v>20</v>
      </c>
      <c r="AW116">
        <v>39</v>
      </c>
      <c r="AX116" t="s">
        <v>74</v>
      </c>
      <c r="AY116" t="s">
        <v>74</v>
      </c>
      <c r="AZ116" t="s">
        <v>74</v>
      </c>
      <c r="BA116" t="s">
        <v>74</v>
      </c>
      <c r="BB116" t="s">
        <v>74</v>
      </c>
      <c r="BC116" t="s">
        <v>74</v>
      </c>
      <c r="BD116" t="s">
        <v>74</v>
      </c>
      <c r="BE116" t="s">
        <v>74</v>
      </c>
      <c r="BF116" t="s">
        <v>74</v>
      </c>
      <c r="BG116" t="s">
        <v>74</v>
      </c>
      <c r="BH116" t="s">
        <v>74</v>
      </c>
      <c r="BI116">
        <v>23</v>
      </c>
      <c r="BJ116" t="s">
        <v>2474</v>
      </c>
      <c r="BK116" t="s">
        <v>180</v>
      </c>
      <c r="BL116" t="s">
        <v>2474</v>
      </c>
      <c r="BM116" t="s">
        <v>2475</v>
      </c>
      <c r="BN116" t="s">
        <v>74</v>
      </c>
      <c r="BO116" t="s">
        <v>74</v>
      </c>
      <c r="BP116" t="s">
        <v>74</v>
      </c>
      <c r="BQ116" t="s">
        <v>74</v>
      </c>
      <c r="BR116" t="s">
        <v>104</v>
      </c>
      <c r="BS116" t="s">
        <v>2476</v>
      </c>
      <c r="BT116" t="str">
        <f>HYPERLINK("https%3A%2F%2Fwww.webofscience.com%2Fwos%2Fwoscc%2Ffull-record%2FWOS:000893117600002","View Full Record in Web of Science")</f>
        <v>View Full Record in Web of Science</v>
      </c>
    </row>
    <row r="117" spans="1:72" x14ac:dyDescent="0.25">
      <c r="A117" t="s">
        <v>72</v>
      </c>
      <c r="B117" t="s">
        <v>2477</v>
      </c>
      <c r="C117" t="s">
        <v>74</v>
      </c>
      <c r="D117" t="s">
        <v>74</v>
      </c>
      <c r="E117" t="s">
        <v>74</v>
      </c>
      <c r="F117" t="s">
        <v>2478</v>
      </c>
      <c r="G117" t="s">
        <v>74</v>
      </c>
      <c r="H117" t="s">
        <v>74</v>
      </c>
      <c r="I117" t="s">
        <v>2479</v>
      </c>
      <c r="J117" t="s">
        <v>361</v>
      </c>
      <c r="K117" t="s">
        <v>74</v>
      </c>
      <c r="L117" t="s">
        <v>74</v>
      </c>
      <c r="M117" t="s">
        <v>78</v>
      </c>
      <c r="N117" t="s">
        <v>79</v>
      </c>
      <c r="O117" t="s">
        <v>74</v>
      </c>
      <c r="P117" t="s">
        <v>74</v>
      </c>
      <c r="Q117" t="s">
        <v>74</v>
      </c>
      <c r="R117" t="s">
        <v>74</v>
      </c>
      <c r="S117" t="s">
        <v>74</v>
      </c>
      <c r="T117" t="s">
        <v>2480</v>
      </c>
      <c r="U117" t="s">
        <v>2481</v>
      </c>
      <c r="V117" t="s">
        <v>2482</v>
      </c>
      <c r="W117" t="s">
        <v>2483</v>
      </c>
      <c r="X117" t="s">
        <v>2484</v>
      </c>
      <c r="Y117" t="s">
        <v>2485</v>
      </c>
      <c r="Z117" t="s">
        <v>2486</v>
      </c>
      <c r="AA117" t="s">
        <v>2487</v>
      </c>
      <c r="AB117" t="s">
        <v>2488</v>
      </c>
      <c r="AC117" t="s">
        <v>2489</v>
      </c>
      <c r="AD117" t="s">
        <v>74</v>
      </c>
      <c r="AE117" t="s">
        <v>2490</v>
      </c>
      <c r="AF117" t="s">
        <v>74</v>
      </c>
      <c r="AG117">
        <v>20</v>
      </c>
      <c r="AH117">
        <v>0</v>
      </c>
      <c r="AI117">
        <v>0</v>
      </c>
      <c r="AJ117">
        <v>1</v>
      </c>
      <c r="AK117">
        <v>2</v>
      </c>
      <c r="AL117" t="s">
        <v>373</v>
      </c>
      <c r="AM117" t="s">
        <v>374</v>
      </c>
      <c r="AN117" t="s">
        <v>375</v>
      </c>
      <c r="AO117" t="s">
        <v>376</v>
      </c>
      <c r="AP117" t="s">
        <v>377</v>
      </c>
      <c r="AQ117" t="s">
        <v>74</v>
      </c>
      <c r="AR117" t="s">
        <v>378</v>
      </c>
      <c r="AS117" t="s">
        <v>379</v>
      </c>
      <c r="AT117" t="s">
        <v>2491</v>
      </c>
      <c r="AU117">
        <v>2022</v>
      </c>
      <c r="AV117" t="s">
        <v>74</v>
      </c>
      <c r="AW117">
        <v>104</v>
      </c>
      <c r="AX117" t="s">
        <v>74</v>
      </c>
      <c r="AY117" t="s">
        <v>74</v>
      </c>
      <c r="AZ117" t="s">
        <v>74</v>
      </c>
      <c r="BA117" t="s">
        <v>74</v>
      </c>
      <c r="BB117">
        <v>9</v>
      </c>
      <c r="BC117">
        <v>19</v>
      </c>
      <c r="BD117" t="s">
        <v>74</v>
      </c>
      <c r="BE117" t="s">
        <v>2492</v>
      </c>
      <c r="BF117" t="str">
        <f>HYPERLINK("http://dx.doi.org/10.17533/udea.redin.20210739","http://dx.doi.org/10.17533/udea.redin.20210739")</f>
        <v>http://dx.doi.org/10.17533/udea.redin.20210739</v>
      </c>
      <c r="BG117" t="s">
        <v>74</v>
      </c>
      <c r="BH117" t="s">
        <v>74</v>
      </c>
      <c r="BI117">
        <v>11</v>
      </c>
      <c r="BJ117" t="s">
        <v>308</v>
      </c>
      <c r="BK117" t="s">
        <v>180</v>
      </c>
      <c r="BL117" t="s">
        <v>309</v>
      </c>
      <c r="BM117" t="s">
        <v>2493</v>
      </c>
      <c r="BN117" t="s">
        <v>74</v>
      </c>
      <c r="BO117" t="s">
        <v>2494</v>
      </c>
      <c r="BP117" t="s">
        <v>74</v>
      </c>
      <c r="BQ117" t="s">
        <v>74</v>
      </c>
      <c r="BR117" t="s">
        <v>104</v>
      </c>
      <c r="BS117" t="s">
        <v>2495</v>
      </c>
      <c r="BT117" t="str">
        <f>HYPERLINK("https%3A%2F%2Fwww.webofscience.com%2Fwos%2Fwoscc%2Ffull-record%2FWOS:000800704700002","View Full Record in Web of Science")</f>
        <v>View Full Record in Web of Science</v>
      </c>
    </row>
    <row r="118" spans="1:72" x14ac:dyDescent="0.25">
      <c r="A118" t="s">
        <v>72</v>
      </c>
      <c r="B118" t="s">
        <v>2496</v>
      </c>
      <c r="C118" t="s">
        <v>74</v>
      </c>
      <c r="D118" t="s">
        <v>74</v>
      </c>
      <c r="E118" t="s">
        <v>74</v>
      </c>
      <c r="F118" t="s">
        <v>2497</v>
      </c>
      <c r="G118" t="s">
        <v>74</v>
      </c>
      <c r="H118" t="s">
        <v>74</v>
      </c>
      <c r="I118" t="s">
        <v>2498</v>
      </c>
      <c r="J118" t="s">
        <v>2499</v>
      </c>
      <c r="K118" t="s">
        <v>74</v>
      </c>
      <c r="L118" t="s">
        <v>74</v>
      </c>
      <c r="M118" t="s">
        <v>78</v>
      </c>
      <c r="N118" t="s">
        <v>79</v>
      </c>
      <c r="O118" t="s">
        <v>74</v>
      </c>
      <c r="P118" t="s">
        <v>74</v>
      </c>
      <c r="Q118" t="s">
        <v>74</v>
      </c>
      <c r="R118" t="s">
        <v>74</v>
      </c>
      <c r="S118" t="s">
        <v>74</v>
      </c>
      <c r="T118" t="s">
        <v>74</v>
      </c>
      <c r="U118" t="s">
        <v>2500</v>
      </c>
      <c r="V118" t="s">
        <v>2501</v>
      </c>
      <c r="W118" t="s">
        <v>2502</v>
      </c>
      <c r="X118" t="s">
        <v>2503</v>
      </c>
      <c r="Y118" t="s">
        <v>2504</v>
      </c>
      <c r="Z118" t="s">
        <v>74</v>
      </c>
      <c r="AA118" t="s">
        <v>2505</v>
      </c>
      <c r="AB118" t="s">
        <v>2506</v>
      </c>
      <c r="AC118" t="s">
        <v>2507</v>
      </c>
      <c r="AD118" t="s">
        <v>2508</v>
      </c>
      <c r="AE118" t="s">
        <v>2509</v>
      </c>
      <c r="AF118" t="s">
        <v>74</v>
      </c>
      <c r="AG118">
        <v>59</v>
      </c>
      <c r="AH118">
        <v>0</v>
      </c>
      <c r="AI118">
        <v>0</v>
      </c>
      <c r="AJ118">
        <v>0</v>
      </c>
      <c r="AK118">
        <v>0</v>
      </c>
      <c r="AL118" t="s">
        <v>2357</v>
      </c>
      <c r="AM118" t="s">
        <v>2358</v>
      </c>
      <c r="AN118" t="s">
        <v>2359</v>
      </c>
      <c r="AO118" t="s">
        <v>2510</v>
      </c>
      <c r="AP118" t="s">
        <v>2511</v>
      </c>
      <c r="AQ118" t="s">
        <v>74</v>
      </c>
      <c r="AR118" t="s">
        <v>2512</v>
      </c>
      <c r="AS118" t="s">
        <v>2513</v>
      </c>
      <c r="AT118" t="s">
        <v>2514</v>
      </c>
      <c r="AU118">
        <v>2022</v>
      </c>
      <c r="AV118">
        <v>106</v>
      </c>
      <c r="AW118">
        <v>23</v>
      </c>
      <c r="AX118" t="s">
        <v>74</v>
      </c>
      <c r="AY118" t="s">
        <v>74</v>
      </c>
      <c r="AZ118" t="s">
        <v>74</v>
      </c>
      <c r="BA118" t="s">
        <v>74</v>
      </c>
      <c r="BB118" t="s">
        <v>74</v>
      </c>
      <c r="BC118" t="s">
        <v>74</v>
      </c>
      <c r="BD118">
        <v>235430</v>
      </c>
      <c r="BE118" t="s">
        <v>2515</v>
      </c>
      <c r="BF118" t="str">
        <f>HYPERLINK("http://dx.doi.org/10.1103/PhysRevB.106.235430","http://dx.doi.org/10.1103/PhysRevB.106.235430")</f>
        <v>http://dx.doi.org/10.1103/PhysRevB.106.235430</v>
      </c>
      <c r="BG118" t="s">
        <v>74</v>
      </c>
      <c r="BH118" t="s">
        <v>74</v>
      </c>
      <c r="BI118">
        <v>9</v>
      </c>
      <c r="BJ118" t="s">
        <v>2516</v>
      </c>
      <c r="BK118" t="s">
        <v>101</v>
      </c>
      <c r="BL118" t="s">
        <v>2517</v>
      </c>
      <c r="BM118" t="s">
        <v>2518</v>
      </c>
      <c r="BN118" t="s">
        <v>74</v>
      </c>
      <c r="BO118" t="s">
        <v>1228</v>
      </c>
      <c r="BP118" t="s">
        <v>74</v>
      </c>
      <c r="BQ118" t="s">
        <v>74</v>
      </c>
      <c r="BR118" t="s">
        <v>104</v>
      </c>
      <c r="BS118" t="s">
        <v>2519</v>
      </c>
      <c r="BT118" t="str">
        <f>HYPERLINK("https%3A%2F%2Fwww.webofscience.com%2Fwos%2Fwoscc%2Ffull-record%2FWOS:000906922700002","View Full Record in Web of Science")</f>
        <v>View Full Record in Web of Science</v>
      </c>
    </row>
    <row r="119" spans="1:72" x14ac:dyDescent="0.25">
      <c r="A119" t="s">
        <v>72</v>
      </c>
      <c r="B119" t="s">
        <v>2520</v>
      </c>
      <c r="C119" t="s">
        <v>74</v>
      </c>
      <c r="D119" t="s">
        <v>74</v>
      </c>
      <c r="E119" t="s">
        <v>74</v>
      </c>
      <c r="F119" t="s">
        <v>2521</v>
      </c>
      <c r="G119" t="s">
        <v>74</v>
      </c>
      <c r="H119" t="s">
        <v>74</v>
      </c>
      <c r="I119" t="s">
        <v>2522</v>
      </c>
      <c r="J119" t="s">
        <v>2523</v>
      </c>
      <c r="K119" t="s">
        <v>74</v>
      </c>
      <c r="L119" t="s">
        <v>74</v>
      </c>
      <c r="M119" t="s">
        <v>1234</v>
      </c>
      <c r="N119" t="s">
        <v>79</v>
      </c>
      <c r="O119" t="s">
        <v>74</v>
      </c>
      <c r="P119" t="s">
        <v>74</v>
      </c>
      <c r="Q119" t="s">
        <v>74</v>
      </c>
      <c r="R119" t="s">
        <v>74</v>
      </c>
      <c r="S119" t="s">
        <v>74</v>
      </c>
      <c r="T119" t="s">
        <v>2524</v>
      </c>
      <c r="U119" t="s">
        <v>74</v>
      </c>
      <c r="V119" t="s">
        <v>2525</v>
      </c>
      <c r="W119" t="s">
        <v>2526</v>
      </c>
      <c r="X119" t="s">
        <v>2527</v>
      </c>
      <c r="Y119" t="s">
        <v>2528</v>
      </c>
      <c r="Z119" t="s">
        <v>2529</v>
      </c>
      <c r="AA119" t="s">
        <v>74</v>
      </c>
      <c r="AB119" t="s">
        <v>74</v>
      </c>
      <c r="AC119" t="s">
        <v>74</v>
      </c>
      <c r="AD119" t="s">
        <v>74</v>
      </c>
      <c r="AE119" t="s">
        <v>74</v>
      </c>
      <c r="AF119" t="s">
        <v>74</v>
      </c>
      <c r="AG119">
        <v>28</v>
      </c>
      <c r="AH119">
        <v>0</v>
      </c>
      <c r="AI119">
        <v>0</v>
      </c>
      <c r="AJ119">
        <v>0</v>
      </c>
      <c r="AK119">
        <v>2</v>
      </c>
      <c r="AL119" t="s">
        <v>1391</v>
      </c>
      <c r="AM119" t="s">
        <v>1392</v>
      </c>
      <c r="AN119" t="s">
        <v>1393</v>
      </c>
      <c r="AO119" t="s">
        <v>2530</v>
      </c>
      <c r="AP119" t="s">
        <v>2531</v>
      </c>
      <c r="AQ119" t="s">
        <v>74</v>
      </c>
      <c r="AR119" t="s">
        <v>2532</v>
      </c>
      <c r="AS119" t="s">
        <v>2533</v>
      </c>
      <c r="AT119" t="s">
        <v>74</v>
      </c>
      <c r="AU119">
        <v>2022</v>
      </c>
      <c r="AV119">
        <v>27</v>
      </c>
      <c r="AW119">
        <v>1</v>
      </c>
      <c r="AX119" t="s">
        <v>74</v>
      </c>
      <c r="AY119" t="s">
        <v>74</v>
      </c>
      <c r="AZ119" t="s">
        <v>74</v>
      </c>
      <c r="BA119" t="s">
        <v>74</v>
      </c>
      <c r="BB119" t="s">
        <v>74</v>
      </c>
      <c r="BC119" t="s">
        <v>74</v>
      </c>
      <c r="BD119" t="s">
        <v>74</v>
      </c>
      <c r="BE119" t="s">
        <v>2534</v>
      </c>
      <c r="BF119" t="str">
        <f>HYPERLINK("http://dx.doi.org/10.19053/01233769.13087","http://dx.doi.org/10.19053/01233769.13087")</f>
        <v>http://dx.doi.org/10.19053/01233769.13087</v>
      </c>
      <c r="BG119" t="s">
        <v>74</v>
      </c>
      <c r="BH119" t="s">
        <v>74</v>
      </c>
      <c r="BI119">
        <v>27</v>
      </c>
      <c r="BJ119" t="s">
        <v>1141</v>
      </c>
      <c r="BK119" t="s">
        <v>180</v>
      </c>
      <c r="BL119" t="s">
        <v>1141</v>
      </c>
      <c r="BM119" t="s">
        <v>2535</v>
      </c>
      <c r="BN119" t="s">
        <v>74</v>
      </c>
      <c r="BO119" t="s">
        <v>383</v>
      </c>
      <c r="BP119" t="s">
        <v>74</v>
      </c>
      <c r="BQ119" t="s">
        <v>74</v>
      </c>
      <c r="BR119" t="s">
        <v>104</v>
      </c>
      <c r="BS119" t="s">
        <v>2536</v>
      </c>
      <c r="BT119" t="str">
        <f>HYPERLINK("https%3A%2F%2Fwww.webofscience.com%2Fwos%2Fwoscc%2Ffull-record%2FWOS:000767237000001","View Full Record in Web of Science")</f>
        <v>View Full Record in Web of Science</v>
      </c>
    </row>
    <row r="120" spans="1:72" x14ac:dyDescent="0.25">
      <c r="A120" t="s">
        <v>72</v>
      </c>
      <c r="B120" t="s">
        <v>2537</v>
      </c>
      <c r="C120" t="s">
        <v>74</v>
      </c>
      <c r="D120" t="s">
        <v>74</v>
      </c>
      <c r="E120" t="s">
        <v>74</v>
      </c>
      <c r="F120" t="s">
        <v>2538</v>
      </c>
      <c r="G120" t="s">
        <v>74</v>
      </c>
      <c r="H120" t="s">
        <v>74</v>
      </c>
      <c r="I120" t="s">
        <v>2539</v>
      </c>
      <c r="J120" t="s">
        <v>2540</v>
      </c>
      <c r="K120" t="s">
        <v>74</v>
      </c>
      <c r="L120" t="s">
        <v>74</v>
      </c>
      <c r="M120" t="s">
        <v>78</v>
      </c>
      <c r="N120" t="s">
        <v>79</v>
      </c>
      <c r="O120" t="s">
        <v>74</v>
      </c>
      <c r="P120" t="s">
        <v>74</v>
      </c>
      <c r="Q120" t="s">
        <v>74</v>
      </c>
      <c r="R120" t="s">
        <v>74</v>
      </c>
      <c r="S120" t="s">
        <v>74</v>
      </c>
      <c r="T120" t="s">
        <v>2541</v>
      </c>
      <c r="U120" t="s">
        <v>2542</v>
      </c>
      <c r="V120" t="s">
        <v>2543</v>
      </c>
      <c r="W120" t="s">
        <v>2544</v>
      </c>
      <c r="X120" t="s">
        <v>722</v>
      </c>
      <c r="Y120" t="s">
        <v>2545</v>
      </c>
      <c r="Z120" t="s">
        <v>2546</v>
      </c>
      <c r="AA120" t="s">
        <v>2547</v>
      </c>
      <c r="AB120" t="s">
        <v>2548</v>
      </c>
      <c r="AC120" t="s">
        <v>2549</v>
      </c>
      <c r="AD120" t="s">
        <v>2550</v>
      </c>
      <c r="AE120" t="s">
        <v>2551</v>
      </c>
      <c r="AF120" t="s">
        <v>74</v>
      </c>
      <c r="AG120">
        <v>48</v>
      </c>
      <c r="AH120">
        <v>0</v>
      </c>
      <c r="AI120">
        <v>0</v>
      </c>
      <c r="AJ120">
        <v>0</v>
      </c>
      <c r="AK120">
        <v>0</v>
      </c>
      <c r="AL120" t="s">
        <v>924</v>
      </c>
      <c r="AM120" t="s">
        <v>925</v>
      </c>
      <c r="AN120" t="s">
        <v>926</v>
      </c>
      <c r="AO120" t="s">
        <v>2552</v>
      </c>
      <c r="AP120" t="s">
        <v>2553</v>
      </c>
      <c r="AQ120" t="s">
        <v>74</v>
      </c>
      <c r="AR120" t="s">
        <v>2554</v>
      </c>
      <c r="AS120" t="s">
        <v>2555</v>
      </c>
      <c r="AT120" t="s">
        <v>2556</v>
      </c>
      <c r="AU120">
        <v>2022</v>
      </c>
      <c r="AV120">
        <v>50</v>
      </c>
      <c r="AW120">
        <v>8</v>
      </c>
      <c r="AX120" t="s">
        <v>74</v>
      </c>
      <c r="AY120" t="s">
        <v>74</v>
      </c>
      <c r="AZ120" t="s">
        <v>74</v>
      </c>
      <c r="BA120" t="s">
        <v>74</v>
      </c>
      <c r="BB120">
        <v>3261</v>
      </c>
      <c r="BC120">
        <v>3275</v>
      </c>
      <c r="BD120" t="s">
        <v>74</v>
      </c>
      <c r="BE120" t="s">
        <v>2557</v>
      </c>
      <c r="BF120" t="str">
        <f>HYPERLINK("http://dx.doi.org/10.1080/00927872.2022.2028799","http://dx.doi.org/10.1080/00927872.2022.2028799")</f>
        <v>http://dx.doi.org/10.1080/00927872.2022.2028799</v>
      </c>
      <c r="BG120" t="s">
        <v>74</v>
      </c>
      <c r="BH120" t="s">
        <v>354</v>
      </c>
      <c r="BI120">
        <v>15</v>
      </c>
      <c r="BJ120" t="s">
        <v>733</v>
      </c>
      <c r="BK120" t="s">
        <v>101</v>
      </c>
      <c r="BL120" t="s">
        <v>733</v>
      </c>
      <c r="BM120" t="s">
        <v>2558</v>
      </c>
      <c r="BN120" t="s">
        <v>74</v>
      </c>
      <c r="BO120" t="s">
        <v>1228</v>
      </c>
      <c r="BP120" t="s">
        <v>74</v>
      </c>
      <c r="BQ120" t="s">
        <v>74</v>
      </c>
      <c r="BR120" t="s">
        <v>104</v>
      </c>
      <c r="BS120" t="s">
        <v>2559</v>
      </c>
      <c r="BT120" t="str">
        <f>HYPERLINK("https%3A%2F%2Fwww.webofscience.com%2Fwos%2Fwoscc%2Ffull-record%2FWOS:000752320300001","View Full Record in Web of Science")</f>
        <v>View Full Record in Web of Science</v>
      </c>
    </row>
    <row r="121" spans="1:72" x14ac:dyDescent="0.25">
      <c r="A121" t="s">
        <v>72</v>
      </c>
      <c r="B121" t="s">
        <v>2560</v>
      </c>
      <c r="C121" t="s">
        <v>74</v>
      </c>
      <c r="D121" t="s">
        <v>74</v>
      </c>
      <c r="E121" t="s">
        <v>74</v>
      </c>
      <c r="F121" t="s">
        <v>2561</v>
      </c>
      <c r="G121" t="s">
        <v>74</v>
      </c>
      <c r="H121" t="s">
        <v>74</v>
      </c>
      <c r="I121" t="s">
        <v>2562</v>
      </c>
      <c r="J121" t="s">
        <v>2563</v>
      </c>
      <c r="K121" t="s">
        <v>74</v>
      </c>
      <c r="L121" t="s">
        <v>74</v>
      </c>
      <c r="M121" t="s">
        <v>78</v>
      </c>
      <c r="N121" t="s">
        <v>79</v>
      </c>
      <c r="O121" t="s">
        <v>74</v>
      </c>
      <c r="P121" t="s">
        <v>74</v>
      </c>
      <c r="Q121" t="s">
        <v>74</v>
      </c>
      <c r="R121" t="s">
        <v>74</v>
      </c>
      <c r="S121" t="s">
        <v>74</v>
      </c>
      <c r="T121" t="s">
        <v>2564</v>
      </c>
      <c r="U121" t="s">
        <v>2565</v>
      </c>
      <c r="V121" t="s">
        <v>2566</v>
      </c>
      <c r="W121" t="s">
        <v>2567</v>
      </c>
      <c r="X121" t="s">
        <v>2527</v>
      </c>
      <c r="Y121" t="s">
        <v>2568</v>
      </c>
      <c r="Z121" t="s">
        <v>2569</v>
      </c>
      <c r="AA121" t="s">
        <v>74</v>
      </c>
      <c r="AB121" t="s">
        <v>74</v>
      </c>
      <c r="AC121" t="s">
        <v>74</v>
      </c>
      <c r="AD121" t="s">
        <v>74</v>
      </c>
      <c r="AE121" t="s">
        <v>74</v>
      </c>
      <c r="AF121" t="s">
        <v>74</v>
      </c>
      <c r="AG121">
        <v>58</v>
      </c>
      <c r="AH121">
        <v>0</v>
      </c>
      <c r="AI121">
        <v>0</v>
      </c>
      <c r="AJ121">
        <v>0</v>
      </c>
      <c r="AK121">
        <v>0</v>
      </c>
      <c r="AL121" t="s">
        <v>92</v>
      </c>
      <c r="AM121" t="s">
        <v>93</v>
      </c>
      <c r="AN121" t="s">
        <v>94</v>
      </c>
      <c r="AO121" t="s">
        <v>74</v>
      </c>
      <c r="AP121" t="s">
        <v>2570</v>
      </c>
      <c r="AQ121" t="s">
        <v>74</v>
      </c>
      <c r="AR121" t="s">
        <v>2563</v>
      </c>
      <c r="AS121" t="s">
        <v>2571</v>
      </c>
      <c r="AT121" t="s">
        <v>2572</v>
      </c>
      <c r="AU121">
        <v>2022</v>
      </c>
      <c r="AV121">
        <v>12</v>
      </c>
      <c r="AW121">
        <v>12</v>
      </c>
      <c r="AX121" t="s">
        <v>74</v>
      </c>
      <c r="AY121" t="s">
        <v>74</v>
      </c>
      <c r="AZ121" t="s">
        <v>74</v>
      </c>
      <c r="BA121" t="s">
        <v>74</v>
      </c>
      <c r="BB121" t="s">
        <v>74</v>
      </c>
      <c r="BC121" t="s">
        <v>74</v>
      </c>
      <c r="BD121">
        <v>1831</v>
      </c>
      <c r="BE121" t="s">
        <v>2573</v>
      </c>
      <c r="BF121" t="str">
        <f>HYPERLINK("http://dx.doi.org/10.3390/cryst12121831","http://dx.doi.org/10.3390/cryst12121831")</f>
        <v>http://dx.doi.org/10.3390/cryst12121831</v>
      </c>
      <c r="BG121" t="s">
        <v>74</v>
      </c>
      <c r="BH121" t="s">
        <v>74</v>
      </c>
      <c r="BI121">
        <v>14</v>
      </c>
      <c r="BJ121" t="s">
        <v>2574</v>
      </c>
      <c r="BK121" t="s">
        <v>101</v>
      </c>
      <c r="BL121" t="s">
        <v>2575</v>
      </c>
      <c r="BM121" t="s">
        <v>2576</v>
      </c>
      <c r="BN121" t="s">
        <v>74</v>
      </c>
      <c r="BO121" t="s">
        <v>183</v>
      </c>
      <c r="BP121" t="s">
        <v>74</v>
      </c>
      <c r="BQ121" t="s">
        <v>74</v>
      </c>
      <c r="BR121" t="s">
        <v>104</v>
      </c>
      <c r="BS121" t="s">
        <v>2577</v>
      </c>
      <c r="BT121" t="str">
        <f>HYPERLINK("https%3A%2F%2Fwww.webofscience.com%2Fwos%2Fwoscc%2Ffull-record%2FWOS:000900525000001","View Full Record in Web of Science")</f>
        <v>View Full Record in Web of Science</v>
      </c>
    </row>
    <row r="122" spans="1:72" x14ac:dyDescent="0.25">
      <c r="A122" t="s">
        <v>72</v>
      </c>
      <c r="B122" t="s">
        <v>2578</v>
      </c>
      <c r="C122" t="s">
        <v>74</v>
      </c>
      <c r="D122" t="s">
        <v>74</v>
      </c>
      <c r="E122" t="s">
        <v>74</v>
      </c>
      <c r="F122" t="s">
        <v>2579</v>
      </c>
      <c r="G122" t="s">
        <v>74</v>
      </c>
      <c r="H122" t="s">
        <v>74</v>
      </c>
      <c r="I122" t="s">
        <v>2580</v>
      </c>
      <c r="J122" t="s">
        <v>2441</v>
      </c>
      <c r="K122" t="s">
        <v>74</v>
      </c>
      <c r="L122" t="s">
        <v>74</v>
      </c>
      <c r="M122" t="s">
        <v>78</v>
      </c>
      <c r="N122" t="s">
        <v>79</v>
      </c>
      <c r="O122" t="s">
        <v>74</v>
      </c>
      <c r="P122" t="s">
        <v>74</v>
      </c>
      <c r="Q122" t="s">
        <v>74</v>
      </c>
      <c r="R122" t="s">
        <v>74</v>
      </c>
      <c r="S122" t="s">
        <v>74</v>
      </c>
      <c r="T122" t="s">
        <v>2581</v>
      </c>
      <c r="U122" t="s">
        <v>2582</v>
      </c>
      <c r="V122" t="s">
        <v>2583</v>
      </c>
      <c r="W122" t="s">
        <v>2584</v>
      </c>
      <c r="X122" t="s">
        <v>2527</v>
      </c>
      <c r="Y122" t="s">
        <v>2446</v>
      </c>
      <c r="Z122" t="s">
        <v>2585</v>
      </c>
      <c r="AA122" t="s">
        <v>74</v>
      </c>
      <c r="AB122" t="s">
        <v>2586</v>
      </c>
      <c r="AC122" t="s">
        <v>2587</v>
      </c>
      <c r="AD122" t="s">
        <v>2588</v>
      </c>
      <c r="AE122" t="s">
        <v>2589</v>
      </c>
      <c r="AF122" t="s">
        <v>74</v>
      </c>
      <c r="AG122">
        <v>17</v>
      </c>
      <c r="AH122">
        <v>0</v>
      </c>
      <c r="AI122">
        <v>0</v>
      </c>
      <c r="AJ122">
        <v>0</v>
      </c>
      <c r="AK122">
        <v>0</v>
      </c>
      <c r="AL122" t="s">
        <v>92</v>
      </c>
      <c r="AM122" t="s">
        <v>93</v>
      </c>
      <c r="AN122" t="s">
        <v>94</v>
      </c>
      <c r="AO122" t="s">
        <v>74</v>
      </c>
      <c r="AP122" t="s">
        <v>2452</v>
      </c>
      <c r="AQ122" t="s">
        <v>74</v>
      </c>
      <c r="AR122" t="s">
        <v>2441</v>
      </c>
      <c r="AS122" t="s">
        <v>2453</v>
      </c>
      <c r="AT122" t="s">
        <v>231</v>
      </c>
      <c r="AU122">
        <v>2022</v>
      </c>
      <c r="AV122">
        <v>10</v>
      </c>
      <c r="AW122">
        <v>7</v>
      </c>
      <c r="AX122" t="s">
        <v>74</v>
      </c>
      <c r="AY122" t="s">
        <v>74</v>
      </c>
      <c r="AZ122" t="s">
        <v>74</v>
      </c>
      <c r="BA122" t="s">
        <v>74</v>
      </c>
      <c r="BB122" t="s">
        <v>74</v>
      </c>
      <c r="BC122" t="s">
        <v>74</v>
      </c>
      <c r="BD122">
        <v>124</v>
      </c>
      <c r="BE122" t="s">
        <v>2590</v>
      </c>
      <c r="BF122" t="str">
        <f>HYPERLINK("http://dx.doi.org/10.3390/computation10070124","http://dx.doi.org/10.3390/computation10070124")</f>
        <v>http://dx.doi.org/10.3390/computation10070124</v>
      </c>
      <c r="BG122" t="s">
        <v>74</v>
      </c>
      <c r="BH122" t="s">
        <v>74</v>
      </c>
      <c r="BI122">
        <v>17</v>
      </c>
      <c r="BJ122" t="s">
        <v>2455</v>
      </c>
      <c r="BK122" t="s">
        <v>180</v>
      </c>
      <c r="BL122" t="s">
        <v>733</v>
      </c>
      <c r="BM122" t="s">
        <v>2591</v>
      </c>
      <c r="BN122" t="s">
        <v>74</v>
      </c>
      <c r="BO122" t="s">
        <v>183</v>
      </c>
      <c r="BP122" t="s">
        <v>74</v>
      </c>
      <c r="BQ122" t="s">
        <v>74</v>
      </c>
      <c r="BR122" t="s">
        <v>104</v>
      </c>
      <c r="BS122" t="s">
        <v>2592</v>
      </c>
      <c r="BT122" t="str">
        <f>HYPERLINK("https%3A%2F%2Fwww.webofscience.com%2Fwos%2Fwoscc%2Ffull-record%2FWOS:000832001600001","View Full Record in Web of Science")</f>
        <v>View Full Record in Web of Science</v>
      </c>
    </row>
    <row r="123" spans="1:72" x14ac:dyDescent="0.25">
      <c r="A123" t="s">
        <v>72</v>
      </c>
      <c r="B123" t="s">
        <v>2593</v>
      </c>
      <c r="C123" t="s">
        <v>74</v>
      </c>
      <c r="D123" t="s">
        <v>74</v>
      </c>
      <c r="E123" t="s">
        <v>74</v>
      </c>
      <c r="F123" t="s">
        <v>2594</v>
      </c>
      <c r="G123" t="s">
        <v>74</v>
      </c>
      <c r="H123" t="s">
        <v>74</v>
      </c>
      <c r="I123" t="s">
        <v>2595</v>
      </c>
      <c r="J123" t="s">
        <v>2596</v>
      </c>
      <c r="K123" t="s">
        <v>74</v>
      </c>
      <c r="L123" t="s">
        <v>74</v>
      </c>
      <c r="M123" t="s">
        <v>78</v>
      </c>
      <c r="N123" t="s">
        <v>79</v>
      </c>
      <c r="O123" t="s">
        <v>74</v>
      </c>
      <c r="P123" t="s">
        <v>74</v>
      </c>
      <c r="Q123" t="s">
        <v>74</v>
      </c>
      <c r="R123" t="s">
        <v>74</v>
      </c>
      <c r="S123" t="s">
        <v>74</v>
      </c>
      <c r="T123" t="s">
        <v>2597</v>
      </c>
      <c r="U123" t="s">
        <v>2598</v>
      </c>
      <c r="V123" t="s">
        <v>2599</v>
      </c>
      <c r="W123" t="s">
        <v>2600</v>
      </c>
      <c r="X123" t="s">
        <v>2527</v>
      </c>
      <c r="Y123" t="s">
        <v>2601</v>
      </c>
      <c r="Z123" t="s">
        <v>2602</v>
      </c>
      <c r="AA123" t="s">
        <v>74</v>
      </c>
      <c r="AB123" t="s">
        <v>74</v>
      </c>
      <c r="AC123" t="s">
        <v>2603</v>
      </c>
      <c r="AD123" t="s">
        <v>2604</v>
      </c>
      <c r="AE123" t="s">
        <v>2605</v>
      </c>
      <c r="AF123" t="s">
        <v>74</v>
      </c>
      <c r="AG123">
        <v>25</v>
      </c>
      <c r="AH123">
        <v>0</v>
      </c>
      <c r="AI123">
        <v>0</v>
      </c>
      <c r="AJ123">
        <v>0</v>
      </c>
      <c r="AK123">
        <v>0</v>
      </c>
      <c r="AL123" t="s">
        <v>2606</v>
      </c>
      <c r="AM123" t="s">
        <v>2607</v>
      </c>
      <c r="AN123" t="s">
        <v>2608</v>
      </c>
      <c r="AO123" t="s">
        <v>74</v>
      </c>
      <c r="AP123" t="s">
        <v>2609</v>
      </c>
      <c r="AQ123" t="s">
        <v>74</v>
      </c>
      <c r="AR123" t="s">
        <v>2610</v>
      </c>
      <c r="AS123" t="s">
        <v>2611</v>
      </c>
      <c r="AT123" t="s">
        <v>74</v>
      </c>
      <c r="AU123">
        <v>2022</v>
      </c>
      <c r="AV123">
        <v>30</v>
      </c>
      <c r="AW123">
        <v>9</v>
      </c>
      <c r="AX123" t="s">
        <v>74</v>
      </c>
      <c r="AY123" t="s">
        <v>74</v>
      </c>
      <c r="AZ123" t="s">
        <v>74</v>
      </c>
      <c r="BA123" t="s">
        <v>74</v>
      </c>
      <c r="BB123">
        <v>3435</v>
      </c>
      <c r="BC123">
        <v>3451</v>
      </c>
      <c r="BD123" t="s">
        <v>74</v>
      </c>
      <c r="BE123" t="s">
        <v>2612</v>
      </c>
      <c r="BF123" t="str">
        <f>HYPERLINK("http://dx.doi.org/10.3934/era.2022175","http://dx.doi.org/10.3934/era.2022175")</f>
        <v>http://dx.doi.org/10.3934/era.2022175</v>
      </c>
      <c r="BG123" t="s">
        <v>74</v>
      </c>
      <c r="BH123" t="s">
        <v>74</v>
      </c>
      <c r="BI123">
        <v>17</v>
      </c>
      <c r="BJ123" t="s">
        <v>733</v>
      </c>
      <c r="BK123" t="s">
        <v>101</v>
      </c>
      <c r="BL123" t="s">
        <v>733</v>
      </c>
      <c r="BM123" t="s">
        <v>2613</v>
      </c>
      <c r="BN123" t="s">
        <v>74</v>
      </c>
      <c r="BO123" t="s">
        <v>183</v>
      </c>
      <c r="BP123" t="s">
        <v>74</v>
      </c>
      <c r="BQ123" t="s">
        <v>74</v>
      </c>
      <c r="BR123" t="s">
        <v>104</v>
      </c>
      <c r="BS123" t="s">
        <v>2614</v>
      </c>
      <c r="BT123" t="str">
        <f>HYPERLINK("https%3A%2F%2Fwww.webofscience.com%2Fwos%2Fwoscc%2Ffull-record%2FWOS:000832225700001","View Full Record in Web of Science")</f>
        <v>View Full Record in Web of Science</v>
      </c>
    </row>
    <row r="124" spans="1:72" x14ac:dyDescent="0.25">
      <c r="A124" t="s">
        <v>72</v>
      </c>
      <c r="B124" t="s">
        <v>2615</v>
      </c>
      <c r="C124" t="s">
        <v>74</v>
      </c>
      <c r="D124" t="s">
        <v>74</v>
      </c>
      <c r="E124" t="s">
        <v>74</v>
      </c>
      <c r="F124" t="s">
        <v>2616</v>
      </c>
      <c r="G124" t="s">
        <v>74</v>
      </c>
      <c r="H124" t="s">
        <v>74</v>
      </c>
      <c r="I124" t="s">
        <v>2617</v>
      </c>
      <c r="J124" t="s">
        <v>2618</v>
      </c>
      <c r="K124" t="s">
        <v>74</v>
      </c>
      <c r="L124" t="s">
        <v>74</v>
      </c>
      <c r="M124" t="s">
        <v>78</v>
      </c>
      <c r="N124" t="s">
        <v>79</v>
      </c>
      <c r="O124" t="s">
        <v>74</v>
      </c>
      <c r="P124" t="s">
        <v>74</v>
      </c>
      <c r="Q124" t="s">
        <v>74</v>
      </c>
      <c r="R124" t="s">
        <v>74</v>
      </c>
      <c r="S124" t="s">
        <v>74</v>
      </c>
      <c r="T124" t="s">
        <v>2619</v>
      </c>
      <c r="U124" t="s">
        <v>2620</v>
      </c>
      <c r="V124" t="s">
        <v>2621</v>
      </c>
      <c r="W124" t="s">
        <v>2622</v>
      </c>
      <c r="X124" t="s">
        <v>84</v>
      </c>
      <c r="Y124" t="s">
        <v>2623</v>
      </c>
      <c r="Z124" t="s">
        <v>2624</v>
      </c>
      <c r="AA124" t="s">
        <v>74</v>
      </c>
      <c r="AB124" t="s">
        <v>74</v>
      </c>
      <c r="AC124" t="s">
        <v>2625</v>
      </c>
      <c r="AD124" t="s">
        <v>2625</v>
      </c>
      <c r="AE124" t="s">
        <v>2626</v>
      </c>
      <c r="AF124" t="s">
        <v>74</v>
      </c>
      <c r="AG124">
        <v>55</v>
      </c>
      <c r="AH124">
        <v>0</v>
      </c>
      <c r="AI124">
        <v>0</v>
      </c>
      <c r="AJ124">
        <v>0</v>
      </c>
      <c r="AK124">
        <v>0</v>
      </c>
      <c r="AL124" t="s">
        <v>2627</v>
      </c>
      <c r="AM124" t="s">
        <v>2628</v>
      </c>
      <c r="AN124" t="s">
        <v>2629</v>
      </c>
      <c r="AO124" t="s">
        <v>2630</v>
      </c>
      <c r="AP124" t="s">
        <v>2631</v>
      </c>
      <c r="AQ124" t="s">
        <v>74</v>
      </c>
      <c r="AR124" t="s">
        <v>2632</v>
      </c>
      <c r="AS124" t="s">
        <v>2633</v>
      </c>
      <c r="AT124" t="s">
        <v>231</v>
      </c>
      <c r="AU124">
        <v>2022</v>
      </c>
      <c r="AV124">
        <v>22</v>
      </c>
      <c r="AW124" t="s">
        <v>2634</v>
      </c>
      <c r="AX124" t="s">
        <v>74</v>
      </c>
      <c r="AY124" t="s">
        <v>74</v>
      </c>
      <c r="AZ124" t="s">
        <v>74</v>
      </c>
      <c r="BA124" t="s">
        <v>74</v>
      </c>
      <c r="BB124">
        <v>324</v>
      </c>
      <c r="BC124">
        <v>337</v>
      </c>
      <c r="BD124" t="s">
        <v>74</v>
      </c>
      <c r="BE124" t="s">
        <v>2635</v>
      </c>
      <c r="BF124" t="str">
        <f>HYPERLINK("http://dx.doi.org/10.1163/15685373-12340136","http://dx.doi.org/10.1163/15685373-12340136")</f>
        <v>http://dx.doi.org/10.1163/15685373-12340136</v>
      </c>
      <c r="BG124" t="s">
        <v>74</v>
      </c>
      <c r="BH124" t="s">
        <v>74</v>
      </c>
      <c r="BI124">
        <v>14</v>
      </c>
      <c r="BJ124" t="s">
        <v>1542</v>
      </c>
      <c r="BK124" t="s">
        <v>180</v>
      </c>
      <c r="BL124" t="s">
        <v>1543</v>
      </c>
      <c r="BM124" t="s">
        <v>2636</v>
      </c>
      <c r="BN124" t="s">
        <v>74</v>
      </c>
      <c r="BO124" t="s">
        <v>74</v>
      </c>
      <c r="BP124" t="s">
        <v>74</v>
      </c>
      <c r="BQ124" t="s">
        <v>74</v>
      </c>
      <c r="BR124" t="s">
        <v>104</v>
      </c>
      <c r="BS124" t="s">
        <v>2637</v>
      </c>
      <c r="BT124" t="str">
        <f>HYPERLINK("https%3A%2F%2Fwww.webofscience.com%2Fwos%2Fwoscc%2Ffull-record%2FWOS:000876332100007","View Full Record in Web of Science")</f>
        <v>View Full Record in Web of Science</v>
      </c>
    </row>
    <row r="125" spans="1:72" x14ac:dyDescent="0.25">
      <c r="A125" t="s">
        <v>72</v>
      </c>
      <c r="B125" t="s">
        <v>2638</v>
      </c>
      <c r="C125" t="s">
        <v>74</v>
      </c>
      <c r="D125" t="s">
        <v>74</v>
      </c>
      <c r="E125" t="s">
        <v>74</v>
      </c>
      <c r="F125" t="s">
        <v>2639</v>
      </c>
      <c r="G125" t="s">
        <v>74</v>
      </c>
      <c r="H125" t="s">
        <v>74</v>
      </c>
      <c r="I125" t="s">
        <v>2640</v>
      </c>
      <c r="J125" t="s">
        <v>2641</v>
      </c>
      <c r="K125" t="s">
        <v>74</v>
      </c>
      <c r="L125" t="s">
        <v>74</v>
      </c>
      <c r="M125" t="s">
        <v>1234</v>
      </c>
      <c r="N125" t="s">
        <v>1501</v>
      </c>
      <c r="O125" t="s">
        <v>74</v>
      </c>
      <c r="P125" t="s">
        <v>74</v>
      </c>
      <c r="Q125" t="s">
        <v>74</v>
      </c>
      <c r="R125" t="s">
        <v>74</v>
      </c>
      <c r="S125" t="s">
        <v>74</v>
      </c>
      <c r="T125" t="s">
        <v>74</v>
      </c>
      <c r="U125" t="s">
        <v>74</v>
      </c>
      <c r="V125" t="s">
        <v>74</v>
      </c>
      <c r="W125" t="s">
        <v>2642</v>
      </c>
      <c r="X125" t="s">
        <v>2643</v>
      </c>
      <c r="Y125" t="s">
        <v>2644</v>
      </c>
      <c r="Z125" t="s">
        <v>2645</v>
      </c>
      <c r="AA125" t="s">
        <v>2646</v>
      </c>
      <c r="AB125" t="s">
        <v>2647</v>
      </c>
      <c r="AC125" t="s">
        <v>74</v>
      </c>
      <c r="AD125" t="s">
        <v>74</v>
      </c>
      <c r="AE125" t="s">
        <v>74</v>
      </c>
      <c r="AF125" t="s">
        <v>74</v>
      </c>
      <c r="AG125">
        <v>14</v>
      </c>
      <c r="AH125">
        <v>0</v>
      </c>
      <c r="AI125">
        <v>0</v>
      </c>
      <c r="AJ125">
        <v>1</v>
      </c>
      <c r="AK125">
        <v>1</v>
      </c>
      <c r="AL125" t="s">
        <v>1391</v>
      </c>
      <c r="AM125" t="s">
        <v>1392</v>
      </c>
      <c r="AN125" t="s">
        <v>1393</v>
      </c>
      <c r="AO125" t="s">
        <v>2648</v>
      </c>
      <c r="AP125" t="s">
        <v>2649</v>
      </c>
      <c r="AQ125" t="s">
        <v>74</v>
      </c>
      <c r="AR125" t="s">
        <v>2650</v>
      </c>
      <c r="AS125" t="s">
        <v>2651</v>
      </c>
      <c r="AT125" t="s">
        <v>74</v>
      </c>
      <c r="AU125">
        <v>2022</v>
      </c>
      <c r="AV125">
        <v>13</v>
      </c>
      <c r="AW125">
        <v>32</v>
      </c>
      <c r="AX125" t="s">
        <v>74</v>
      </c>
      <c r="AY125" t="s">
        <v>74</v>
      </c>
      <c r="AZ125" t="s">
        <v>74</v>
      </c>
      <c r="BA125" t="s">
        <v>74</v>
      </c>
      <c r="BB125" t="s">
        <v>74</v>
      </c>
      <c r="BC125" t="s">
        <v>74</v>
      </c>
      <c r="BD125" t="s">
        <v>2652</v>
      </c>
      <c r="BE125" t="s">
        <v>2653</v>
      </c>
      <c r="BF125" t="str">
        <f>HYPERLINK("http://dx.doi.org/10.19053/22160159.v13.n32.2022.14286","http://dx.doi.org/10.19053/22160159.v13.n32.2022.14286")</f>
        <v>http://dx.doi.org/10.19053/22160159.v13.n32.2022.14286</v>
      </c>
      <c r="BG125" t="s">
        <v>74</v>
      </c>
      <c r="BH125" t="s">
        <v>74</v>
      </c>
      <c r="BI125">
        <v>6</v>
      </c>
      <c r="BJ125" t="s">
        <v>1601</v>
      </c>
      <c r="BK125" t="s">
        <v>180</v>
      </c>
      <c r="BL125" t="s">
        <v>1601</v>
      </c>
      <c r="BM125" t="s">
        <v>2654</v>
      </c>
      <c r="BN125" t="s">
        <v>74</v>
      </c>
      <c r="BO125" t="s">
        <v>183</v>
      </c>
      <c r="BP125" t="s">
        <v>74</v>
      </c>
      <c r="BQ125" t="s">
        <v>74</v>
      </c>
      <c r="BR125" t="s">
        <v>104</v>
      </c>
      <c r="BS125" t="s">
        <v>2655</v>
      </c>
      <c r="BT125" t="str">
        <f>HYPERLINK("https%3A%2F%2Fwww.webofscience.com%2Fwos%2Fwoscc%2Ffull-record%2FWOS:000800389000001","View Full Record in Web of Science")</f>
        <v>View Full Record in Web of Science</v>
      </c>
    </row>
    <row r="126" spans="1:72" x14ac:dyDescent="0.25">
      <c r="A126" t="s">
        <v>72</v>
      </c>
      <c r="B126" t="s">
        <v>2656</v>
      </c>
      <c r="C126" t="s">
        <v>74</v>
      </c>
      <c r="D126" t="s">
        <v>74</v>
      </c>
      <c r="E126" t="s">
        <v>74</v>
      </c>
      <c r="F126" t="s">
        <v>2657</v>
      </c>
      <c r="G126" t="s">
        <v>74</v>
      </c>
      <c r="H126" t="s">
        <v>74</v>
      </c>
      <c r="I126" t="s">
        <v>2658</v>
      </c>
      <c r="J126" t="s">
        <v>2659</v>
      </c>
      <c r="K126" t="s">
        <v>74</v>
      </c>
      <c r="L126" t="s">
        <v>74</v>
      </c>
      <c r="M126" t="s">
        <v>78</v>
      </c>
      <c r="N126" t="s">
        <v>79</v>
      </c>
      <c r="O126" t="s">
        <v>74</v>
      </c>
      <c r="P126" t="s">
        <v>74</v>
      </c>
      <c r="Q126" t="s">
        <v>74</v>
      </c>
      <c r="R126" t="s">
        <v>74</v>
      </c>
      <c r="S126" t="s">
        <v>74</v>
      </c>
      <c r="T126" t="s">
        <v>2660</v>
      </c>
      <c r="U126" t="s">
        <v>2661</v>
      </c>
      <c r="V126" t="s">
        <v>2662</v>
      </c>
      <c r="W126" t="s">
        <v>2663</v>
      </c>
      <c r="X126" t="s">
        <v>2664</v>
      </c>
      <c r="Y126" t="s">
        <v>2665</v>
      </c>
      <c r="Z126" t="s">
        <v>2666</v>
      </c>
      <c r="AA126" t="s">
        <v>74</v>
      </c>
      <c r="AB126" t="s">
        <v>2667</v>
      </c>
      <c r="AC126" t="s">
        <v>2668</v>
      </c>
      <c r="AD126" t="s">
        <v>2669</v>
      </c>
      <c r="AE126" t="s">
        <v>2670</v>
      </c>
      <c r="AF126" t="s">
        <v>74</v>
      </c>
      <c r="AG126">
        <v>56</v>
      </c>
      <c r="AH126">
        <v>0</v>
      </c>
      <c r="AI126">
        <v>0</v>
      </c>
      <c r="AJ126">
        <v>4</v>
      </c>
      <c r="AK126">
        <v>5</v>
      </c>
      <c r="AL126" t="s">
        <v>146</v>
      </c>
      <c r="AM126" t="s">
        <v>147</v>
      </c>
      <c r="AN126" t="s">
        <v>148</v>
      </c>
      <c r="AO126" t="s">
        <v>2671</v>
      </c>
      <c r="AP126" t="s">
        <v>2672</v>
      </c>
      <c r="AQ126" t="s">
        <v>74</v>
      </c>
      <c r="AR126" t="s">
        <v>2673</v>
      </c>
      <c r="AS126" t="s">
        <v>2674</v>
      </c>
      <c r="AT126" t="s">
        <v>416</v>
      </c>
      <c r="AU126">
        <v>2022</v>
      </c>
      <c r="AV126">
        <v>53</v>
      </c>
      <c r="AW126">
        <v>3</v>
      </c>
      <c r="AX126" t="s">
        <v>74</v>
      </c>
      <c r="AY126" t="s">
        <v>74</v>
      </c>
      <c r="AZ126" t="s">
        <v>74</v>
      </c>
      <c r="BA126" t="s">
        <v>74</v>
      </c>
      <c r="BB126">
        <v>1175</v>
      </c>
      <c r="BC126">
        <v>1186</v>
      </c>
      <c r="BD126" t="s">
        <v>74</v>
      </c>
      <c r="BE126" t="s">
        <v>2675</v>
      </c>
      <c r="BF126" t="str">
        <f>HYPERLINK("http://dx.doi.org/10.1007/s42770-022-00757-7","http://dx.doi.org/10.1007/s42770-022-00757-7")</f>
        <v>http://dx.doi.org/10.1007/s42770-022-00757-7</v>
      </c>
      <c r="BG126" t="s">
        <v>74</v>
      </c>
      <c r="BH126" t="s">
        <v>259</v>
      </c>
      <c r="BI126">
        <v>12</v>
      </c>
      <c r="BJ126" t="s">
        <v>2676</v>
      </c>
      <c r="BK126" t="s">
        <v>101</v>
      </c>
      <c r="BL126" t="s">
        <v>2676</v>
      </c>
      <c r="BM126" t="s">
        <v>2677</v>
      </c>
      <c r="BN126">
        <v>35486355</v>
      </c>
      <c r="BO126" t="s">
        <v>74</v>
      </c>
      <c r="BP126" t="s">
        <v>74</v>
      </c>
      <c r="BQ126" t="s">
        <v>74</v>
      </c>
      <c r="BR126" t="s">
        <v>104</v>
      </c>
      <c r="BS126" t="s">
        <v>2678</v>
      </c>
      <c r="BT126" t="str">
        <f>HYPERLINK("https%3A%2F%2Fwww.webofscience.com%2Fwos%2Fwoscc%2Ffull-record%2FWOS:000819163400001","View Full Record in Web of Science")</f>
        <v>View Full Record in Web of Science</v>
      </c>
    </row>
    <row r="127" spans="1:72" x14ac:dyDescent="0.25">
      <c r="A127" t="s">
        <v>72</v>
      </c>
      <c r="B127" t="s">
        <v>2679</v>
      </c>
      <c r="C127" t="s">
        <v>74</v>
      </c>
      <c r="D127" t="s">
        <v>74</v>
      </c>
      <c r="E127" t="s">
        <v>74</v>
      </c>
      <c r="F127" t="s">
        <v>2680</v>
      </c>
      <c r="G127" t="s">
        <v>74</v>
      </c>
      <c r="H127" t="s">
        <v>74</v>
      </c>
      <c r="I127" t="s">
        <v>2681</v>
      </c>
      <c r="J127" t="s">
        <v>1280</v>
      </c>
      <c r="K127" t="s">
        <v>74</v>
      </c>
      <c r="L127" t="s">
        <v>74</v>
      </c>
      <c r="M127" t="s">
        <v>78</v>
      </c>
      <c r="N127" t="s">
        <v>162</v>
      </c>
      <c r="O127" t="s">
        <v>74</v>
      </c>
      <c r="P127" t="s">
        <v>74</v>
      </c>
      <c r="Q127" t="s">
        <v>74</v>
      </c>
      <c r="R127" t="s">
        <v>74</v>
      </c>
      <c r="S127" t="s">
        <v>74</v>
      </c>
      <c r="T127" t="s">
        <v>2682</v>
      </c>
      <c r="U127" t="s">
        <v>2683</v>
      </c>
      <c r="V127" t="s">
        <v>2684</v>
      </c>
      <c r="W127" t="s">
        <v>2685</v>
      </c>
      <c r="X127" t="s">
        <v>722</v>
      </c>
      <c r="Y127" t="s">
        <v>2686</v>
      </c>
      <c r="Z127" t="s">
        <v>2687</v>
      </c>
      <c r="AA127" t="s">
        <v>74</v>
      </c>
      <c r="AB127" t="s">
        <v>2688</v>
      </c>
      <c r="AC127" t="s">
        <v>74</v>
      </c>
      <c r="AD127" t="s">
        <v>74</v>
      </c>
      <c r="AE127" t="s">
        <v>74</v>
      </c>
      <c r="AF127" t="s">
        <v>74</v>
      </c>
      <c r="AG127">
        <v>79</v>
      </c>
      <c r="AH127">
        <v>0</v>
      </c>
      <c r="AI127">
        <v>0</v>
      </c>
      <c r="AJ127">
        <v>0</v>
      </c>
      <c r="AK127">
        <v>0</v>
      </c>
      <c r="AL127" t="s">
        <v>1288</v>
      </c>
      <c r="AM127" t="s">
        <v>1289</v>
      </c>
      <c r="AN127" t="s">
        <v>1290</v>
      </c>
      <c r="AO127" t="s">
        <v>1291</v>
      </c>
      <c r="AP127" t="s">
        <v>1292</v>
      </c>
      <c r="AQ127" t="s">
        <v>74</v>
      </c>
      <c r="AR127" t="s">
        <v>1293</v>
      </c>
      <c r="AS127" t="s">
        <v>1294</v>
      </c>
      <c r="AT127" t="s">
        <v>1295</v>
      </c>
      <c r="AU127">
        <v>2022</v>
      </c>
      <c r="AV127">
        <v>39</v>
      </c>
      <c r="AW127">
        <v>1</v>
      </c>
      <c r="AX127" t="s">
        <v>74</v>
      </c>
      <c r="AY127" t="s">
        <v>74</v>
      </c>
      <c r="AZ127" t="s">
        <v>74</v>
      </c>
      <c r="BA127" t="s">
        <v>74</v>
      </c>
      <c r="BB127">
        <v>123</v>
      </c>
      <c r="BC127">
        <v>141</v>
      </c>
      <c r="BD127" t="s">
        <v>74</v>
      </c>
      <c r="BE127" t="s">
        <v>2689</v>
      </c>
      <c r="BF127" t="str">
        <f>HYPERLINK("http://dx.doi.org/10.22267/rcia.223901.175","http://dx.doi.org/10.22267/rcia.223901.175")</f>
        <v>http://dx.doi.org/10.22267/rcia.223901.175</v>
      </c>
      <c r="BG127" t="s">
        <v>74</v>
      </c>
      <c r="BH127" t="s">
        <v>74</v>
      </c>
      <c r="BI127">
        <v>19</v>
      </c>
      <c r="BJ127" t="s">
        <v>355</v>
      </c>
      <c r="BK127" t="s">
        <v>180</v>
      </c>
      <c r="BL127" t="s">
        <v>155</v>
      </c>
      <c r="BM127" t="s">
        <v>2690</v>
      </c>
      <c r="BN127" t="s">
        <v>74</v>
      </c>
      <c r="BO127" t="s">
        <v>383</v>
      </c>
      <c r="BP127" t="s">
        <v>74</v>
      </c>
      <c r="BQ127" t="s">
        <v>74</v>
      </c>
      <c r="BR127" t="s">
        <v>104</v>
      </c>
      <c r="BS127" t="s">
        <v>2691</v>
      </c>
      <c r="BT127" t="str">
        <f>HYPERLINK("https%3A%2F%2Fwww.webofscience.com%2Fwos%2Fwoscc%2Ffull-record%2FWOS:000863294900006","View Full Record in Web of Science")</f>
        <v>View Full Record in Web of Science</v>
      </c>
    </row>
    <row r="128" spans="1:72" x14ac:dyDescent="0.25">
      <c r="A128" t="s">
        <v>72</v>
      </c>
      <c r="B128" t="s">
        <v>2692</v>
      </c>
      <c r="C128" t="s">
        <v>74</v>
      </c>
      <c r="D128" t="s">
        <v>74</v>
      </c>
      <c r="E128" t="s">
        <v>74</v>
      </c>
      <c r="F128" t="s">
        <v>2693</v>
      </c>
      <c r="G128" t="s">
        <v>74</v>
      </c>
      <c r="H128" t="s">
        <v>74</v>
      </c>
      <c r="I128" t="s">
        <v>2694</v>
      </c>
      <c r="J128" t="s">
        <v>2695</v>
      </c>
      <c r="K128" t="s">
        <v>74</v>
      </c>
      <c r="L128" t="s">
        <v>74</v>
      </c>
      <c r="M128" t="s">
        <v>78</v>
      </c>
      <c r="N128" t="s">
        <v>79</v>
      </c>
      <c r="O128" t="s">
        <v>74</v>
      </c>
      <c r="P128" t="s">
        <v>74</v>
      </c>
      <c r="Q128" t="s">
        <v>74</v>
      </c>
      <c r="R128" t="s">
        <v>74</v>
      </c>
      <c r="S128" t="s">
        <v>74</v>
      </c>
      <c r="T128" t="s">
        <v>2696</v>
      </c>
      <c r="U128" t="s">
        <v>2697</v>
      </c>
      <c r="V128" t="s">
        <v>2698</v>
      </c>
      <c r="W128" t="s">
        <v>2699</v>
      </c>
      <c r="X128" t="s">
        <v>2700</v>
      </c>
      <c r="Y128" t="s">
        <v>2701</v>
      </c>
      <c r="Z128" t="s">
        <v>2702</v>
      </c>
      <c r="AA128" t="s">
        <v>2703</v>
      </c>
      <c r="AB128" t="s">
        <v>2704</v>
      </c>
      <c r="AC128" t="s">
        <v>2705</v>
      </c>
      <c r="AD128" t="s">
        <v>2706</v>
      </c>
      <c r="AE128" t="s">
        <v>2707</v>
      </c>
      <c r="AF128" t="s">
        <v>74</v>
      </c>
      <c r="AG128">
        <v>15</v>
      </c>
      <c r="AH128">
        <v>0</v>
      </c>
      <c r="AI128">
        <v>0</v>
      </c>
      <c r="AJ128">
        <v>1</v>
      </c>
      <c r="AK128">
        <v>1</v>
      </c>
      <c r="AL128" t="s">
        <v>2708</v>
      </c>
      <c r="AM128" t="s">
        <v>2709</v>
      </c>
      <c r="AN128" t="s">
        <v>2710</v>
      </c>
      <c r="AO128" t="s">
        <v>2711</v>
      </c>
      <c r="AP128" t="s">
        <v>2712</v>
      </c>
      <c r="AQ128" t="s">
        <v>74</v>
      </c>
      <c r="AR128" t="s">
        <v>2695</v>
      </c>
      <c r="AS128" t="s">
        <v>2713</v>
      </c>
      <c r="AT128" t="s">
        <v>2714</v>
      </c>
      <c r="AU128">
        <v>2022</v>
      </c>
      <c r="AV128">
        <v>5162</v>
      </c>
      <c r="AW128">
        <v>3</v>
      </c>
      <c r="AX128" t="s">
        <v>74</v>
      </c>
      <c r="AY128" t="s">
        <v>74</v>
      </c>
      <c r="AZ128" t="s">
        <v>74</v>
      </c>
      <c r="BA128" t="s">
        <v>74</v>
      </c>
      <c r="BB128">
        <v>277</v>
      </c>
      <c r="BC128">
        <v>289</v>
      </c>
      <c r="BD128" t="s">
        <v>74</v>
      </c>
      <c r="BE128" t="s">
        <v>2715</v>
      </c>
      <c r="BF128" t="str">
        <f>HYPERLINK("http://dx.doi.org/10.11646/zootaxa.5162.3.5","http://dx.doi.org/10.11646/zootaxa.5162.3.5")</f>
        <v>http://dx.doi.org/10.11646/zootaxa.5162.3.5</v>
      </c>
      <c r="BG128" t="s">
        <v>74</v>
      </c>
      <c r="BH128" t="s">
        <v>74</v>
      </c>
      <c r="BI128">
        <v>13</v>
      </c>
      <c r="BJ128" t="s">
        <v>1274</v>
      </c>
      <c r="BK128" t="s">
        <v>101</v>
      </c>
      <c r="BL128" t="s">
        <v>1274</v>
      </c>
      <c r="BM128" t="s">
        <v>2716</v>
      </c>
      <c r="BN128">
        <v>36095506</v>
      </c>
      <c r="BO128" t="s">
        <v>74</v>
      </c>
      <c r="BP128" t="s">
        <v>74</v>
      </c>
      <c r="BQ128" t="s">
        <v>74</v>
      </c>
      <c r="BR128" t="s">
        <v>104</v>
      </c>
      <c r="BS128" t="s">
        <v>2717</v>
      </c>
      <c r="BT128" t="str">
        <f>HYPERLINK("https%3A%2F%2Fwww.webofscience.com%2Fwos%2Fwoscc%2Ffull-record%2FWOS:000827646900003","View Full Record in Web of Science")</f>
        <v>View Full Record in Web of Science</v>
      </c>
    </row>
    <row r="129" spans="1:72" x14ac:dyDescent="0.25">
      <c r="A129" t="s">
        <v>72</v>
      </c>
      <c r="B129" t="s">
        <v>2718</v>
      </c>
      <c r="C129" t="s">
        <v>74</v>
      </c>
      <c r="D129" t="s">
        <v>74</v>
      </c>
      <c r="E129" t="s">
        <v>74</v>
      </c>
      <c r="F129" t="s">
        <v>2719</v>
      </c>
      <c r="G129" t="s">
        <v>74</v>
      </c>
      <c r="H129" t="s">
        <v>74</v>
      </c>
      <c r="I129" t="s">
        <v>2720</v>
      </c>
      <c r="J129" t="s">
        <v>2721</v>
      </c>
      <c r="K129" t="s">
        <v>74</v>
      </c>
      <c r="L129" t="s">
        <v>74</v>
      </c>
      <c r="M129" t="s">
        <v>78</v>
      </c>
      <c r="N129" t="s">
        <v>79</v>
      </c>
      <c r="O129" t="s">
        <v>74</v>
      </c>
      <c r="P129" t="s">
        <v>74</v>
      </c>
      <c r="Q129" t="s">
        <v>74</v>
      </c>
      <c r="R129" t="s">
        <v>74</v>
      </c>
      <c r="S129" t="s">
        <v>74</v>
      </c>
      <c r="T129" t="s">
        <v>2722</v>
      </c>
      <c r="U129" t="s">
        <v>2723</v>
      </c>
      <c r="V129" t="s">
        <v>2724</v>
      </c>
      <c r="W129" t="s">
        <v>2725</v>
      </c>
      <c r="X129" t="s">
        <v>2726</v>
      </c>
      <c r="Y129" t="s">
        <v>2727</v>
      </c>
      <c r="Z129" t="s">
        <v>2728</v>
      </c>
      <c r="AA129" t="s">
        <v>2729</v>
      </c>
      <c r="AB129" t="s">
        <v>2730</v>
      </c>
      <c r="AC129" t="s">
        <v>2731</v>
      </c>
      <c r="AD129" t="s">
        <v>2732</v>
      </c>
      <c r="AE129" t="s">
        <v>2733</v>
      </c>
      <c r="AF129" t="s">
        <v>74</v>
      </c>
      <c r="AG129">
        <v>64</v>
      </c>
      <c r="AH129">
        <v>0</v>
      </c>
      <c r="AI129">
        <v>0</v>
      </c>
      <c r="AJ129">
        <v>0</v>
      </c>
      <c r="AK129">
        <v>0</v>
      </c>
      <c r="AL129" t="s">
        <v>485</v>
      </c>
      <c r="AM129" t="s">
        <v>486</v>
      </c>
      <c r="AN129" t="s">
        <v>487</v>
      </c>
      <c r="AO129" t="s">
        <v>2734</v>
      </c>
      <c r="AP129" t="s">
        <v>2735</v>
      </c>
      <c r="AQ129" t="s">
        <v>74</v>
      </c>
      <c r="AR129" t="s">
        <v>2736</v>
      </c>
      <c r="AS129" t="s">
        <v>2737</v>
      </c>
      <c r="AT129" t="s">
        <v>2295</v>
      </c>
      <c r="AU129">
        <v>2023</v>
      </c>
      <c r="AV129">
        <v>49</v>
      </c>
      <c r="AW129">
        <v>3</v>
      </c>
      <c r="AX129" t="s">
        <v>74</v>
      </c>
      <c r="AY129" t="s">
        <v>74</v>
      </c>
      <c r="AZ129" t="s">
        <v>74</v>
      </c>
      <c r="BA129" t="s">
        <v>74</v>
      </c>
      <c r="BB129">
        <v>5279</v>
      </c>
      <c r="BC129">
        <v>5291</v>
      </c>
      <c r="BD129" t="s">
        <v>74</v>
      </c>
      <c r="BE129" t="s">
        <v>2738</v>
      </c>
      <c r="BF129" t="str">
        <f>HYPERLINK("http://dx.doi.org/10.1016/j.ceramint.2022.10.046","http://dx.doi.org/10.1016/j.ceramint.2022.10.046")</f>
        <v>http://dx.doi.org/10.1016/j.ceramint.2022.10.046</v>
      </c>
      <c r="BG129" t="s">
        <v>74</v>
      </c>
      <c r="BH129" t="s">
        <v>74</v>
      </c>
      <c r="BI129">
        <v>13</v>
      </c>
      <c r="BJ129" t="s">
        <v>2739</v>
      </c>
      <c r="BK129" t="s">
        <v>101</v>
      </c>
      <c r="BL129" t="s">
        <v>2740</v>
      </c>
      <c r="BM129" t="s">
        <v>2741</v>
      </c>
      <c r="BN129" t="s">
        <v>74</v>
      </c>
      <c r="BO129" t="s">
        <v>74</v>
      </c>
      <c r="BP129" t="s">
        <v>74</v>
      </c>
      <c r="BQ129" t="s">
        <v>74</v>
      </c>
      <c r="BR129" t="s">
        <v>104</v>
      </c>
      <c r="BS129" t="s">
        <v>2742</v>
      </c>
      <c r="BT129" t="str">
        <f>HYPERLINK("https%3A%2F%2Fwww.webofscience.com%2Fwos%2Fwoscc%2Ffull-record%2FWOS:000905408600001","View Full Record in Web of Science")</f>
        <v>View Full Record in Web of Science</v>
      </c>
    </row>
    <row r="130" spans="1:72" x14ac:dyDescent="0.25">
      <c r="A130" t="s">
        <v>72</v>
      </c>
      <c r="B130" t="s">
        <v>2743</v>
      </c>
      <c r="C130" t="s">
        <v>74</v>
      </c>
      <c r="D130" t="s">
        <v>74</v>
      </c>
      <c r="E130" t="s">
        <v>74</v>
      </c>
      <c r="F130" t="s">
        <v>2744</v>
      </c>
      <c r="G130" t="s">
        <v>74</v>
      </c>
      <c r="H130" t="s">
        <v>74</v>
      </c>
      <c r="I130" t="s">
        <v>2745</v>
      </c>
      <c r="J130" t="s">
        <v>2746</v>
      </c>
      <c r="K130" t="s">
        <v>74</v>
      </c>
      <c r="L130" t="s">
        <v>74</v>
      </c>
      <c r="M130" t="s">
        <v>78</v>
      </c>
      <c r="N130" t="s">
        <v>79</v>
      </c>
      <c r="O130" t="s">
        <v>74</v>
      </c>
      <c r="P130" t="s">
        <v>74</v>
      </c>
      <c r="Q130" t="s">
        <v>74</v>
      </c>
      <c r="R130" t="s">
        <v>74</v>
      </c>
      <c r="S130" t="s">
        <v>74</v>
      </c>
      <c r="T130" t="s">
        <v>74</v>
      </c>
      <c r="U130" t="s">
        <v>2747</v>
      </c>
      <c r="V130" t="s">
        <v>2748</v>
      </c>
      <c r="W130" t="s">
        <v>2749</v>
      </c>
      <c r="X130" t="s">
        <v>2750</v>
      </c>
      <c r="Y130" t="s">
        <v>2751</v>
      </c>
      <c r="Z130" t="s">
        <v>2752</v>
      </c>
      <c r="AA130" t="s">
        <v>74</v>
      </c>
      <c r="AB130" t="s">
        <v>2753</v>
      </c>
      <c r="AC130" t="s">
        <v>2754</v>
      </c>
      <c r="AD130" t="s">
        <v>2754</v>
      </c>
      <c r="AE130" t="s">
        <v>2755</v>
      </c>
      <c r="AF130" t="s">
        <v>74</v>
      </c>
      <c r="AG130">
        <v>36</v>
      </c>
      <c r="AH130">
        <v>1</v>
      </c>
      <c r="AI130">
        <v>1</v>
      </c>
      <c r="AJ130">
        <v>0</v>
      </c>
      <c r="AK130">
        <v>0</v>
      </c>
      <c r="AL130" t="s">
        <v>2756</v>
      </c>
      <c r="AM130" t="s">
        <v>2757</v>
      </c>
      <c r="AN130" t="s">
        <v>2758</v>
      </c>
      <c r="AO130" t="s">
        <v>2759</v>
      </c>
      <c r="AP130" t="s">
        <v>74</v>
      </c>
      <c r="AQ130" t="s">
        <v>74</v>
      </c>
      <c r="AR130" t="s">
        <v>2760</v>
      </c>
      <c r="AS130" t="s">
        <v>2761</v>
      </c>
      <c r="AT130" t="s">
        <v>2762</v>
      </c>
      <c r="AU130">
        <v>2022</v>
      </c>
      <c r="AV130">
        <v>2022</v>
      </c>
      <c r="AW130">
        <v>1</v>
      </c>
      <c r="AX130" t="s">
        <v>74</v>
      </c>
      <c r="AY130" t="s">
        <v>74</v>
      </c>
      <c r="AZ130" t="s">
        <v>74</v>
      </c>
      <c r="BA130" t="s">
        <v>74</v>
      </c>
      <c r="BB130" t="s">
        <v>74</v>
      </c>
      <c r="BC130" t="s">
        <v>74</v>
      </c>
      <c r="BD130" t="s">
        <v>2763</v>
      </c>
      <c r="BE130" t="s">
        <v>2764</v>
      </c>
      <c r="BF130" t="str">
        <f>HYPERLINK("http://dx.doi.org/10.1093/ptep/ptab139","http://dx.doi.org/10.1093/ptep/ptab139")</f>
        <v>http://dx.doi.org/10.1093/ptep/ptab139</v>
      </c>
      <c r="BG130" t="s">
        <v>74</v>
      </c>
      <c r="BH130" t="s">
        <v>74</v>
      </c>
      <c r="BI130">
        <v>13</v>
      </c>
      <c r="BJ130" t="s">
        <v>2765</v>
      </c>
      <c r="BK130" t="s">
        <v>101</v>
      </c>
      <c r="BL130" t="s">
        <v>711</v>
      </c>
      <c r="BM130" t="s">
        <v>2766</v>
      </c>
      <c r="BN130" t="s">
        <v>74</v>
      </c>
      <c r="BO130" t="s">
        <v>383</v>
      </c>
      <c r="BP130" t="s">
        <v>74</v>
      </c>
      <c r="BQ130" t="s">
        <v>74</v>
      </c>
      <c r="BR130" t="s">
        <v>104</v>
      </c>
      <c r="BS130" t="s">
        <v>2767</v>
      </c>
      <c r="BT130" t="str">
        <f>HYPERLINK("https%3A%2F%2Fwww.webofscience.com%2Fwos%2Fwoscc%2Ffull-record%2FWOS:000753583700003","View Full Record in Web of Science")</f>
        <v>View Full Record in Web of Science</v>
      </c>
    </row>
    <row r="131" spans="1:72" x14ac:dyDescent="0.25">
      <c r="A131" t="s">
        <v>72</v>
      </c>
      <c r="B131" t="s">
        <v>2768</v>
      </c>
      <c r="C131" t="s">
        <v>74</v>
      </c>
      <c r="D131" t="s">
        <v>74</v>
      </c>
      <c r="E131" t="s">
        <v>74</v>
      </c>
      <c r="F131" t="s">
        <v>2769</v>
      </c>
      <c r="G131" t="s">
        <v>74</v>
      </c>
      <c r="H131" t="s">
        <v>74</v>
      </c>
      <c r="I131" t="s">
        <v>2770</v>
      </c>
      <c r="J131" t="s">
        <v>2771</v>
      </c>
      <c r="K131" t="s">
        <v>74</v>
      </c>
      <c r="L131" t="s">
        <v>74</v>
      </c>
      <c r="M131" t="s">
        <v>78</v>
      </c>
      <c r="N131" t="s">
        <v>135</v>
      </c>
      <c r="O131" t="s">
        <v>74</v>
      </c>
      <c r="P131" t="s">
        <v>74</v>
      </c>
      <c r="Q131" t="s">
        <v>74</v>
      </c>
      <c r="R131" t="s">
        <v>74</v>
      </c>
      <c r="S131" t="s">
        <v>74</v>
      </c>
      <c r="T131" t="s">
        <v>2772</v>
      </c>
      <c r="U131" t="s">
        <v>2773</v>
      </c>
      <c r="V131" t="s">
        <v>2774</v>
      </c>
      <c r="W131" t="s">
        <v>2775</v>
      </c>
      <c r="X131" t="s">
        <v>2776</v>
      </c>
      <c r="Y131" t="s">
        <v>2777</v>
      </c>
      <c r="Z131" t="s">
        <v>2778</v>
      </c>
      <c r="AA131" t="s">
        <v>74</v>
      </c>
      <c r="AB131" t="s">
        <v>2779</v>
      </c>
      <c r="AC131" t="s">
        <v>2780</v>
      </c>
      <c r="AD131" t="s">
        <v>2781</v>
      </c>
      <c r="AE131" t="s">
        <v>2782</v>
      </c>
      <c r="AF131" t="s">
        <v>74</v>
      </c>
      <c r="AG131">
        <v>53</v>
      </c>
      <c r="AH131">
        <v>1</v>
      </c>
      <c r="AI131">
        <v>1</v>
      </c>
      <c r="AJ131">
        <v>4</v>
      </c>
      <c r="AK131">
        <v>4</v>
      </c>
      <c r="AL131" t="s">
        <v>146</v>
      </c>
      <c r="AM131" t="s">
        <v>147</v>
      </c>
      <c r="AN131" t="s">
        <v>148</v>
      </c>
      <c r="AO131" t="s">
        <v>2783</v>
      </c>
      <c r="AP131" t="s">
        <v>2784</v>
      </c>
      <c r="AQ131" t="s">
        <v>74</v>
      </c>
      <c r="AR131" t="s">
        <v>2785</v>
      </c>
      <c r="AS131" t="s">
        <v>2786</v>
      </c>
      <c r="AT131" t="s">
        <v>74</v>
      </c>
      <c r="AU131" t="s">
        <v>74</v>
      </c>
      <c r="AV131" t="s">
        <v>74</v>
      </c>
      <c r="AW131" t="s">
        <v>74</v>
      </c>
      <c r="AX131" t="s">
        <v>74</v>
      </c>
      <c r="AY131" t="s">
        <v>74</v>
      </c>
      <c r="AZ131" t="s">
        <v>74</v>
      </c>
      <c r="BA131" t="s">
        <v>74</v>
      </c>
      <c r="BB131" t="s">
        <v>74</v>
      </c>
      <c r="BC131" t="s">
        <v>74</v>
      </c>
      <c r="BD131" t="s">
        <v>74</v>
      </c>
      <c r="BE131" t="s">
        <v>2787</v>
      </c>
      <c r="BF131" t="str">
        <f>HYPERLINK("http://dx.doi.org/10.1007/s10884-022-10193-8","http://dx.doi.org/10.1007/s10884-022-10193-8")</f>
        <v>http://dx.doi.org/10.1007/s10884-022-10193-8</v>
      </c>
      <c r="BG131" t="s">
        <v>74</v>
      </c>
      <c r="BH131" t="s">
        <v>440</v>
      </c>
      <c r="BI131">
        <v>47</v>
      </c>
      <c r="BJ131" t="s">
        <v>2297</v>
      </c>
      <c r="BK131" t="s">
        <v>101</v>
      </c>
      <c r="BL131" t="s">
        <v>733</v>
      </c>
      <c r="BM131" t="s">
        <v>2788</v>
      </c>
      <c r="BN131" t="s">
        <v>74</v>
      </c>
      <c r="BO131" t="s">
        <v>74</v>
      </c>
      <c r="BP131" t="s">
        <v>74</v>
      </c>
      <c r="BQ131" t="s">
        <v>74</v>
      </c>
      <c r="BR131" t="s">
        <v>104</v>
      </c>
      <c r="BS131" t="s">
        <v>2789</v>
      </c>
      <c r="BT131" t="str">
        <f>HYPERLINK("https%3A%2F%2Fwww.webofscience.com%2Fwos%2Fwoscc%2Ffull-record%2FWOS:000829687200002","View Full Record in Web of Science")</f>
        <v>View Full Record in Web of Science</v>
      </c>
    </row>
    <row r="132" spans="1:72" x14ac:dyDescent="0.25">
      <c r="A132" t="s">
        <v>72</v>
      </c>
      <c r="B132" t="s">
        <v>2790</v>
      </c>
      <c r="C132" t="s">
        <v>74</v>
      </c>
      <c r="D132" t="s">
        <v>74</v>
      </c>
      <c r="E132" t="s">
        <v>74</v>
      </c>
      <c r="F132" t="s">
        <v>2791</v>
      </c>
      <c r="G132" t="s">
        <v>74</v>
      </c>
      <c r="H132" t="s">
        <v>74</v>
      </c>
      <c r="I132" t="s">
        <v>2792</v>
      </c>
      <c r="J132" t="s">
        <v>2793</v>
      </c>
      <c r="K132" t="s">
        <v>74</v>
      </c>
      <c r="L132" t="s">
        <v>74</v>
      </c>
      <c r="M132" t="s">
        <v>78</v>
      </c>
      <c r="N132" t="s">
        <v>79</v>
      </c>
      <c r="O132" t="s">
        <v>74</v>
      </c>
      <c r="P132" t="s">
        <v>74</v>
      </c>
      <c r="Q132" t="s">
        <v>74</v>
      </c>
      <c r="R132" t="s">
        <v>74</v>
      </c>
      <c r="S132" t="s">
        <v>74</v>
      </c>
      <c r="T132" t="s">
        <v>2794</v>
      </c>
      <c r="U132" t="s">
        <v>2795</v>
      </c>
      <c r="V132" t="s">
        <v>2796</v>
      </c>
      <c r="W132" t="s">
        <v>2797</v>
      </c>
      <c r="X132" t="s">
        <v>84</v>
      </c>
      <c r="Y132" t="s">
        <v>2798</v>
      </c>
      <c r="Z132" t="s">
        <v>2799</v>
      </c>
      <c r="AA132" t="s">
        <v>74</v>
      </c>
      <c r="AB132" t="s">
        <v>74</v>
      </c>
      <c r="AC132" t="s">
        <v>74</v>
      </c>
      <c r="AD132" t="s">
        <v>74</v>
      </c>
      <c r="AE132" t="s">
        <v>74</v>
      </c>
      <c r="AF132" t="s">
        <v>74</v>
      </c>
      <c r="AG132">
        <v>40</v>
      </c>
      <c r="AH132">
        <v>2</v>
      </c>
      <c r="AI132">
        <v>2</v>
      </c>
      <c r="AJ132">
        <v>0</v>
      </c>
      <c r="AK132">
        <v>3</v>
      </c>
      <c r="AL132" t="s">
        <v>251</v>
      </c>
      <c r="AM132" t="s">
        <v>252</v>
      </c>
      <c r="AN132" t="s">
        <v>253</v>
      </c>
      <c r="AO132" t="s">
        <v>2800</v>
      </c>
      <c r="AP132" t="s">
        <v>2801</v>
      </c>
      <c r="AQ132" t="s">
        <v>74</v>
      </c>
      <c r="AR132" t="s">
        <v>2802</v>
      </c>
      <c r="AS132" t="s">
        <v>2803</v>
      </c>
      <c r="AT132" t="s">
        <v>124</v>
      </c>
      <c r="AU132">
        <v>2022</v>
      </c>
      <c r="AV132">
        <v>280</v>
      </c>
      <c r="AW132" t="s">
        <v>74</v>
      </c>
      <c r="AX132" t="s">
        <v>74</v>
      </c>
      <c r="AY132" t="s">
        <v>74</v>
      </c>
      <c r="AZ132" t="s">
        <v>74</v>
      </c>
      <c r="BA132" t="s">
        <v>74</v>
      </c>
      <c r="BB132" t="s">
        <v>74</v>
      </c>
      <c r="BC132" t="s">
        <v>74</v>
      </c>
      <c r="BD132">
        <v>115719</v>
      </c>
      <c r="BE132" t="s">
        <v>2804</v>
      </c>
      <c r="BF132" t="str">
        <f>HYPERLINK("http://dx.doi.org/10.1016/j.mseb.2022.115719","http://dx.doi.org/10.1016/j.mseb.2022.115719")</f>
        <v>http://dx.doi.org/10.1016/j.mseb.2022.115719</v>
      </c>
      <c r="BG132" t="s">
        <v>74</v>
      </c>
      <c r="BH132" t="s">
        <v>259</v>
      </c>
      <c r="BI132">
        <v>8</v>
      </c>
      <c r="BJ132" t="s">
        <v>2805</v>
      </c>
      <c r="BK132" t="s">
        <v>101</v>
      </c>
      <c r="BL132" t="s">
        <v>2517</v>
      </c>
      <c r="BM132" t="s">
        <v>2806</v>
      </c>
      <c r="BN132" t="s">
        <v>74</v>
      </c>
      <c r="BO132" t="s">
        <v>74</v>
      </c>
      <c r="BP132" t="s">
        <v>74</v>
      </c>
      <c r="BQ132" t="s">
        <v>74</v>
      </c>
      <c r="BR132" t="s">
        <v>104</v>
      </c>
      <c r="BS132" t="s">
        <v>2807</v>
      </c>
      <c r="BT132" t="str">
        <f>HYPERLINK("https%3A%2F%2Fwww.webofscience.com%2Fwos%2Fwoscc%2Ffull-record%2FWOS:000807381000001","View Full Record in Web of Science")</f>
        <v>View Full Record in Web of Science</v>
      </c>
    </row>
    <row r="133" spans="1:72" x14ac:dyDescent="0.25">
      <c r="A133" t="s">
        <v>72</v>
      </c>
      <c r="B133" t="s">
        <v>2808</v>
      </c>
      <c r="C133" t="s">
        <v>74</v>
      </c>
      <c r="D133" t="s">
        <v>74</v>
      </c>
      <c r="E133" t="s">
        <v>74</v>
      </c>
      <c r="F133" t="s">
        <v>2809</v>
      </c>
      <c r="G133" t="s">
        <v>74</v>
      </c>
      <c r="H133" t="s">
        <v>74</v>
      </c>
      <c r="I133" t="s">
        <v>2810</v>
      </c>
      <c r="J133" t="s">
        <v>2811</v>
      </c>
      <c r="K133" t="s">
        <v>74</v>
      </c>
      <c r="L133" t="s">
        <v>74</v>
      </c>
      <c r="M133" t="s">
        <v>1234</v>
      </c>
      <c r="N133" t="s">
        <v>79</v>
      </c>
      <c r="O133" t="s">
        <v>74</v>
      </c>
      <c r="P133" t="s">
        <v>74</v>
      </c>
      <c r="Q133" t="s">
        <v>74</v>
      </c>
      <c r="R133" t="s">
        <v>74</v>
      </c>
      <c r="S133" t="s">
        <v>74</v>
      </c>
      <c r="T133" t="s">
        <v>2812</v>
      </c>
      <c r="U133" t="s">
        <v>2813</v>
      </c>
      <c r="V133" t="s">
        <v>2814</v>
      </c>
      <c r="W133" t="s">
        <v>2815</v>
      </c>
      <c r="X133" t="s">
        <v>2816</v>
      </c>
      <c r="Y133" t="s">
        <v>2817</v>
      </c>
      <c r="Z133" t="s">
        <v>2818</v>
      </c>
      <c r="AA133" t="s">
        <v>74</v>
      </c>
      <c r="AB133" t="s">
        <v>74</v>
      </c>
      <c r="AC133" t="s">
        <v>74</v>
      </c>
      <c r="AD133" t="s">
        <v>74</v>
      </c>
      <c r="AE133" t="s">
        <v>74</v>
      </c>
      <c r="AF133" t="s">
        <v>74</v>
      </c>
      <c r="AG133">
        <v>28</v>
      </c>
      <c r="AH133">
        <v>0</v>
      </c>
      <c r="AI133">
        <v>0</v>
      </c>
      <c r="AJ133">
        <v>1</v>
      </c>
      <c r="AK133">
        <v>1</v>
      </c>
      <c r="AL133" t="s">
        <v>2819</v>
      </c>
      <c r="AM133" t="s">
        <v>2820</v>
      </c>
      <c r="AN133" t="s">
        <v>2821</v>
      </c>
      <c r="AO133" t="s">
        <v>2822</v>
      </c>
      <c r="AP133" t="s">
        <v>2823</v>
      </c>
      <c r="AQ133" t="s">
        <v>74</v>
      </c>
      <c r="AR133" t="s">
        <v>2811</v>
      </c>
      <c r="AS133" t="s">
        <v>2824</v>
      </c>
      <c r="AT133" t="s">
        <v>1987</v>
      </c>
      <c r="AU133">
        <v>2022</v>
      </c>
      <c r="AV133">
        <v>19</v>
      </c>
      <c r="AW133">
        <v>1</v>
      </c>
      <c r="AX133" t="s">
        <v>74</v>
      </c>
      <c r="AY133" t="s">
        <v>74</v>
      </c>
      <c r="AZ133" t="s">
        <v>74</v>
      </c>
      <c r="BA133" t="s">
        <v>74</v>
      </c>
      <c r="BB133">
        <v>106</v>
      </c>
      <c r="BC133">
        <v>115</v>
      </c>
      <c r="BD133" t="s">
        <v>74</v>
      </c>
      <c r="BE133" t="s">
        <v>2825</v>
      </c>
      <c r="BF133" t="str">
        <f>HYPERLINK("http://dx.doi.org/10.21676/2389783X.4690","http://dx.doi.org/10.21676/2389783X.4690")</f>
        <v>http://dx.doi.org/10.21676/2389783X.4690</v>
      </c>
      <c r="BG133" t="s">
        <v>74</v>
      </c>
      <c r="BH133" t="s">
        <v>74</v>
      </c>
      <c r="BI133">
        <v>10</v>
      </c>
      <c r="BJ133" t="s">
        <v>2826</v>
      </c>
      <c r="BK133" t="s">
        <v>180</v>
      </c>
      <c r="BL133" t="s">
        <v>2827</v>
      </c>
      <c r="BM133" t="s">
        <v>2828</v>
      </c>
      <c r="BN133" t="s">
        <v>74</v>
      </c>
      <c r="BO133" t="s">
        <v>183</v>
      </c>
      <c r="BP133" t="s">
        <v>74</v>
      </c>
      <c r="BQ133" t="s">
        <v>74</v>
      </c>
      <c r="BR133" t="s">
        <v>104</v>
      </c>
      <c r="BS133" t="s">
        <v>2829</v>
      </c>
      <c r="BT133" t="str">
        <f>HYPERLINK("https%3A%2F%2Fwww.webofscience.com%2Fwos%2Fwoscc%2Ffull-record%2FWOS:000829170900004","View Full Record in Web of Science")</f>
        <v>View Full Record in Web of Science</v>
      </c>
    </row>
    <row r="134" spans="1:72" x14ac:dyDescent="0.25">
      <c r="A134" t="s">
        <v>72</v>
      </c>
      <c r="B134" t="s">
        <v>2830</v>
      </c>
      <c r="C134" t="s">
        <v>74</v>
      </c>
      <c r="D134" t="s">
        <v>74</v>
      </c>
      <c r="E134" t="s">
        <v>74</v>
      </c>
      <c r="F134" t="s">
        <v>2831</v>
      </c>
      <c r="G134" t="s">
        <v>74</v>
      </c>
      <c r="H134" t="s">
        <v>74</v>
      </c>
      <c r="I134" t="s">
        <v>2832</v>
      </c>
      <c r="J134" t="s">
        <v>2641</v>
      </c>
      <c r="K134" t="s">
        <v>74</v>
      </c>
      <c r="L134" t="s">
        <v>74</v>
      </c>
      <c r="M134" t="s">
        <v>1234</v>
      </c>
      <c r="N134" t="s">
        <v>79</v>
      </c>
      <c r="O134" t="s">
        <v>74</v>
      </c>
      <c r="P134" t="s">
        <v>74</v>
      </c>
      <c r="Q134" t="s">
        <v>74</v>
      </c>
      <c r="R134" t="s">
        <v>74</v>
      </c>
      <c r="S134" t="s">
        <v>74</v>
      </c>
      <c r="T134" t="s">
        <v>2833</v>
      </c>
      <c r="U134" t="s">
        <v>74</v>
      </c>
      <c r="V134" t="s">
        <v>2834</v>
      </c>
      <c r="W134" t="s">
        <v>2835</v>
      </c>
      <c r="X134" t="s">
        <v>84</v>
      </c>
      <c r="Y134" t="s">
        <v>2836</v>
      </c>
      <c r="Z134" t="s">
        <v>2645</v>
      </c>
      <c r="AA134" t="s">
        <v>74</v>
      </c>
      <c r="AB134" t="s">
        <v>74</v>
      </c>
      <c r="AC134" t="s">
        <v>74</v>
      </c>
      <c r="AD134" t="s">
        <v>74</v>
      </c>
      <c r="AE134" t="s">
        <v>74</v>
      </c>
      <c r="AF134" t="s">
        <v>74</v>
      </c>
      <c r="AG134">
        <v>27</v>
      </c>
      <c r="AH134">
        <v>0</v>
      </c>
      <c r="AI134">
        <v>0</v>
      </c>
      <c r="AJ134">
        <v>0</v>
      </c>
      <c r="AK134">
        <v>3</v>
      </c>
      <c r="AL134" t="s">
        <v>1391</v>
      </c>
      <c r="AM134" t="s">
        <v>1392</v>
      </c>
      <c r="AN134" t="s">
        <v>1393</v>
      </c>
      <c r="AO134" t="s">
        <v>2648</v>
      </c>
      <c r="AP134" t="s">
        <v>2649</v>
      </c>
      <c r="AQ134" t="s">
        <v>74</v>
      </c>
      <c r="AR134" t="s">
        <v>2650</v>
      </c>
      <c r="AS134" t="s">
        <v>2651</v>
      </c>
      <c r="AT134" t="s">
        <v>74</v>
      </c>
      <c r="AU134">
        <v>2022</v>
      </c>
      <c r="AV134">
        <v>13</v>
      </c>
      <c r="AW134">
        <v>32</v>
      </c>
      <c r="AX134" t="s">
        <v>74</v>
      </c>
      <c r="AY134" t="s">
        <v>74</v>
      </c>
      <c r="AZ134" t="s">
        <v>74</v>
      </c>
      <c r="BA134" t="s">
        <v>74</v>
      </c>
      <c r="BB134" t="s">
        <v>74</v>
      </c>
      <c r="BC134" t="s">
        <v>74</v>
      </c>
      <c r="BD134" t="s">
        <v>2837</v>
      </c>
      <c r="BE134" t="s">
        <v>2838</v>
      </c>
      <c r="BF134" t="str">
        <f>HYPERLINK("http://dx.doi.org/10.19053/22160159.v13.n32.2022.12522","http://dx.doi.org/10.19053/22160159.v13.n32.2022.12522")</f>
        <v>http://dx.doi.org/10.19053/22160159.v13.n32.2022.12522</v>
      </c>
      <c r="BG134" t="s">
        <v>74</v>
      </c>
      <c r="BH134" t="s">
        <v>74</v>
      </c>
      <c r="BI134">
        <v>16</v>
      </c>
      <c r="BJ134" t="s">
        <v>1601</v>
      </c>
      <c r="BK134" t="s">
        <v>180</v>
      </c>
      <c r="BL134" t="s">
        <v>1601</v>
      </c>
      <c r="BM134" t="s">
        <v>2839</v>
      </c>
      <c r="BN134" t="s">
        <v>74</v>
      </c>
      <c r="BO134" t="s">
        <v>735</v>
      </c>
      <c r="BP134" t="s">
        <v>74</v>
      </c>
      <c r="BQ134" t="s">
        <v>74</v>
      </c>
      <c r="BR134" t="s">
        <v>104</v>
      </c>
      <c r="BS134" t="s">
        <v>2840</v>
      </c>
      <c r="BT134" t="str">
        <f>HYPERLINK("https%3A%2F%2Fwww.webofscience.com%2Fwos%2Fwoscc%2Ffull-record%2FWOS:000740658300008","View Full Record in Web of Science")</f>
        <v>View Full Record in Web of Science</v>
      </c>
    </row>
    <row r="135" spans="1:72" x14ac:dyDescent="0.25">
      <c r="A135" t="s">
        <v>72</v>
      </c>
      <c r="B135" t="s">
        <v>2841</v>
      </c>
      <c r="C135" t="s">
        <v>74</v>
      </c>
      <c r="D135" t="s">
        <v>74</v>
      </c>
      <c r="E135" t="s">
        <v>74</v>
      </c>
      <c r="F135" t="s">
        <v>2842</v>
      </c>
      <c r="G135" t="s">
        <v>74</v>
      </c>
      <c r="H135" t="s">
        <v>74</v>
      </c>
      <c r="I135" t="s">
        <v>2843</v>
      </c>
      <c r="J135" t="s">
        <v>2441</v>
      </c>
      <c r="K135" t="s">
        <v>74</v>
      </c>
      <c r="L135" t="s">
        <v>74</v>
      </c>
      <c r="M135" t="s">
        <v>78</v>
      </c>
      <c r="N135" t="s">
        <v>79</v>
      </c>
      <c r="O135" t="s">
        <v>74</v>
      </c>
      <c r="P135" t="s">
        <v>74</v>
      </c>
      <c r="Q135" t="s">
        <v>74</v>
      </c>
      <c r="R135" t="s">
        <v>74</v>
      </c>
      <c r="S135" t="s">
        <v>74</v>
      </c>
      <c r="T135" t="s">
        <v>2844</v>
      </c>
      <c r="U135" t="s">
        <v>74</v>
      </c>
      <c r="V135" t="s">
        <v>2845</v>
      </c>
      <c r="W135" t="s">
        <v>2846</v>
      </c>
      <c r="X135" t="s">
        <v>2847</v>
      </c>
      <c r="Y135" t="s">
        <v>2848</v>
      </c>
      <c r="Z135" t="s">
        <v>2849</v>
      </c>
      <c r="AA135" t="s">
        <v>74</v>
      </c>
      <c r="AB135" t="s">
        <v>2850</v>
      </c>
      <c r="AC135" t="s">
        <v>74</v>
      </c>
      <c r="AD135" t="s">
        <v>74</v>
      </c>
      <c r="AE135" t="s">
        <v>74</v>
      </c>
      <c r="AF135" t="s">
        <v>74</v>
      </c>
      <c r="AG135">
        <v>18</v>
      </c>
      <c r="AH135">
        <v>0</v>
      </c>
      <c r="AI135">
        <v>0</v>
      </c>
      <c r="AJ135">
        <v>1</v>
      </c>
      <c r="AK135">
        <v>1</v>
      </c>
      <c r="AL135" t="s">
        <v>92</v>
      </c>
      <c r="AM135" t="s">
        <v>93</v>
      </c>
      <c r="AN135" t="s">
        <v>94</v>
      </c>
      <c r="AO135" t="s">
        <v>74</v>
      </c>
      <c r="AP135" t="s">
        <v>2452</v>
      </c>
      <c r="AQ135" t="s">
        <v>74</v>
      </c>
      <c r="AR135" t="s">
        <v>2441</v>
      </c>
      <c r="AS135" t="s">
        <v>2453</v>
      </c>
      <c r="AT135" t="s">
        <v>2572</v>
      </c>
      <c r="AU135">
        <v>2022</v>
      </c>
      <c r="AV135">
        <v>10</v>
      </c>
      <c r="AW135">
        <v>12</v>
      </c>
      <c r="AX135" t="s">
        <v>74</v>
      </c>
      <c r="AY135" t="s">
        <v>74</v>
      </c>
      <c r="AZ135" t="s">
        <v>74</v>
      </c>
      <c r="BA135" t="s">
        <v>74</v>
      </c>
      <c r="BB135" t="s">
        <v>74</v>
      </c>
      <c r="BC135" t="s">
        <v>74</v>
      </c>
      <c r="BD135">
        <v>219</v>
      </c>
      <c r="BE135" t="s">
        <v>2851</v>
      </c>
      <c r="BF135" t="str">
        <f>HYPERLINK("http://dx.doi.org/10.3390/computation10120219","http://dx.doi.org/10.3390/computation10120219")</f>
        <v>http://dx.doi.org/10.3390/computation10120219</v>
      </c>
      <c r="BG135" t="s">
        <v>74</v>
      </c>
      <c r="BH135" t="s">
        <v>74</v>
      </c>
      <c r="BI135">
        <v>12</v>
      </c>
      <c r="BJ135" t="s">
        <v>2455</v>
      </c>
      <c r="BK135" t="s">
        <v>180</v>
      </c>
      <c r="BL135" t="s">
        <v>733</v>
      </c>
      <c r="BM135" t="s">
        <v>2852</v>
      </c>
      <c r="BN135" t="s">
        <v>74</v>
      </c>
      <c r="BO135" t="s">
        <v>183</v>
      </c>
      <c r="BP135" t="s">
        <v>74</v>
      </c>
      <c r="BQ135" t="s">
        <v>74</v>
      </c>
      <c r="BR135" t="s">
        <v>104</v>
      </c>
      <c r="BS135" t="s">
        <v>2853</v>
      </c>
      <c r="BT135" t="str">
        <f>HYPERLINK("https%3A%2F%2Fwww.webofscience.com%2Fwos%2Fwoscc%2Ffull-record%2FWOS:000900671200001","View Full Record in Web of Science")</f>
        <v>View Full Record in Web of Science</v>
      </c>
    </row>
    <row r="136" spans="1:72" x14ac:dyDescent="0.25">
      <c r="A136" t="s">
        <v>72</v>
      </c>
      <c r="B136" t="s">
        <v>2854</v>
      </c>
      <c r="C136" t="s">
        <v>74</v>
      </c>
      <c r="D136" t="s">
        <v>74</v>
      </c>
      <c r="E136" t="s">
        <v>74</v>
      </c>
      <c r="F136" t="s">
        <v>2855</v>
      </c>
      <c r="G136" t="s">
        <v>74</v>
      </c>
      <c r="H136" t="s">
        <v>74</v>
      </c>
      <c r="I136" t="s">
        <v>2856</v>
      </c>
      <c r="J136" t="s">
        <v>2857</v>
      </c>
      <c r="K136" t="s">
        <v>74</v>
      </c>
      <c r="L136" t="s">
        <v>74</v>
      </c>
      <c r="M136" t="s">
        <v>1234</v>
      </c>
      <c r="N136" t="s">
        <v>79</v>
      </c>
      <c r="O136" t="s">
        <v>74</v>
      </c>
      <c r="P136" t="s">
        <v>74</v>
      </c>
      <c r="Q136" t="s">
        <v>74</v>
      </c>
      <c r="R136" t="s">
        <v>74</v>
      </c>
      <c r="S136" t="s">
        <v>74</v>
      </c>
      <c r="T136" t="s">
        <v>2858</v>
      </c>
      <c r="U136" t="s">
        <v>2859</v>
      </c>
      <c r="V136" t="s">
        <v>2860</v>
      </c>
      <c r="W136" t="s">
        <v>2861</v>
      </c>
      <c r="X136" t="s">
        <v>2862</v>
      </c>
      <c r="Y136" t="s">
        <v>2863</v>
      </c>
      <c r="Z136" t="s">
        <v>2864</v>
      </c>
      <c r="AA136" t="s">
        <v>74</v>
      </c>
      <c r="AB136" t="s">
        <v>2865</v>
      </c>
      <c r="AC136" t="s">
        <v>74</v>
      </c>
      <c r="AD136" t="s">
        <v>74</v>
      </c>
      <c r="AE136" t="s">
        <v>74</v>
      </c>
      <c r="AF136" t="s">
        <v>74</v>
      </c>
      <c r="AG136">
        <v>35</v>
      </c>
      <c r="AH136">
        <v>0</v>
      </c>
      <c r="AI136">
        <v>0</v>
      </c>
      <c r="AJ136">
        <v>3</v>
      </c>
      <c r="AK136">
        <v>3</v>
      </c>
      <c r="AL136" t="s">
        <v>1593</v>
      </c>
      <c r="AM136" t="s">
        <v>301</v>
      </c>
      <c r="AN136" t="s">
        <v>1594</v>
      </c>
      <c r="AO136" t="s">
        <v>2866</v>
      </c>
      <c r="AP136" t="s">
        <v>2867</v>
      </c>
      <c r="AQ136" t="s">
        <v>74</v>
      </c>
      <c r="AR136" t="s">
        <v>2868</v>
      </c>
      <c r="AS136" t="s">
        <v>2869</v>
      </c>
      <c r="AT136" t="s">
        <v>853</v>
      </c>
      <c r="AU136">
        <v>2022</v>
      </c>
      <c r="AV136">
        <v>27</v>
      </c>
      <c r="AW136">
        <v>1</v>
      </c>
      <c r="AX136" t="s">
        <v>74</v>
      </c>
      <c r="AY136" t="s">
        <v>74</v>
      </c>
      <c r="AZ136" t="s">
        <v>74</v>
      </c>
      <c r="BA136" t="s">
        <v>74</v>
      </c>
      <c r="BB136" t="s">
        <v>74</v>
      </c>
      <c r="BC136" t="s">
        <v>74</v>
      </c>
      <c r="BD136" t="s">
        <v>2870</v>
      </c>
      <c r="BE136" t="s">
        <v>2871</v>
      </c>
      <c r="BF136" t="str">
        <f>HYPERLINK("http://dx.doi.org/10.14483/23448393.17467","http://dx.doi.org/10.14483/23448393.17467")</f>
        <v>http://dx.doi.org/10.14483/23448393.17467</v>
      </c>
      <c r="BG136" t="s">
        <v>74</v>
      </c>
      <c r="BH136" t="s">
        <v>74</v>
      </c>
      <c r="BI136">
        <v>14</v>
      </c>
      <c r="BJ136" t="s">
        <v>308</v>
      </c>
      <c r="BK136" t="s">
        <v>180</v>
      </c>
      <c r="BL136" t="s">
        <v>309</v>
      </c>
      <c r="BM136" t="s">
        <v>2872</v>
      </c>
      <c r="BN136" t="s">
        <v>74</v>
      </c>
      <c r="BO136" t="s">
        <v>183</v>
      </c>
      <c r="BP136" t="s">
        <v>74</v>
      </c>
      <c r="BQ136" t="s">
        <v>74</v>
      </c>
      <c r="BR136" t="s">
        <v>104</v>
      </c>
      <c r="BS136" t="s">
        <v>2873</v>
      </c>
      <c r="BT136" t="str">
        <f>HYPERLINK("https%3A%2F%2Fwww.webofscience.com%2Fwos%2Fwoscc%2Ffull-record%2FWOS:000798398500008","View Full Record in Web of Science")</f>
        <v>View Full Record in Web of Science</v>
      </c>
    </row>
    <row r="137" spans="1:72" x14ac:dyDescent="0.25">
      <c r="A137" t="s">
        <v>72</v>
      </c>
      <c r="B137" t="s">
        <v>2874</v>
      </c>
      <c r="C137" t="s">
        <v>74</v>
      </c>
      <c r="D137" t="s">
        <v>74</v>
      </c>
      <c r="E137" t="s">
        <v>74</v>
      </c>
      <c r="F137" t="s">
        <v>2875</v>
      </c>
      <c r="G137" t="s">
        <v>74</v>
      </c>
      <c r="H137" t="s">
        <v>74</v>
      </c>
      <c r="I137" t="s">
        <v>2876</v>
      </c>
      <c r="J137" t="s">
        <v>1701</v>
      </c>
      <c r="K137" t="s">
        <v>74</v>
      </c>
      <c r="L137" t="s">
        <v>74</v>
      </c>
      <c r="M137" t="s">
        <v>78</v>
      </c>
      <c r="N137" t="s">
        <v>79</v>
      </c>
      <c r="O137" t="s">
        <v>74</v>
      </c>
      <c r="P137" t="s">
        <v>74</v>
      </c>
      <c r="Q137" t="s">
        <v>74</v>
      </c>
      <c r="R137" t="s">
        <v>74</v>
      </c>
      <c r="S137" t="s">
        <v>74</v>
      </c>
      <c r="T137" t="s">
        <v>2877</v>
      </c>
      <c r="U137" t="s">
        <v>74</v>
      </c>
      <c r="V137" t="s">
        <v>2878</v>
      </c>
      <c r="W137" t="s">
        <v>2879</v>
      </c>
      <c r="X137" t="s">
        <v>2880</v>
      </c>
      <c r="Y137" t="s">
        <v>2881</v>
      </c>
      <c r="Z137" t="s">
        <v>2882</v>
      </c>
      <c r="AA137" t="s">
        <v>74</v>
      </c>
      <c r="AB137" t="s">
        <v>74</v>
      </c>
      <c r="AC137" t="s">
        <v>74</v>
      </c>
      <c r="AD137" t="s">
        <v>74</v>
      </c>
      <c r="AE137" t="s">
        <v>74</v>
      </c>
      <c r="AF137" t="s">
        <v>74</v>
      </c>
      <c r="AG137">
        <v>28</v>
      </c>
      <c r="AH137">
        <v>0</v>
      </c>
      <c r="AI137">
        <v>0</v>
      </c>
      <c r="AJ137">
        <v>3</v>
      </c>
      <c r="AK137">
        <v>3</v>
      </c>
      <c r="AL137" t="s">
        <v>1707</v>
      </c>
      <c r="AM137" t="s">
        <v>1708</v>
      </c>
      <c r="AN137" t="s">
        <v>1709</v>
      </c>
      <c r="AO137" t="s">
        <v>1710</v>
      </c>
      <c r="AP137" t="s">
        <v>1711</v>
      </c>
      <c r="AQ137" t="s">
        <v>74</v>
      </c>
      <c r="AR137" t="s">
        <v>1712</v>
      </c>
      <c r="AS137" t="s">
        <v>1713</v>
      </c>
      <c r="AT137" t="s">
        <v>231</v>
      </c>
      <c r="AU137">
        <v>2022</v>
      </c>
      <c r="AV137">
        <v>18</v>
      </c>
      <c r="AW137" t="s">
        <v>74</v>
      </c>
      <c r="AX137" t="s">
        <v>74</v>
      </c>
      <c r="AY137" t="s">
        <v>74</v>
      </c>
      <c r="AZ137" t="s">
        <v>74</v>
      </c>
      <c r="BA137" t="s">
        <v>74</v>
      </c>
      <c r="BB137">
        <v>1</v>
      </c>
      <c r="BC137">
        <v>23</v>
      </c>
      <c r="BD137" t="s">
        <v>74</v>
      </c>
      <c r="BE137" t="s">
        <v>2883</v>
      </c>
      <c r="BF137" t="str">
        <f>HYPERLINK("http://dx.doi.org/10.12957/childphilo.2022.64742","http://dx.doi.org/10.12957/childphilo.2022.64742")</f>
        <v>http://dx.doi.org/10.12957/childphilo.2022.64742</v>
      </c>
      <c r="BG137" t="s">
        <v>74</v>
      </c>
      <c r="BH137" t="s">
        <v>74</v>
      </c>
      <c r="BI137">
        <v>23</v>
      </c>
      <c r="BJ137" t="s">
        <v>1715</v>
      </c>
      <c r="BK137" t="s">
        <v>180</v>
      </c>
      <c r="BL137" t="s">
        <v>1715</v>
      </c>
      <c r="BM137" t="s">
        <v>2884</v>
      </c>
      <c r="BN137" t="s">
        <v>74</v>
      </c>
      <c r="BO137" t="s">
        <v>183</v>
      </c>
      <c r="BP137" t="s">
        <v>74</v>
      </c>
      <c r="BQ137" t="s">
        <v>74</v>
      </c>
      <c r="BR137" t="s">
        <v>104</v>
      </c>
      <c r="BS137" t="s">
        <v>2885</v>
      </c>
      <c r="BT137" t="str">
        <f>HYPERLINK("https%3A%2F%2Fwww.webofscience.com%2Fwos%2Fwoscc%2Ffull-record%2FWOS:000859983300001","View Full Record in Web of Science")</f>
        <v>View Full Record in Web of Science</v>
      </c>
    </row>
    <row r="138" spans="1:72" x14ac:dyDescent="0.25">
      <c r="A138" t="s">
        <v>72</v>
      </c>
      <c r="B138" t="s">
        <v>2886</v>
      </c>
      <c r="C138" t="s">
        <v>74</v>
      </c>
      <c r="D138" t="s">
        <v>74</v>
      </c>
      <c r="E138" t="s">
        <v>74</v>
      </c>
      <c r="F138" t="s">
        <v>2887</v>
      </c>
      <c r="G138" t="s">
        <v>74</v>
      </c>
      <c r="H138" t="s">
        <v>74</v>
      </c>
      <c r="I138" t="s">
        <v>2888</v>
      </c>
      <c r="J138" t="s">
        <v>2889</v>
      </c>
      <c r="K138" t="s">
        <v>74</v>
      </c>
      <c r="L138" t="s">
        <v>74</v>
      </c>
      <c r="M138" t="s">
        <v>1234</v>
      </c>
      <c r="N138" t="s">
        <v>79</v>
      </c>
      <c r="O138" t="s">
        <v>74</v>
      </c>
      <c r="P138" t="s">
        <v>74</v>
      </c>
      <c r="Q138" t="s">
        <v>74</v>
      </c>
      <c r="R138" t="s">
        <v>74</v>
      </c>
      <c r="S138" t="s">
        <v>74</v>
      </c>
      <c r="T138" t="s">
        <v>2890</v>
      </c>
      <c r="U138" t="s">
        <v>74</v>
      </c>
      <c r="V138" t="s">
        <v>2891</v>
      </c>
      <c r="W138" t="s">
        <v>2892</v>
      </c>
      <c r="X138" t="s">
        <v>2893</v>
      </c>
      <c r="Y138" t="s">
        <v>2894</v>
      </c>
      <c r="Z138" t="s">
        <v>2895</v>
      </c>
      <c r="AA138" t="s">
        <v>74</v>
      </c>
      <c r="AB138" t="s">
        <v>74</v>
      </c>
      <c r="AC138" t="s">
        <v>74</v>
      </c>
      <c r="AD138" t="s">
        <v>74</v>
      </c>
      <c r="AE138" t="s">
        <v>74</v>
      </c>
      <c r="AF138" t="s">
        <v>74</v>
      </c>
      <c r="AG138">
        <v>50</v>
      </c>
      <c r="AH138">
        <v>0</v>
      </c>
      <c r="AI138">
        <v>0</v>
      </c>
      <c r="AJ138">
        <v>0</v>
      </c>
      <c r="AK138">
        <v>0</v>
      </c>
      <c r="AL138" t="s">
        <v>2896</v>
      </c>
      <c r="AM138" t="s">
        <v>460</v>
      </c>
      <c r="AN138" t="s">
        <v>2897</v>
      </c>
      <c r="AO138" t="s">
        <v>2898</v>
      </c>
      <c r="AP138" t="s">
        <v>74</v>
      </c>
      <c r="AQ138" t="s">
        <v>74</v>
      </c>
      <c r="AR138" t="s">
        <v>2899</v>
      </c>
      <c r="AS138" t="s">
        <v>2900</v>
      </c>
      <c r="AT138" t="s">
        <v>1313</v>
      </c>
      <c r="AU138">
        <v>2022</v>
      </c>
      <c r="AV138">
        <v>10</v>
      </c>
      <c r="AW138">
        <v>1</v>
      </c>
      <c r="AX138" t="s">
        <v>74</v>
      </c>
      <c r="AY138" t="s">
        <v>74</v>
      </c>
      <c r="AZ138" t="s">
        <v>74</v>
      </c>
      <c r="BA138" t="s">
        <v>74</v>
      </c>
      <c r="BB138">
        <v>3</v>
      </c>
      <c r="BC138">
        <v>13</v>
      </c>
      <c r="BD138" t="s">
        <v>74</v>
      </c>
      <c r="BE138" t="s">
        <v>74</v>
      </c>
      <c r="BF138" t="s">
        <v>74</v>
      </c>
      <c r="BG138" t="s">
        <v>74</v>
      </c>
      <c r="BH138" t="s">
        <v>74</v>
      </c>
      <c r="BI138">
        <v>11</v>
      </c>
      <c r="BJ138" t="s">
        <v>2901</v>
      </c>
      <c r="BK138" t="s">
        <v>180</v>
      </c>
      <c r="BL138" t="s">
        <v>2901</v>
      </c>
      <c r="BM138" t="s">
        <v>2902</v>
      </c>
      <c r="BN138" t="s">
        <v>74</v>
      </c>
      <c r="BO138" t="s">
        <v>74</v>
      </c>
      <c r="BP138" t="s">
        <v>74</v>
      </c>
      <c r="BQ138" t="s">
        <v>74</v>
      </c>
      <c r="BR138" t="s">
        <v>104</v>
      </c>
      <c r="BS138" t="s">
        <v>2903</v>
      </c>
      <c r="BT138" t="str">
        <f>HYPERLINK("https%3A%2F%2Fwww.webofscience.com%2Fwos%2Fwoscc%2Ffull-record%2FWOS:000870781100002","View Full Record in Web of Science")</f>
        <v>View Full Record in Web of Science</v>
      </c>
    </row>
    <row r="139" spans="1:72" x14ac:dyDescent="0.25">
      <c r="A139" t="s">
        <v>72</v>
      </c>
      <c r="B139" t="s">
        <v>2790</v>
      </c>
      <c r="C139" t="s">
        <v>74</v>
      </c>
      <c r="D139" t="s">
        <v>74</v>
      </c>
      <c r="E139" t="s">
        <v>74</v>
      </c>
      <c r="F139" t="s">
        <v>2904</v>
      </c>
      <c r="G139" t="s">
        <v>74</v>
      </c>
      <c r="H139" t="s">
        <v>74</v>
      </c>
      <c r="I139" t="s">
        <v>2905</v>
      </c>
      <c r="J139" t="s">
        <v>2793</v>
      </c>
      <c r="K139" t="s">
        <v>74</v>
      </c>
      <c r="L139" t="s">
        <v>74</v>
      </c>
      <c r="M139" t="s">
        <v>78</v>
      </c>
      <c r="N139" t="s">
        <v>2906</v>
      </c>
      <c r="O139" t="s">
        <v>74</v>
      </c>
      <c r="P139" t="s">
        <v>74</v>
      </c>
      <c r="Q139" t="s">
        <v>74</v>
      </c>
      <c r="R139" t="s">
        <v>74</v>
      </c>
      <c r="S139" t="s">
        <v>74</v>
      </c>
      <c r="T139" t="s">
        <v>74</v>
      </c>
      <c r="U139" t="s">
        <v>74</v>
      </c>
      <c r="V139" t="s">
        <v>74</v>
      </c>
      <c r="W139" t="s">
        <v>2907</v>
      </c>
      <c r="X139" t="s">
        <v>84</v>
      </c>
      <c r="Y139" t="s">
        <v>2908</v>
      </c>
      <c r="Z139" t="s">
        <v>2799</v>
      </c>
      <c r="AA139" t="s">
        <v>74</v>
      </c>
      <c r="AB139" t="s">
        <v>74</v>
      </c>
      <c r="AC139" t="s">
        <v>74</v>
      </c>
      <c r="AD139" t="s">
        <v>74</v>
      </c>
      <c r="AE139" t="s">
        <v>74</v>
      </c>
      <c r="AF139" t="s">
        <v>74</v>
      </c>
      <c r="AG139">
        <v>1</v>
      </c>
      <c r="AH139">
        <v>0</v>
      </c>
      <c r="AI139">
        <v>0</v>
      </c>
      <c r="AJ139">
        <v>0</v>
      </c>
      <c r="AK139">
        <v>0</v>
      </c>
      <c r="AL139" t="s">
        <v>251</v>
      </c>
      <c r="AM139" t="s">
        <v>252</v>
      </c>
      <c r="AN139" t="s">
        <v>253</v>
      </c>
      <c r="AO139" t="s">
        <v>2800</v>
      </c>
      <c r="AP139" t="s">
        <v>2801</v>
      </c>
      <c r="AQ139" t="s">
        <v>74</v>
      </c>
      <c r="AR139" t="s">
        <v>2802</v>
      </c>
      <c r="AS139" t="s">
        <v>2803</v>
      </c>
      <c r="AT139" t="s">
        <v>231</v>
      </c>
      <c r="AU139">
        <v>2022</v>
      </c>
      <c r="AV139">
        <v>281</v>
      </c>
      <c r="AW139" t="s">
        <v>74</v>
      </c>
      <c r="AX139" t="s">
        <v>74</v>
      </c>
      <c r="AY139" t="s">
        <v>74</v>
      </c>
      <c r="AZ139" t="s">
        <v>74</v>
      </c>
      <c r="BA139" t="s">
        <v>74</v>
      </c>
      <c r="BB139" t="s">
        <v>74</v>
      </c>
      <c r="BC139" t="s">
        <v>74</v>
      </c>
      <c r="BD139">
        <v>115762</v>
      </c>
      <c r="BE139" t="s">
        <v>2909</v>
      </c>
      <c r="BF139" t="str">
        <f>HYPERLINK("http://dx.doi.org/10.1016/j.mseb.2022.115762","http://dx.doi.org/10.1016/j.mseb.2022.115762")</f>
        <v>http://dx.doi.org/10.1016/j.mseb.2022.115762</v>
      </c>
      <c r="BG139" t="s">
        <v>74</v>
      </c>
      <c r="BH139" t="s">
        <v>1225</v>
      </c>
      <c r="BI139">
        <v>1</v>
      </c>
      <c r="BJ139" t="s">
        <v>2805</v>
      </c>
      <c r="BK139" t="s">
        <v>101</v>
      </c>
      <c r="BL139" t="s">
        <v>2517</v>
      </c>
      <c r="BM139" t="s">
        <v>2910</v>
      </c>
      <c r="BN139" t="s">
        <v>74</v>
      </c>
      <c r="BO139" t="s">
        <v>2911</v>
      </c>
      <c r="BP139" t="s">
        <v>74</v>
      </c>
      <c r="BQ139" t="s">
        <v>74</v>
      </c>
      <c r="BR139" t="s">
        <v>104</v>
      </c>
      <c r="BS139" t="s">
        <v>2912</v>
      </c>
      <c r="BT139" t="str">
        <f>HYPERLINK("https%3A%2F%2Fwww.webofscience.com%2Fwos%2Fwoscc%2Ffull-record%2FWOS:000807566600001","View Full Record in Web of Science")</f>
        <v>View Full Record in Web of Science</v>
      </c>
    </row>
    <row r="140" spans="1:72" x14ac:dyDescent="0.25">
      <c r="A140" t="s">
        <v>72</v>
      </c>
      <c r="B140" t="s">
        <v>2913</v>
      </c>
      <c r="C140" t="s">
        <v>74</v>
      </c>
      <c r="D140" t="s">
        <v>74</v>
      </c>
      <c r="E140" t="s">
        <v>74</v>
      </c>
      <c r="F140" t="s">
        <v>2914</v>
      </c>
      <c r="G140" t="s">
        <v>74</v>
      </c>
      <c r="H140" t="s">
        <v>74</v>
      </c>
      <c r="I140" t="s">
        <v>2915</v>
      </c>
      <c r="J140" t="s">
        <v>2916</v>
      </c>
      <c r="K140" t="s">
        <v>74</v>
      </c>
      <c r="L140" t="s">
        <v>74</v>
      </c>
      <c r="M140" t="s">
        <v>1234</v>
      </c>
      <c r="N140" t="s">
        <v>1501</v>
      </c>
      <c r="O140" t="s">
        <v>74</v>
      </c>
      <c r="P140" t="s">
        <v>74</v>
      </c>
      <c r="Q140" t="s">
        <v>74</v>
      </c>
      <c r="R140" t="s">
        <v>74</v>
      </c>
      <c r="S140" t="s">
        <v>74</v>
      </c>
      <c r="T140" t="s">
        <v>74</v>
      </c>
      <c r="U140" t="s">
        <v>74</v>
      </c>
      <c r="V140" t="s">
        <v>74</v>
      </c>
      <c r="W140" t="s">
        <v>2917</v>
      </c>
      <c r="X140" t="s">
        <v>84</v>
      </c>
      <c r="Y140" t="s">
        <v>2918</v>
      </c>
      <c r="Z140" t="s">
        <v>2919</v>
      </c>
      <c r="AA140" t="s">
        <v>74</v>
      </c>
      <c r="AB140" t="s">
        <v>74</v>
      </c>
      <c r="AC140" t="s">
        <v>74</v>
      </c>
      <c r="AD140" t="s">
        <v>74</v>
      </c>
      <c r="AE140" t="s">
        <v>74</v>
      </c>
      <c r="AF140" t="s">
        <v>74</v>
      </c>
      <c r="AG140">
        <v>10</v>
      </c>
      <c r="AH140">
        <v>0</v>
      </c>
      <c r="AI140">
        <v>0</v>
      </c>
      <c r="AJ140">
        <v>0</v>
      </c>
      <c r="AK140">
        <v>0</v>
      </c>
      <c r="AL140" t="s">
        <v>251</v>
      </c>
      <c r="AM140" t="s">
        <v>252</v>
      </c>
      <c r="AN140" t="s">
        <v>253</v>
      </c>
      <c r="AO140" t="s">
        <v>2920</v>
      </c>
      <c r="AP140" t="s">
        <v>2921</v>
      </c>
      <c r="AQ140" t="s">
        <v>74</v>
      </c>
      <c r="AR140" t="s">
        <v>2922</v>
      </c>
      <c r="AS140" t="s">
        <v>2923</v>
      </c>
      <c r="AT140" t="s">
        <v>1313</v>
      </c>
      <c r="AU140">
        <v>2022</v>
      </c>
      <c r="AV140">
        <v>48</v>
      </c>
      <c r="AW140">
        <v>7</v>
      </c>
      <c r="AX140" t="s">
        <v>74</v>
      </c>
      <c r="AY140" t="s">
        <v>74</v>
      </c>
      <c r="AZ140" t="s">
        <v>74</v>
      </c>
      <c r="BA140" t="s">
        <v>74</v>
      </c>
      <c r="BB140" t="s">
        <v>74</v>
      </c>
      <c r="BC140" t="s">
        <v>74</v>
      </c>
      <c r="BD140">
        <v>101826</v>
      </c>
      <c r="BE140" t="s">
        <v>2924</v>
      </c>
      <c r="BF140" t="str">
        <f>HYPERLINK("http://dx.doi.org/10.1016/j.semerg.2022.101826","http://dx.doi.org/10.1016/j.semerg.2022.101826")</f>
        <v>http://dx.doi.org/10.1016/j.semerg.2022.101826</v>
      </c>
      <c r="BG140" t="s">
        <v>74</v>
      </c>
      <c r="BH140" t="s">
        <v>74</v>
      </c>
      <c r="BI140">
        <v>3</v>
      </c>
      <c r="BJ140" t="s">
        <v>2925</v>
      </c>
      <c r="BK140" t="s">
        <v>180</v>
      </c>
      <c r="BL140" t="s">
        <v>2827</v>
      </c>
      <c r="BM140" t="s">
        <v>2926</v>
      </c>
      <c r="BN140">
        <v>36116354</v>
      </c>
      <c r="BO140" t="s">
        <v>74</v>
      </c>
      <c r="BP140" t="s">
        <v>74</v>
      </c>
      <c r="BQ140" t="s">
        <v>74</v>
      </c>
      <c r="BR140" t="s">
        <v>104</v>
      </c>
      <c r="BS140" t="s">
        <v>2927</v>
      </c>
      <c r="BT140" t="str">
        <f>HYPERLINK("https%3A%2F%2Fwww.webofscience.com%2Fwos%2Fwoscc%2Ffull-record%2FWOS:000871056900006","View Full Record in Web of Science")</f>
        <v>View Full Record in Web of Science</v>
      </c>
    </row>
    <row r="141" spans="1:72" x14ac:dyDescent="0.25">
      <c r="A141" t="s">
        <v>72</v>
      </c>
      <c r="B141" t="s">
        <v>2928</v>
      </c>
      <c r="C141" t="s">
        <v>74</v>
      </c>
      <c r="D141" t="s">
        <v>74</v>
      </c>
      <c r="E141" t="s">
        <v>74</v>
      </c>
      <c r="F141" t="s">
        <v>2929</v>
      </c>
      <c r="G141" t="s">
        <v>74</v>
      </c>
      <c r="H141" t="s">
        <v>74</v>
      </c>
      <c r="I141" t="s">
        <v>2930</v>
      </c>
      <c r="J141" t="s">
        <v>315</v>
      </c>
      <c r="K141" t="s">
        <v>74</v>
      </c>
      <c r="L141" t="s">
        <v>74</v>
      </c>
      <c r="M141" t="s">
        <v>78</v>
      </c>
      <c r="N141" t="s">
        <v>79</v>
      </c>
      <c r="O141" t="s">
        <v>74</v>
      </c>
      <c r="P141" t="s">
        <v>74</v>
      </c>
      <c r="Q141" t="s">
        <v>74</v>
      </c>
      <c r="R141" t="s">
        <v>74</v>
      </c>
      <c r="S141" t="s">
        <v>74</v>
      </c>
      <c r="T141" t="s">
        <v>2931</v>
      </c>
      <c r="U141" t="s">
        <v>74</v>
      </c>
      <c r="V141" t="s">
        <v>2932</v>
      </c>
      <c r="W141" t="s">
        <v>2933</v>
      </c>
      <c r="X141" t="s">
        <v>2934</v>
      </c>
      <c r="Y141" t="s">
        <v>2935</v>
      </c>
      <c r="Z141" t="s">
        <v>2936</v>
      </c>
      <c r="AA141" t="s">
        <v>2937</v>
      </c>
      <c r="AB141" t="s">
        <v>2938</v>
      </c>
      <c r="AC141" t="s">
        <v>2939</v>
      </c>
      <c r="AD141" t="s">
        <v>2940</v>
      </c>
      <c r="AE141" t="s">
        <v>2941</v>
      </c>
      <c r="AF141" t="s">
        <v>74</v>
      </c>
      <c r="AG141">
        <v>36</v>
      </c>
      <c r="AH141">
        <v>0</v>
      </c>
      <c r="AI141">
        <v>0</v>
      </c>
      <c r="AJ141">
        <v>8</v>
      </c>
      <c r="AK141">
        <v>8</v>
      </c>
      <c r="AL141" t="s">
        <v>92</v>
      </c>
      <c r="AM141" t="s">
        <v>93</v>
      </c>
      <c r="AN141" t="s">
        <v>94</v>
      </c>
      <c r="AO141" t="s">
        <v>74</v>
      </c>
      <c r="AP141" t="s">
        <v>328</v>
      </c>
      <c r="AQ141" t="s">
        <v>74</v>
      </c>
      <c r="AR141" t="s">
        <v>329</v>
      </c>
      <c r="AS141" t="s">
        <v>330</v>
      </c>
      <c r="AT141" t="s">
        <v>400</v>
      </c>
      <c r="AU141">
        <v>2022</v>
      </c>
      <c r="AV141">
        <v>22</v>
      </c>
      <c r="AW141">
        <v>15</v>
      </c>
      <c r="AX141" t="s">
        <v>74</v>
      </c>
      <c r="AY141" t="s">
        <v>74</v>
      </c>
      <c r="AZ141" t="s">
        <v>74</v>
      </c>
      <c r="BA141" t="s">
        <v>74</v>
      </c>
      <c r="BB141" t="s">
        <v>74</v>
      </c>
      <c r="BC141" t="s">
        <v>74</v>
      </c>
      <c r="BD141">
        <v>5789</v>
      </c>
      <c r="BE141" t="s">
        <v>2942</v>
      </c>
      <c r="BF141" t="str">
        <f>HYPERLINK("http://dx.doi.org/10.3390/s22155789","http://dx.doi.org/10.3390/s22155789")</f>
        <v>http://dx.doi.org/10.3390/s22155789</v>
      </c>
      <c r="BG141" t="s">
        <v>74</v>
      </c>
      <c r="BH141" t="s">
        <v>74</v>
      </c>
      <c r="BI141">
        <v>9</v>
      </c>
      <c r="BJ141" t="s">
        <v>332</v>
      </c>
      <c r="BK141" t="s">
        <v>101</v>
      </c>
      <c r="BL141" t="s">
        <v>333</v>
      </c>
      <c r="BM141" t="s">
        <v>2943</v>
      </c>
      <c r="BN141">
        <v>35957345</v>
      </c>
      <c r="BO141" t="s">
        <v>103</v>
      </c>
      <c r="BP141" t="s">
        <v>74</v>
      </c>
      <c r="BQ141" t="s">
        <v>74</v>
      </c>
      <c r="BR141" t="s">
        <v>104</v>
      </c>
      <c r="BS141" t="s">
        <v>2944</v>
      </c>
      <c r="BT141" t="str">
        <f>HYPERLINK("https%3A%2F%2Fwww.webofscience.com%2Fwos%2Fwoscc%2Ffull-record%2FWOS:000839785000001","View Full Record in Web of Science")</f>
        <v>View Full Record in Web of Science</v>
      </c>
    </row>
    <row r="142" spans="1:72" x14ac:dyDescent="0.25">
      <c r="A142" t="s">
        <v>72</v>
      </c>
      <c r="B142" t="s">
        <v>2945</v>
      </c>
      <c r="C142" t="s">
        <v>74</v>
      </c>
      <c r="D142" t="s">
        <v>74</v>
      </c>
      <c r="E142" t="s">
        <v>74</v>
      </c>
      <c r="F142" t="s">
        <v>2946</v>
      </c>
      <c r="G142" t="s">
        <v>74</v>
      </c>
      <c r="H142" t="s">
        <v>74</v>
      </c>
      <c r="I142" t="s">
        <v>2947</v>
      </c>
      <c r="J142" t="s">
        <v>2948</v>
      </c>
      <c r="K142" t="s">
        <v>74</v>
      </c>
      <c r="L142" t="s">
        <v>74</v>
      </c>
      <c r="M142" t="s">
        <v>78</v>
      </c>
      <c r="N142" t="s">
        <v>79</v>
      </c>
      <c r="O142" t="s">
        <v>74</v>
      </c>
      <c r="P142" t="s">
        <v>74</v>
      </c>
      <c r="Q142" t="s">
        <v>74</v>
      </c>
      <c r="R142" t="s">
        <v>74</v>
      </c>
      <c r="S142" t="s">
        <v>74</v>
      </c>
      <c r="T142" t="s">
        <v>2949</v>
      </c>
      <c r="U142" t="s">
        <v>2950</v>
      </c>
      <c r="V142" t="s">
        <v>2951</v>
      </c>
      <c r="W142" t="s">
        <v>2952</v>
      </c>
      <c r="X142" t="s">
        <v>2953</v>
      </c>
      <c r="Y142" t="s">
        <v>2954</v>
      </c>
      <c r="Z142" t="s">
        <v>2955</v>
      </c>
      <c r="AA142" t="s">
        <v>74</v>
      </c>
      <c r="AB142" t="s">
        <v>2956</v>
      </c>
      <c r="AC142" t="s">
        <v>2957</v>
      </c>
      <c r="AD142" t="s">
        <v>2958</v>
      </c>
      <c r="AE142" t="s">
        <v>2959</v>
      </c>
      <c r="AF142" t="s">
        <v>74</v>
      </c>
      <c r="AG142">
        <v>57</v>
      </c>
      <c r="AH142">
        <v>1</v>
      </c>
      <c r="AI142">
        <v>1</v>
      </c>
      <c r="AJ142">
        <v>5</v>
      </c>
      <c r="AK142">
        <v>14</v>
      </c>
      <c r="AL142" t="s">
        <v>1859</v>
      </c>
      <c r="AM142" t="s">
        <v>486</v>
      </c>
      <c r="AN142" t="s">
        <v>1860</v>
      </c>
      <c r="AO142" t="s">
        <v>2960</v>
      </c>
      <c r="AP142" t="s">
        <v>2961</v>
      </c>
      <c r="AQ142" t="s">
        <v>74</v>
      </c>
      <c r="AR142" t="s">
        <v>2948</v>
      </c>
      <c r="AS142" t="s">
        <v>2962</v>
      </c>
      <c r="AT142" t="s">
        <v>1118</v>
      </c>
      <c r="AU142">
        <v>2022</v>
      </c>
      <c r="AV142">
        <v>291</v>
      </c>
      <c r="AW142" t="s">
        <v>74</v>
      </c>
      <c r="AX142">
        <v>3</v>
      </c>
      <c r="AY142" t="s">
        <v>74</v>
      </c>
      <c r="AZ142" t="s">
        <v>74</v>
      </c>
      <c r="BA142" t="s">
        <v>74</v>
      </c>
      <c r="BB142" t="s">
        <v>74</v>
      </c>
      <c r="BC142" t="s">
        <v>74</v>
      </c>
      <c r="BD142">
        <v>133051</v>
      </c>
      <c r="BE142" t="s">
        <v>2963</v>
      </c>
      <c r="BF142" t="str">
        <f>HYPERLINK("http://dx.doi.org/10.1016/j.chemosphere.2021.133051","http://dx.doi.org/10.1016/j.chemosphere.2021.133051")</f>
        <v>http://dx.doi.org/10.1016/j.chemosphere.2021.133051</v>
      </c>
      <c r="BG142" t="s">
        <v>74</v>
      </c>
      <c r="BH142" t="s">
        <v>74</v>
      </c>
      <c r="BI142">
        <v>11</v>
      </c>
      <c r="BJ142" t="s">
        <v>2964</v>
      </c>
      <c r="BK142" t="s">
        <v>101</v>
      </c>
      <c r="BL142" t="s">
        <v>1441</v>
      </c>
      <c r="BM142" t="s">
        <v>2965</v>
      </c>
      <c r="BN142">
        <v>34826441</v>
      </c>
      <c r="BO142" t="s">
        <v>74</v>
      </c>
      <c r="BP142" t="s">
        <v>74</v>
      </c>
      <c r="BQ142" t="s">
        <v>74</v>
      </c>
      <c r="BR142" t="s">
        <v>104</v>
      </c>
      <c r="BS142" t="s">
        <v>2966</v>
      </c>
      <c r="BT142" t="str">
        <f>HYPERLINK("https%3A%2F%2Fwww.webofscience.com%2Fwos%2Fwoscc%2Ffull-record%2FWOS:000758280300006","View Full Record in Web of Science")</f>
        <v>View Full Record in Web of Science</v>
      </c>
    </row>
    <row r="143" spans="1:72" x14ac:dyDescent="0.25">
      <c r="A143" t="s">
        <v>72</v>
      </c>
      <c r="B143" t="s">
        <v>2967</v>
      </c>
      <c r="C143" t="s">
        <v>74</v>
      </c>
      <c r="D143" t="s">
        <v>74</v>
      </c>
      <c r="E143" t="s">
        <v>74</v>
      </c>
      <c r="F143" t="s">
        <v>2968</v>
      </c>
      <c r="G143" t="s">
        <v>74</v>
      </c>
      <c r="H143" t="s">
        <v>74</v>
      </c>
      <c r="I143" t="s">
        <v>2969</v>
      </c>
      <c r="J143" t="s">
        <v>2970</v>
      </c>
      <c r="K143" t="s">
        <v>74</v>
      </c>
      <c r="L143" t="s">
        <v>74</v>
      </c>
      <c r="M143" t="s">
        <v>78</v>
      </c>
      <c r="N143" t="s">
        <v>2375</v>
      </c>
      <c r="O143" t="s">
        <v>74</v>
      </c>
      <c r="P143" t="s">
        <v>74</v>
      </c>
      <c r="Q143" t="s">
        <v>74</v>
      </c>
      <c r="R143" t="s">
        <v>74</v>
      </c>
      <c r="S143" t="s">
        <v>74</v>
      </c>
      <c r="T143" t="s">
        <v>2971</v>
      </c>
      <c r="U143" t="s">
        <v>2972</v>
      </c>
      <c r="V143" t="s">
        <v>2973</v>
      </c>
      <c r="W143" t="s">
        <v>2974</v>
      </c>
      <c r="X143" t="s">
        <v>2664</v>
      </c>
      <c r="Y143" t="s">
        <v>2975</v>
      </c>
      <c r="Z143" t="s">
        <v>2976</v>
      </c>
      <c r="AA143" t="s">
        <v>74</v>
      </c>
      <c r="AB143" t="s">
        <v>2977</v>
      </c>
      <c r="AC143" t="s">
        <v>2978</v>
      </c>
      <c r="AD143" t="s">
        <v>2979</v>
      </c>
      <c r="AE143" t="s">
        <v>2980</v>
      </c>
      <c r="AF143" t="s">
        <v>74</v>
      </c>
      <c r="AG143">
        <v>180</v>
      </c>
      <c r="AH143">
        <v>0</v>
      </c>
      <c r="AI143">
        <v>0</v>
      </c>
      <c r="AJ143">
        <v>4</v>
      </c>
      <c r="AK143">
        <v>4</v>
      </c>
      <c r="AL143" t="s">
        <v>146</v>
      </c>
      <c r="AM143" t="s">
        <v>1218</v>
      </c>
      <c r="AN143" t="s">
        <v>1219</v>
      </c>
      <c r="AO143" t="s">
        <v>2981</v>
      </c>
      <c r="AP143" t="s">
        <v>2982</v>
      </c>
      <c r="AQ143" t="s">
        <v>74</v>
      </c>
      <c r="AR143" t="s">
        <v>2970</v>
      </c>
      <c r="AS143" t="s">
        <v>2983</v>
      </c>
      <c r="AT143" t="s">
        <v>74</v>
      </c>
      <c r="AU143" t="s">
        <v>74</v>
      </c>
      <c r="AV143" t="s">
        <v>74</v>
      </c>
      <c r="AW143" t="s">
        <v>74</v>
      </c>
      <c r="AX143" t="s">
        <v>74</v>
      </c>
      <c r="AY143" t="s">
        <v>74</v>
      </c>
      <c r="AZ143" t="s">
        <v>74</v>
      </c>
      <c r="BA143" t="s">
        <v>74</v>
      </c>
      <c r="BB143" t="s">
        <v>74</v>
      </c>
      <c r="BC143" t="s">
        <v>74</v>
      </c>
      <c r="BD143" t="s">
        <v>74</v>
      </c>
      <c r="BE143" t="s">
        <v>2984</v>
      </c>
      <c r="BF143" t="str">
        <f>HYPERLINK("http://dx.doi.org/10.1007/s10534-022-00479-1","http://dx.doi.org/10.1007/s10534-022-00479-1")</f>
        <v>http://dx.doi.org/10.1007/s10534-022-00479-1</v>
      </c>
      <c r="BG143" t="s">
        <v>74</v>
      </c>
      <c r="BH143" t="s">
        <v>153</v>
      </c>
      <c r="BI143">
        <v>32</v>
      </c>
      <c r="BJ143" t="s">
        <v>2985</v>
      </c>
      <c r="BK143" t="s">
        <v>101</v>
      </c>
      <c r="BL143" t="s">
        <v>2985</v>
      </c>
      <c r="BM143" t="s">
        <v>2986</v>
      </c>
      <c r="BN143">
        <v>36482125</v>
      </c>
      <c r="BO143" t="s">
        <v>74</v>
      </c>
      <c r="BP143" t="s">
        <v>74</v>
      </c>
      <c r="BQ143" t="s">
        <v>74</v>
      </c>
      <c r="BR143" t="s">
        <v>104</v>
      </c>
      <c r="BS143" t="s">
        <v>2987</v>
      </c>
      <c r="BT143" t="str">
        <f>HYPERLINK("https%3A%2F%2Fwww.webofscience.com%2Fwos%2Fwoscc%2Ffull-record%2FWOS:000895578100001","View Full Record in Web of Science")</f>
        <v>View Full Record in Web of Science</v>
      </c>
    </row>
    <row r="144" spans="1:72" x14ac:dyDescent="0.25">
      <c r="A144" t="s">
        <v>72</v>
      </c>
      <c r="B144" t="s">
        <v>2988</v>
      </c>
      <c r="C144" t="s">
        <v>74</v>
      </c>
      <c r="D144" t="s">
        <v>74</v>
      </c>
      <c r="E144" t="s">
        <v>74</v>
      </c>
      <c r="F144" t="s">
        <v>2989</v>
      </c>
      <c r="G144" t="s">
        <v>74</v>
      </c>
      <c r="H144" t="s">
        <v>74</v>
      </c>
      <c r="I144" t="s">
        <v>2990</v>
      </c>
      <c r="J144" t="s">
        <v>2991</v>
      </c>
      <c r="K144" t="s">
        <v>74</v>
      </c>
      <c r="L144" t="s">
        <v>74</v>
      </c>
      <c r="M144" t="s">
        <v>78</v>
      </c>
      <c r="N144" t="s">
        <v>79</v>
      </c>
      <c r="O144" t="s">
        <v>74</v>
      </c>
      <c r="P144" t="s">
        <v>74</v>
      </c>
      <c r="Q144" t="s">
        <v>74</v>
      </c>
      <c r="R144" t="s">
        <v>74</v>
      </c>
      <c r="S144" t="s">
        <v>74</v>
      </c>
      <c r="T144" t="s">
        <v>2992</v>
      </c>
      <c r="U144" t="s">
        <v>74</v>
      </c>
      <c r="V144" t="s">
        <v>2993</v>
      </c>
      <c r="W144" t="s">
        <v>2994</v>
      </c>
      <c r="X144" t="s">
        <v>2995</v>
      </c>
      <c r="Y144" t="s">
        <v>2996</v>
      </c>
      <c r="Z144" t="s">
        <v>2997</v>
      </c>
      <c r="AA144" t="s">
        <v>1674</v>
      </c>
      <c r="AB144" t="s">
        <v>1675</v>
      </c>
      <c r="AC144" t="s">
        <v>2998</v>
      </c>
      <c r="AD144" t="s">
        <v>2999</v>
      </c>
      <c r="AE144" t="s">
        <v>3000</v>
      </c>
      <c r="AF144" t="s">
        <v>74</v>
      </c>
      <c r="AG144">
        <v>18</v>
      </c>
      <c r="AH144">
        <v>0</v>
      </c>
      <c r="AI144">
        <v>0</v>
      </c>
      <c r="AJ144">
        <v>5</v>
      </c>
      <c r="AK144">
        <v>29</v>
      </c>
      <c r="AL144" t="s">
        <v>3001</v>
      </c>
      <c r="AM144" t="s">
        <v>3002</v>
      </c>
      <c r="AN144" t="s">
        <v>3003</v>
      </c>
      <c r="AO144" t="s">
        <v>3004</v>
      </c>
      <c r="AP144" t="s">
        <v>74</v>
      </c>
      <c r="AQ144" t="s">
        <v>74</v>
      </c>
      <c r="AR144" t="s">
        <v>3005</v>
      </c>
      <c r="AS144" t="s">
        <v>3006</v>
      </c>
      <c r="AT144" t="s">
        <v>74</v>
      </c>
      <c r="AU144">
        <v>2022</v>
      </c>
      <c r="AV144">
        <v>79</v>
      </c>
      <c r="AW144">
        <v>4</v>
      </c>
      <c r="AX144" t="s">
        <v>74</v>
      </c>
      <c r="AY144" t="s">
        <v>74</v>
      </c>
      <c r="AZ144" t="s">
        <v>74</v>
      </c>
      <c r="BA144" t="s">
        <v>74</v>
      </c>
      <c r="BB144" t="s">
        <v>74</v>
      </c>
      <c r="BC144" t="s">
        <v>74</v>
      </c>
      <c r="BD144" t="s">
        <v>3007</v>
      </c>
      <c r="BE144" t="s">
        <v>3008</v>
      </c>
      <c r="BF144" t="str">
        <f>HYPERLINK("http://dx.doi.org/10.1590/1678-992X-2021-0017","http://dx.doi.org/10.1590/1678-992X-2021-0017")</f>
        <v>http://dx.doi.org/10.1590/1678-992X-2021-0017</v>
      </c>
      <c r="BG144" t="s">
        <v>74</v>
      </c>
      <c r="BH144" t="s">
        <v>74</v>
      </c>
      <c r="BI144">
        <v>6</v>
      </c>
      <c r="BJ144" t="s">
        <v>3009</v>
      </c>
      <c r="BK144" t="s">
        <v>101</v>
      </c>
      <c r="BL144" t="s">
        <v>155</v>
      </c>
      <c r="BM144" t="s">
        <v>3010</v>
      </c>
      <c r="BN144" t="s">
        <v>74</v>
      </c>
      <c r="BO144" t="s">
        <v>183</v>
      </c>
      <c r="BP144" t="s">
        <v>74</v>
      </c>
      <c r="BQ144" t="s">
        <v>74</v>
      </c>
      <c r="BR144" t="s">
        <v>104</v>
      </c>
      <c r="BS144" t="s">
        <v>3011</v>
      </c>
      <c r="BT144" t="str">
        <f>HYPERLINK("https%3A%2F%2Fwww.webofscience.com%2Fwos%2Fwoscc%2Ffull-record%2FWOS:000679803900001","View Full Record in Web of Science")</f>
        <v>View Full Record in Web of Science</v>
      </c>
    </row>
    <row r="145" spans="1:72" x14ac:dyDescent="0.25">
      <c r="A145" t="s">
        <v>72</v>
      </c>
      <c r="B145" t="s">
        <v>3012</v>
      </c>
      <c r="C145" t="s">
        <v>74</v>
      </c>
      <c r="D145" t="s">
        <v>74</v>
      </c>
      <c r="E145" t="s">
        <v>74</v>
      </c>
      <c r="F145" t="s">
        <v>3013</v>
      </c>
      <c r="G145" t="s">
        <v>74</v>
      </c>
      <c r="H145" t="s">
        <v>74</v>
      </c>
      <c r="I145" t="s">
        <v>3014</v>
      </c>
      <c r="J145" t="s">
        <v>3015</v>
      </c>
      <c r="K145" t="s">
        <v>74</v>
      </c>
      <c r="L145" t="s">
        <v>74</v>
      </c>
      <c r="M145" t="s">
        <v>78</v>
      </c>
      <c r="N145" t="s">
        <v>79</v>
      </c>
      <c r="O145" t="s">
        <v>74</v>
      </c>
      <c r="P145" t="s">
        <v>74</v>
      </c>
      <c r="Q145" t="s">
        <v>74</v>
      </c>
      <c r="R145" t="s">
        <v>74</v>
      </c>
      <c r="S145" t="s">
        <v>74</v>
      </c>
      <c r="T145" t="s">
        <v>3016</v>
      </c>
      <c r="U145" t="s">
        <v>74</v>
      </c>
      <c r="V145" t="s">
        <v>3017</v>
      </c>
      <c r="W145" t="s">
        <v>3018</v>
      </c>
      <c r="X145" t="s">
        <v>2995</v>
      </c>
      <c r="Y145" t="s">
        <v>3019</v>
      </c>
      <c r="Z145" t="s">
        <v>3020</v>
      </c>
      <c r="AA145" t="s">
        <v>3021</v>
      </c>
      <c r="AB145" t="s">
        <v>3022</v>
      </c>
      <c r="AC145" t="s">
        <v>3023</v>
      </c>
      <c r="AD145" t="s">
        <v>3024</v>
      </c>
      <c r="AE145" t="s">
        <v>3025</v>
      </c>
      <c r="AF145" t="s">
        <v>74</v>
      </c>
      <c r="AG145">
        <v>33</v>
      </c>
      <c r="AH145">
        <v>0</v>
      </c>
      <c r="AI145">
        <v>0</v>
      </c>
      <c r="AJ145">
        <v>0</v>
      </c>
      <c r="AK145">
        <v>0</v>
      </c>
      <c r="AL145" t="s">
        <v>92</v>
      </c>
      <c r="AM145" t="s">
        <v>93</v>
      </c>
      <c r="AN145" t="s">
        <v>94</v>
      </c>
      <c r="AO145" t="s">
        <v>74</v>
      </c>
      <c r="AP145" t="s">
        <v>3026</v>
      </c>
      <c r="AQ145" t="s">
        <v>74</v>
      </c>
      <c r="AR145" t="s">
        <v>3015</v>
      </c>
      <c r="AS145" t="s">
        <v>3027</v>
      </c>
      <c r="AT145" t="s">
        <v>231</v>
      </c>
      <c r="AU145">
        <v>2022</v>
      </c>
      <c r="AV145">
        <v>12</v>
      </c>
      <c r="AW145">
        <v>7</v>
      </c>
      <c r="AX145" t="s">
        <v>74</v>
      </c>
      <c r="AY145" t="s">
        <v>74</v>
      </c>
      <c r="AZ145" t="s">
        <v>74</v>
      </c>
      <c r="BA145" t="s">
        <v>74</v>
      </c>
      <c r="BB145" t="s">
        <v>74</v>
      </c>
      <c r="BC145" t="s">
        <v>74</v>
      </c>
      <c r="BD145">
        <v>1582</v>
      </c>
      <c r="BE145" t="s">
        <v>3028</v>
      </c>
      <c r="BF145" t="str">
        <f>HYPERLINK("http://dx.doi.org/10.3390/agronomy12071582","http://dx.doi.org/10.3390/agronomy12071582")</f>
        <v>http://dx.doi.org/10.3390/agronomy12071582</v>
      </c>
      <c r="BG145" t="s">
        <v>74</v>
      </c>
      <c r="BH145" t="s">
        <v>74</v>
      </c>
      <c r="BI145">
        <v>21</v>
      </c>
      <c r="BJ145" t="s">
        <v>1684</v>
      </c>
      <c r="BK145" t="s">
        <v>101</v>
      </c>
      <c r="BL145" t="s">
        <v>1685</v>
      </c>
      <c r="BM145" t="s">
        <v>3029</v>
      </c>
      <c r="BN145" t="s">
        <v>74</v>
      </c>
      <c r="BO145" t="s">
        <v>183</v>
      </c>
      <c r="BP145" t="s">
        <v>74</v>
      </c>
      <c r="BQ145" t="s">
        <v>74</v>
      </c>
      <c r="BR145" t="s">
        <v>104</v>
      </c>
      <c r="BS145" t="s">
        <v>3030</v>
      </c>
      <c r="BT145" t="str">
        <f>HYPERLINK("https%3A%2F%2Fwww.webofscience.com%2Fwos%2Fwoscc%2Ffull-record%2FWOS:000833315100001","View Full Record in Web of Science")</f>
        <v>View Full Record in Web of Science</v>
      </c>
    </row>
    <row r="146" spans="1:72" x14ac:dyDescent="0.25">
      <c r="A146" t="s">
        <v>72</v>
      </c>
      <c r="B146" t="s">
        <v>3031</v>
      </c>
      <c r="C146" t="s">
        <v>74</v>
      </c>
      <c r="D146" t="s">
        <v>74</v>
      </c>
      <c r="E146" t="s">
        <v>74</v>
      </c>
      <c r="F146" t="s">
        <v>3032</v>
      </c>
      <c r="G146" t="s">
        <v>74</v>
      </c>
      <c r="H146" t="s">
        <v>74</v>
      </c>
      <c r="I146" t="s">
        <v>3033</v>
      </c>
      <c r="J146" t="s">
        <v>2523</v>
      </c>
      <c r="K146" t="s">
        <v>74</v>
      </c>
      <c r="L146" t="s">
        <v>74</v>
      </c>
      <c r="M146" t="s">
        <v>1234</v>
      </c>
      <c r="N146" t="s">
        <v>79</v>
      </c>
      <c r="O146" t="s">
        <v>74</v>
      </c>
      <c r="P146" t="s">
        <v>74</v>
      </c>
      <c r="Q146" t="s">
        <v>74</v>
      </c>
      <c r="R146" t="s">
        <v>74</v>
      </c>
      <c r="S146" t="s">
        <v>74</v>
      </c>
      <c r="T146" t="s">
        <v>3034</v>
      </c>
      <c r="U146" t="s">
        <v>74</v>
      </c>
      <c r="V146" t="s">
        <v>3035</v>
      </c>
      <c r="W146" t="s">
        <v>3036</v>
      </c>
      <c r="X146" t="s">
        <v>3037</v>
      </c>
      <c r="Y146" t="s">
        <v>3038</v>
      </c>
      <c r="Z146" t="s">
        <v>3039</v>
      </c>
      <c r="AA146" t="s">
        <v>74</v>
      </c>
      <c r="AB146" t="s">
        <v>74</v>
      </c>
      <c r="AC146" t="s">
        <v>74</v>
      </c>
      <c r="AD146" t="s">
        <v>74</v>
      </c>
      <c r="AE146" t="s">
        <v>74</v>
      </c>
      <c r="AF146" t="s">
        <v>74</v>
      </c>
      <c r="AG146">
        <v>20</v>
      </c>
      <c r="AH146">
        <v>0</v>
      </c>
      <c r="AI146">
        <v>0</v>
      </c>
      <c r="AJ146">
        <v>0</v>
      </c>
      <c r="AK146">
        <v>0</v>
      </c>
      <c r="AL146" t="s">
        <v>1391</v>
      </c>
      <c r="AM146" t="s">
        <v>1392</v>
      </c>
      <c r="AN146" t="s">
        <v>1393</v>
      </c>
      <c r="AO146" t="s">
        <v>2530</v>
      </c>
      <c r="AP146" t="s">
        <v>2531</v>
      </c>
      <c r="AQ146" t="s">
        <v>74</v>
      </c>
      <c r="AR146" t="s">
        <v>2532</v>
      </c>
      <c r="AS146" t="s">
        <v>2533</v>
      </c>
      <c r="AT146" t="s">
        <v>74</v>
      </c>
      <c r="AU146">
        <v>2022</v>
      </c>
      <c r="AV146">
        <v>27</v>
      </c>
      <c r="AW146">
        <v>1</v>
      </c>
      <c r="AX146" t="s">
        <v>74</v>
      </c>
      <c r="AY146" t="s">
        <v>74</v>
      </c>
      <c r="AZ146" t="s">
        <v>74</v>
      </c>
      <c r="BA146" t="s">
        <v>74</v>
      </c>
      <c r="BB146" t="s">
        <v>74</v>
      </c>
      <c r="BC146" t="s">
        <v>74</v>
      </c>
      <c r="BD146" t="s">
        <v>74</v>
      </c>
      <c r="BE146" t="s">
        <v>3040</v>
      </c>
      <c r="BF146" t="str">
        <f>HYPERLINK("http://dx.doi.org/10.19053/01233769.11953","http://dx.doi.org/10.19053/01233769.11953")</f>
        <v>http://dx.doi.org/10.19053/01233769.11953</v>
      </c>
      <c r="BG146" t="s">
        <v>74</v>
      </c>
      <c r="BH146" t="s">
        <v>74</v>
      </c>
      <c r="BI146">
        <v>29</v>
      </c>
      <c r="BJ146" t="s">
        <v>1141</v>
      </c>
      <c r="BK146" t="s">
        <v>180</v>
      </c>
      <c r="BL146" t="s">
        <v>1141</v>
      </c>
      <c r="BM146" t="s">
        <v>2535</v>
      </c>
      <c r="BN146" t="s">
        <v>74</v>
      </c>
      <c r="BO146" t="s">
        <v>735</v>
      </c>
      <c r="BP146" t="s">
        <v>74</v>
      </c>
      <c r="BQ146" t="s">
        <v>74</v>
      </c>
      <c r="BR146" t="s">
        <v>104</v>
      </c>
      <c r="BS146" t="s">
        <v>3041</v>
      </c>
      <c r="BT146" t="str">
        <f>HYPERLINK("https%3A%2F%2Fwww.webofscience.com%2Fwos%2Fwoscc%2Ffull-record%2FWOS:000767237000003","View Full Record in Web of Science")</f>
        <v>View Full Record in Web of Science</v>
      </c>
    </row>
    <row r="147" spans="1:72" x14ac:dyDescent="0.25">
      <c r="A147" t="s">
        <v>72</v>
      </c>
      <c r="B147" t="s">
        <v>3042</v>
      </c>
      <c r="C147" t="s">
        <v>74</v>
      </c>
      <c r="D147" t="s">
        <v>74</v>
      </c>
      <c r="E147" t="s">
        <v>74</v>
      </c>
      <c r="F147" t="s">
        <v>3043</v>
      </c>
      <c r="G147" t="s">
        <v>74</v>
      </c>
      <c r="H147" t="s">
        <v>74</v>
      </c>
      <c r="I147" t="s">
        <v>3044</v>
      </c>
      <c r="J147" t="s">
        <v>267</v>
      </c>
      <c r="K147" t="s">
        <v>74</v>
      </c>
      <c r="L147" t="s">
        <v>74</v>
      </c>
      <c r="M147" t="s">
        <v>78</v>
      </c>
      <c r="N147" t="s">
        <v>79</v>
      </c>
      <c r="O147" t="s">
        <v>74</v>
      </c>
      <c r="P147" t="s">
        <v>74</v>
      </c>
      <c r="Q147" t="s">
        <v>74</v>
      </c>
      <c r="R147" t="s">
        <v>74</v>
      </c>
      <c r="S147" t="s">
        <v>74</v>
      </c>
      <c r="T147" t="s">
        <v>3045</v>
      </c>
      <c r="U147" t="s">
        <v>3046</v>
      </c>
      <c r="V147" t="s">
        <v>3047</v>
      </c>
      <c r="W147" t="s">
        <v>3048</v>
      </c>
      <c r="X147" t="s">
        <v>3049</v>
      </c>
      <c r="Y147" t="s">
        <v>3050</v>
      </c>
      <c r="Z147" t="s">
        <v>3051</v>
      </c>
      <c r="AA147" t="s">
        <v>3052</v>
      </c>
      <c r="AB147" t="s">
        <v>3053</v>
      </c>
      <c r="AC147" t="s">
        <v>3054</v>
      </c>
      <c r="AD147" t="s">
        <v>3054</v>
      </c>
      <c r="AE147" t="s">
        <v>3055</v>
      </c>
      <c r="AF147" t="s">
        <v>74</v>
      </c>
      <c r="AG147">
        <v>61</v>
      </c>
      <c r="AH147">
        <v>0</v>
      </c>
      <c r="AI147">
        <v>0</v>
      </c>
      <c r="AJ147">
        <v>0</v>
      </c>
      <c r="AK147">
        <v>0</v>
      </c>
      <c r="AL147" t="s">
        <v>92</v>
      </c>
      <c r="AM147" t="s">
        <v>93</v>
      </c>
      <c r="AN147" t="s">
        <v>94</v>
      </c>
      <c r="AO147" t="s">
        <v>74</v>
      </c>
      <c r="AP147" t="s">
        <v>278</v>
      </c>
      <c r="AQ147" t="s">
        <v>74</v>
      </c>
      <c r="AR147" t="s">
        <v>279</v>
      </c>
      <c r="AS147" t="s">
        <v>280</v>
      </c>
      <c r="AT147" t="s">
        <v>1313</v>
      </c>
      <c r="AU147">
        <v>2022</v>
      </c>
      <c r="AV147">
        <v>14</v>
      </c>
      <c r="AW147">
        <v>20</v>
      </c>
      <c r="AX147" t="s">
        <v>74</v>
      </c>
      <c r="AY147" t="s">
        <v>74</v>
      </c>
      <c r="AZ147" t="s">
        <v>74</v>
      </c>
      <c r="BA147" t="s">
        <v>74</v>
      </c>
      <c r="BB147" t="s">
        <v>74</v>
      </c>
      <c r="BC147" t="s">
        <v>74</v>
      </c>
      <c r="BD147">
        <v>13634</v>
      </c>
      <c r="BE147" t="s">
        <v>3056</v>
      </c>
      <c r="BF147" t="str">
        <f>HYPERLINK("http://dx.doi.org/10.3390/su142013634","http://dx.doi.org/10.3390/su142013634")</f>
        <v>http://dx.doi.org/10.3390/su142013634</v>
      </c>
      <c r="BG147" t="s">
        <v>74</v>
      </c>
      <c r="BH147" t="s">
        <v>74</v>
      </c>
      <c r="BI147">
        <v>18</v>
      </c>
      <c r="BJ147" t="s">
        <v>283</v>
      </c>
      <c r="BK147" t="s">
        <v>284</v>
      </c>
      <c r="BL147" t="s">
        <v>285</v>
      </c>
      <c r="BM147" t="s">
        <v>3057</v>
      </c>
      <c r="BN147" t="s">
        <v>74</v>
      </c>
      <c r="BO147" t="s">
        <v>129</v>
      </c>
      <c r="BP147" t="s">
        <v>74</v>
      </c>
      <c r="BQ147" t="s">
        <v>74</v>
      </c>
      <c r="BR147" t="s">
        <v>104</v>
      </c>
      <c r="BS147" t="s">
        <v>3058</v>
      </c>
      <c r="BT147" t="str">
        <f>HYPERLINK("https%3A%2F%2Fwww.webofscience.com%2Fwos%2Fwoscc%2Ffull-record%2FWOS:000873857100001","View Full Record in Web of Science")</f>
        <v>View Full Record in Web of Science</v>
      </c>
    </row>
    <row r="148" spans="1:72" x14ac:dyDescent="0.25">
      <c r="A148" t="s">
        <v>72</v>
      </c>
      <c r="B148" t="s">
        <v>3059</v>
      </c>
      <c r="C148" t="s">
        <v>74</v>
      </c>
      <c r="D148" t="s">
        <v>74</v>
      </c>
      <c r="E148" t="s">
        <v>74</v>
      </c>
      <c r="F148" t="s">
        <v>3060</v>
      </c>
      <c r="G148" t="s">
        <v>74</v>
      </c>
      <c r="H148" t="s">
        <v>74</v>
      </c>
      <c r="I148" t="s">
        <v>3061</v>
      </c>
      <c r="J148" t="s">
        <v>3062</v>
      </c>
      <c r="K148" t="s">
        <v>74</v>
      </c>
      <c r="L148" t="s">
        <v>74</v>
      </c>
      <c r="M148" t="s">
        <v>78</v>
      </c>
      <c r="N148" t="s">
        <v>1816</v>
      </c>
      <c r="O148" t="s">
        <v>74</v>
      </c>
      <c r="P148" t="s">
        <v>74</v>
      </c>
      <c r="Q148" t="s">
        <v>74</v>
      </c>
      <c r="R148" t="s">
        <v>74</v>
      </c>
      <c r="S148" t="s">
        <v>74</v>
      </c>
      <c r="T148" t="s">
        <v>74</v>
      </c>
      <c r="U148" t="s">
        <v>74</v>
      </c>
      <c r="V148" t="s">
        <v>74</v>
      </c>
      <c r="W148" t="s">
        <v>3063</v>
      </c>
      <c r="X148" t="s">
        <v>3064</v>
      </c>
      <c r="Y148" t="s">
        <v>3065</v>
      </c>
      <c r="Z148" t="s">
        <v>3066</v>
      </c>
      <c r="AA148" t="s">
        <v>74</v>
      </c>
      <c r="AB148" t="s">
        <v>74</v>
      </c>
      <c r="AC148" t="s">
        <v>74</v>
      </c>
      <c r="AD148" t="s">
        <v>74</v>
      </c>
      <c r="AE148" t="s">
        <v>74</v>
      </c>
      <c r="AF148" t="s">
        <v>74</v>
      </c>
      <c r="AG148">
        <v>5</v>
      </c>
      <c r="AH148">
        <v>0</v>
      </c>
      <c r="AI148">
        <v>0</v>
      </c>
      <c r="AJ148">
        <v>1</v>
      </c>
      <c r="AK148">
        <v>1</v>
      </c>
      <c r="AL148" t="s">
        <v>3067</v>
      </c>
      <c r="AM148" t="s">
        <v>3068</v>
      </c>
      <c r="AN148" t="s">
        <v>3069</v>
      </c>
      <c r="AO148" t="s">
        <v>3070</v>
      </c>
      <c r="AP148" t="s">
        <v>3071</v>
      </c>
      <c r="AQ148" t="s">
        <v>74</v>
      </c>
      <c r="AR148" t="s">
        <v>3072</v>
      </c>
      <c r="AS148" t="s">
        <v>3073</v>
      </c>
      <c r="AT148" t="s">
        <v>3074</v>
      </c>
      <c r="AU148">
        <v>2022</v>
      </c>
      <c r="AV148">
        <v>11</v>
      </c>
      <c r="AW148">
        <v>2</v>
      </c>
      <c r="AX148" t="s">
        <v>74</v>
      </c>
      <c r="AY148" t="s">
        <v>74</v>
      </c>
      <c r="AZ148" t="s">
        <v>74</v>
      </c>
      <c r="BA148" t="s">
        <v>74</v>
      </c>
      <c r="BB148">
        <v>223</v>
      </c>
      <c r="BC148">
        <v>224</v>
      </c>
      <c r="BD148" t="s">
        <v>74</v>
      </c>
      <c r="BE148" t="s">
        <v>3075</v>
      </c>
      <c r="BF148" t="str">
        <f>HYPERLINK("http://dx.doi.org/10.4103/ijmy.ijmy_63_22","http://dx.doi.org/10.4103/ijmy.ijmy_63_22")</f>
        <v>http://dx.doi.org/10.4103/ijmy.ijmy_63_22</v>
      </c>
      <c r="BG148" t="s">
        <v>74</v>
      </c>
      <c r="BH148" t="s">
        <v>74</v>
      </c>
      <c r="BI148">
        <v>2</v>
      </c>
      <c r="BJ148" t="s">
        <v>3076</v>
      </c>
      <c r="BK148" t="s">
        <v>180</v>
      </c>
      <c r="BL148" t="s">
        <v>3076</v>
      </c>
      <c r="BM148" t="s">
        <v>3077</v>
      </c>
      <c r="BN148">
        <v>35775561</v>
      </c>
      <c r="BO148" t="s">
        <v>74</v>
      </c>
      <c r="BP148" t="s">
        <v>74</v>
      </c>
      <c r="BQ148" t="s">
        <v>74</v>
      </c>
      <c r="BR148" t="s">
        <v>104</v>
      </c>
      <c r="BS148" t="s">
        <v>3078</v>
      </c>
      <c r="BT148" t="str">
        <f>HYPERLINK("https%3A%2F%2Fwww.webofscience.com%2Fwos%2Fwoscc%2Ffull-record%2FWOS:000867670000018","View Full Record in Web of Science")</f>
        <v>View Full Record in Web of Science</v>
      </c>
    </row>
    <row r="149" spans="1:72" x14ac:dyDescent="0.25">
      <c r="A149" t="s">
        <v>72</v>
      </c>
      <c r="B149" t="s">
        <v>3079</v>
      </c>
      <c r="C149" t="s">
        <v>74</v>
      </c>
      <c r="D149" t="s">
        <v>74</v>
      </c>
      <c r="E149" t="s">
        <v>74</v>
      </c>
      <c r="F149" t="s">
        <v>3080</v>
      </c>
      <c r="G149" t="s">
        <v>74</v>
      </c>
      <c r="H149" t="s">
        <v>74</v>
      </c>
      <c r="I149" t="s">
        <v>3081</v>
      </c>
      <c r="J149" t="s">
        <v>3082</v>
      </c>
      <c r="K149" t="s">
        <v>74</v>
      </c>
      <c r="L149" t="s">
        <v>74</v>
      </c>
      <c r="M149" t="s">
        <v>78</v>
      </c>
      <c r="N149" t="s">
        <v>79</v>
      </c>
      <c r="O149" t="s">
        <v>74</v>
      </c>
      <c r="P149" t="s">
        <v>74</v>
      </c>
      <c r="Q149" t="s">
        <v>74</v>
      </c>
      <c r="R149" t="s">
        <v>74</v>
      </c>
      <c r="S149" t="s">
        <v>74</v>
      </c>
      <c r="T149" t="s">
        <v>3083</v>
      </c>
      <c r="U149" t="s">
        <v>3084</v>
      </c>
      <c r="V149" t="s">
        <v>3085</v>
      </c>
      <c r="W149" t="s">
        <v>3086</v>
      </c>
      <c r="X149" t="s">
        <v>140</v>
      </c>
      <c r="Y149" t="s">
        <v>3087</v>
      </c>
      <c r="Z149" t="s">
        <v>3088</v>
      </c>
      <c r="AA149" t="s">
        <v>74</v>
      </c>
      <c r="AB149" t="s">
        <v>3089</v>
      </c>
      <c r="AC149" t="s">
        <v>74</v>
      </c>
      <c r="AD149" t="s">
        <v>74</v>
      </c>
      <c r="AE149" t="s">
        <v>74</v>
      </c>
      <c r="AF149" t="s">
        <v>74</v>
      </c>
      <c r="AG149">
        <v>12</v>
      </c>
      <c r="AH149">
        <v>0</v>
      </c>
      <c r="AI149">
        <v>0</v>
      </c>
      <c r="AJ149">
        <v>2</v>
      </c>
      <c r="AK149">
        <v>2</v>
      </c>
      <c r="AL149" t="s">
        <v>1391</v>
      </c>
      <c r="AM149" t="s">
        <v>1392</v>
      </c>
      <c r="AN149" t="s">
        <v>1393</v>
      </c>
      <c r="AO149" t="s">
        <v>3090</v>
      </c>
      <c r="AP149" t="s">
        <v>3091</v>
      </c>
      <c r="AQ149" t="s">
        <v>74</v>
      </c>
      <c r="AR149" t="s">
        <v>3092</v>
      </c>
      <c r="AS149" t="s">
        <v>3093</v>
      </c>
      <c r="AT149" t="s">
        <v>3094</v>
      </c>
      <c r="AU149">
        <v>2022</v>
      </c>
      <c r="AV149">
        <v>31</v>
      </c>
      <c r="AW149">
        <v>59</v>
      </c>
      <c r="AX149" t="s">
        <v>74</v>
      </c>
      <c r="AY149" t="s">
        <v>74</v>
      </c>
      <c r="AZ149" t="s">
        <v>74</v>
      </c>
      <c r="BA149" t="s">
        <v>74</v>
      </c>
      <c r="BB149" t="s">
        <v>74</v>
      </c>
      <c r="BC149" t="s">
        <v>74</v>
      </c>
      <c r="BD149" t="s">
        <v>3095</v>
      </c>
      <c r="BE149" t="s">
        <v>3096</v>
      </c>
      <c r="BF149" t="str">
        <f>HYPERLINK("http://dx.doi.org/10.19053/01211129.v31.n59.2022.14136","http://dx.doi.org/10.19053/01211129.v31.n59.2022.14136")</f>
        <v>http://dx.doi.org/10.19053/01211129.v31.n59.2022.14136</v>
      </c>
      <c r="BG149" t="s">
        <v>74</v>
      </c>
      <c r="BH149" t="s">
        <v>74</v>
      </c>
      <c r="BI149">
        <v>24</v>
      </c>
      <c r="BJ149" t="s">
        <v>308</v>
      </c>
      <c r="BK149" t="s">
        <v>180</v>
      </c>
      <c r="BL149" t="s">
        <v>309</v>
      </c>
      <c r="BM149" t="s">
        <v>3097</v>
      </c>
      <c r="BN149" t="s">
        <v>74</v>
      </c>
      <c r="BO149" t="s">
        <v>735</v>
      </c>
      <c r="BP149" t="s">
        <v>74</v>
      </c>
      <c r="BQ149" t="s">
        <v>74</v>
      </c>
      <c r="BR149" t="s">
        <v>104</v>
      </c>
      <c r="BS149" t="s">
        <v>3098</v>
      </c>
      <c r="BT149" t="str">
        <f>HYPERLINK("https%3A%2F%2Fwww.webofscience.com%2Fwos%2Fwoscc%2Ffull-record%2FWOS:000771913900001","View Full Record in Web of Science")</f>
        <v>View Full Record in Web of Science</v>
      </c>
    </row>
    <row r="150" spans="1:72" x14ac:dyDescent="0.25">
      <c r="A150" t="s">
        <v>72</v>
      </c>
      <c r="B150" t="s">
        <v>3099</v>
      </c>
      <c r="C150" t="s">
        <v>74</v>
      </c>
      <c r="D150" t="s">
        <v>74</v>
      </c>
      <c r="E150" t="s">
        <v>74</v>
      </c>
      <c r="F150" t="s">
        <v>3100</v>
      </c>
      <c r="G150" t="s">
        <v>74</v>
      </c>
      <c r="H150" t="s">
        <v>74</v>
      </c>
      <c r="I150" t="s">
        <v>3101</v>
      </c>
      <c r="J150" t="s">
        <v>3102</v>
      </c>
      <c r="K150" t="s">
        <v>74</v>
      </c>
      <c r="L150" t="s">
        <v>74</v>
      </c>
      <c r="M150" t="s">
        <v>78</v>
      </c>
      <c r="N150" t="s">
        <v>79</v>
      </c>
      <c r="O150" t="s">
        <v>74</v>
      </c>
      <c r="P150" t="s">
        <v>74</v>
      </c>
      <c r="Q150" t="s">
        <v>74</v>
      </c>
      <c r="R150" t="s">
        <v>74</v>
      </c>
      <c r="S150" t="s">
        <v>74</v>
      </c>
      <c r="T150" t="s">
        <v>3103</v>
      </c>
      <c r="U150" t="s">
        <v>3104</v>
      </c>
      <c r="V150" t="s">
        <v>3105</v>
      </c>
      <c r="W150" t="s">
        <v>3106</v>
      </c>
      <c r="X150" t="s">
        <v>3107</v>
      </c>
      <c r="Y150" t="s">
        <v>3108</v>
      </c>
      <c r="Z150" t="s">
        <v>3109</v>
      </c>
      <c r="AA150" t="s">
        <v>74</v>
      </c>
      <c r="AB150" t="s">
        <v>3110</v>
      </c>
      <c r="AC150" t="s">
        <v>3111</v>
      </c>
      <c r="AD150" t="s">
        <v>3112</v>
      </c>
      <c r="AE150" t="s">
        <v>3113</v>
      </c>
      <c r="AF150" t="s">
        <v>74</v>
      </c>
      <c r="AG150">
        <v>45</v>
      </c>
      <c r="AH150">
        <v>0</v>
      </c>
      <c r="AI150">
        <v>0</v>
      </c>
      <c r="AJ150">
        <v>2</v>
      </c>
      <c r="AK150">
        <v>2</v>
      </c>
      <c r="AL150" t="s">
        <v>2043</v>
      </c>
      <c r="AM150" t="s">
        <v>2044</v>
      </c>
      <c r="AN150" t="s">
        <v>2045</v>
      </c>
      <c r="AO150" t="s">
        <v>3114</v>
      </c>
      <c r="AP150" t="s">
        <v>3115</v>
      </c>
      <c r="AQ150" t="s">
        <v>74</v>
      </c>
      <c r="AR150" t="s">
        <v>3116</v>
      </c>
      <c r="AS150" t="s">
        <v>3117</v>
      </c>
      <c r="AT150" t="s">
        <v>3118</v>
      </c>
      <c r="AU150">
        <v>2022</v>
      </c>
      <c r="AV150">
        <v>11</v>
      </c>
      <c r="AW150">
        <v>1</v>
      </c>
      <c r="AX150" t="s">
        <v>74</v>
      </c>
      <c r="AY150" t="s">
        <v>74</v>
      </c>
      <c r="AZ150" t="s">
        <v>74</v>
      </c>
      <c r="BA150" t="s">
        <v>74</v>
      </c>
      <c r="BB150">
        <v>395</v>
      </c>
      <c r="BC150">
        <v>410</v>
      </c>
      <c r="BD150" t="s">
        <v>74</v>
      </c>
      <c r="BE150" t="s">
        <v>3119</v>
      </c>
      <c r="BF150" t="str">
        <f>HYPERLINK("http://dx.doi.org/10.1515/nleng-2022-0043","http://dx.doi.org/10.1515/nleng-2022-0043")</f>
        <v>http://dx.doi.org/10.1515/nleng-2022-0043</v>
      </c>
      <c r="BG150" t="s">
        <v>74</v>
      </c>
      <c r="BH150" t="s">
        <v>74</v>
      </c>
      <c r="BI150">
        <v>16</v>
      </c>
      <c r="BJ150" t="s">
        <v>3120</v>
      </c>
      <c r="BK150" t="s">
        <v>180</v>
      </c>
      <c r="BL150" t="s">
        <v>3121</v>
      </c>
      <c r="BM150" t="s">
        <v>3122</v>
      </c>
      <c r="BN150" t="s">
        <v>74</v>
      </c>
      <c r="BO150" t="s">
        <v>183</v>
      </c>
      <c r="BP150" t="s">
        <v>74</v>
      </c>
      <c r="BQ150" t="s">
        <v>74</v>
      </c>
      <c r="BR150" t="s">
        <v>104</v>
      </c>
      <c r="BS150" t="s">
        <v>3123</v>
      </c>
      <c r="BT150" t="str">
        <f>HYPERLINK("https%3A%2F%2Fwww.webofscience.com%2Fwos%2Fwoscc%2Ffull-record%2FWOS:000837784800001","View Full Record in Web of Science")</f>
        <v>View Full Record in Web of Science</v>
      </c>
    </row>
    <row r="151" spans="1:72" x14ac:dyDescent="0.25">
      <c r="A151" t="s">
        <v>72</v>
      </c>
      <c r="B151" t="s">
        <v>3124</v>
      </c>
      <c r="C151" t="s">
        <v>74</v>
      </c>
      <c r="D151" t="s">
        <v>74</v>
      </c>
      <c r="E151" t="s">
        <v>74</v>
      </c>
      <c r="F151" t="s">
        <v>3125</v>
      </c>
      <c r="G151" t="s">
        <v>74</v>
      </c>
      <c r="H151" t="s">
        <v>74</v>
      </c>
      <c r="I151" t="s">
        <v>3126</v>
      </c>
      <c r="J151" t="s">
        <v>2057</v>
      </c>
      <c r="K151" t="s">
        <v>74</v>
      </c>
      <c r="L151" t="s">
        <v>74</v>
      </c>
      <c r="M151" t="s">
        <v>78</v>
      </c>
      <c r="N151" t="s">
        <v>79</v>
      </c>
      <c r="O151" t="s">
        <v>74</v>
      </c>
      <c r="P151" t="s">
        <v>74</v>
      </c>
      <c r="Q151" t="s">
        <v>74</v>
      </c>
      <c r="R151" t="s">
        <v>74</v>
      </c>
      <c r="S151" t="s">
        <v>74</v>
      </c>
      <c r="T151" t="s">
        <v>3127</v>
      </c>
      <c r="U151" t="s">
        <v>3128</v>
      </c>
      <c r="V151" t="s">
        <v>3129</v>
      </c>
      <c r="W151" t="s">
        <v>3130</v>
      </c>
      <c r="X151" t="s">
        <v>3131</v>
      </c>
      <c r="Y151" t="s">
        <v>3132</v>
      </c>
      <c r="Z151" t="s">
        <v>3133</v>
      </c>
      <c r="AA151" t="s">
        <v>3134</v>
      </c>
      <c r="AB151" t="s">
        <v>3135</v>
      </c>
      <c r="AC151" t="s">
        <v>3136</v>
      </c>
      <c r="AD151" t="s">
        <v>3137</v>
      </c>
      <c r="AE151" t="s">
        <v>3138</v>
      </c>
      <c r="AF151" t="s">
        <v>74</v>
      </c>
      <c r="AG151">
        <v>21</v>
      </c>
      <c r="AH151">
        <v>0</v>
      </c>
      <c r="AI151">
        <v>0</v>
      </c>
      <c r="AJ151">
        <v>1</v>
      </c>
      <c r="AK151">
        <v>3</v>
      </c>
      <c r="AL151" t="s">
        <v>1859</v>
      </c>
      <c r="AM151" t="s">
        <v>486</v>
      </c>
      <c r="AN151" t="s">
        <v>1860</v>
      </c>
      <c r="AO151" t="s">
        <v>2068</v>
      </c>
      <c r="AP151" t="s">
        <v>2069</v>
      </c>
      <c r="AQ151" t="s">
        <v>74</v>
      </c>
      <c r="AR151" t="s">
        <v>2070</v>
      </c>
      <c r="AS151" t="s">
        <v>2071</v>
      </c>
      <c r="AT151" t="s">
        <v>3139</v>
      </c>
      <c r="AU151">
        <v>2022</v>
      </c>
      <c r="AV151">
        <v>183</v>
      </c>
      <c r="AW151" t="s">
        <v>74</v>
      </c>
      <c r="AX151" t="s">
        <v>74</v>
      </c>
      <c r="AY151" t="s">
        <v>74</v>
      </c>
      <c r="AZ151" t="s">
        <v>74</v>
      </c>
      <c r="BA151" t="s">
        <v>74</v>
      </c>
      <c r="BB151" t="s">
        <v>74</v>
      </c>
      <c r="BC151" t="s">
        <v>74</v>
      </c>
      <c r="BD151">
        <v>110154</v>
      </c>
      <c r="BE151" t="s">
        <v>3140</v>
      </c>
      <c r="BF151" t="str">
        <f>HYPERLINK("http://dx.doi.org/10.1016/j.apradiso.2022.110154","http://dx.doi.org/10.1016/j.apradiso.2022.110154")</f>
        <v>http://dx.doi.org/10.1016/j.apradiso.2022.110154</v>
      </c>
      <c r="BG151" t="s">
        <v>74</v>
      </c>
      <c r="BH151" t="s">
        <v>881</v>
      </c>
      <c r="BI151">
        <v>7</v>
      </c>
      <c r="BJ151" t="s">
        <v>2073</v>
      </c>
      <c r="BK151" t="s">
        <v>101</v>
      </c>
      <c r="BL151" t="s">
        <v>2074</v>
      </c>
      <c r="BM151" t="s">
        <v>3141</v>
      </c>
      <c r="BN151">
        <v>35217326</v>
      </c>
      <c r="BO151" t="s">
        <v>74</v>
      </c>
      <c r="BP151" t="s">
        <v>74</v>
      </c>
      <c r="BQ151" t="s">
        <v>74</v>
      </c>
      <c r="BR151" t="s">
        <v>104</v>
      </c>
      <c r="BS151" t="s">
        <v>3142</v>
      </c>
      <c r="BT151" t="str">
        <f>HYPERLINK("https%3A%2F%2Fwww.webofscience.com%2Fwos%2Fwoscc%2Ffull-record%2FWOS:000768009900002","View Full Record in Web of Science")</f>
        <v>View Full Record in Web of Science</v>
      </c>
    </row>
    <row r="152" spans="1:72" x14ac:dyDescent="0.25">
      <c r="A152" t="s">
        <v>72</v>
      </c>
      <c r="B152" t="s">
        <v>3143</v>
      </c>
      <c r="C152" t="s">
        <v>74</v>
      </c>
      <c r="D152" t="s">
        <v>74</v>
      </c>
      <c r="E152" t="s">
        <v>74</v>
      </c>
      <c r="F152" t="s">
        <v>3144</v>
      </c>
      <c r="G152" t="s">
        <v>74</v>
      </c>
      <c r="H152" t="s">
        <v>74</v>
      </c>
      <c r="I152" t="s">
        <v>3145</v>
      </c>
      <c r="J152" t="s">
        <v>1321</v>
      </c>
      <c r="K152" t="s">
        <v>74</v>
      </c>
      <c r="L152" t="s">
        <v>74</v>
      </c>
      <c r="M152" t="s">
        <v>78</v>
      </c>
      <c r="N152" t="s">
        <v>162</v>
      </c>
      <c r="O152" t="s">
        <v>74</v>
      </c>
      <c r="P152" t="s">
        <v>74</v>
      </c>
      <c r="Q152" t="s">
        <v>74</v>
      </c>
      <c r="R152" t="s">
        <v>74</v>
      </c>
      <c r="S152" t="s">
        <v>74</v>
      </c>
      <c r="T152" t="s">
        <v>3146</v>
      </c>
      <c r="U152" t="s">
        <v>3147</v>
      </c>
      <c r="V152" t="s">
        <v>3148</v>
      </c>
      <c r="W152" t="s">
        <v>3149</v>
      </c>
      <c r="X152" t="s">
        <v>84</v>
      </c>
      <c r="Y152" t="s">
        <v>3150</v>
      </c>
      <c r="Z152" t="s">
        <v>3151</v>
      </c>
      <c r="AA152" t="s">
        <v>74</v>
      </c>
      <c r="AB152" t="s">
        <v>74</v>
      </c>
      <c r="AC152" t="s">
        <v>74</v>
      </c>
      <c r="AD152" t="s">
        <v>74</v>
      </c>
      <c r="AE152" t="s">
        <v>74</v>
      </c>
      <c r="AF152" t="s">
        <v>74</v>
      </c>
      <c r="AG152">
        <v>50</v>
      </c>
      <c r="AH152">
        <v>0</v>
      </c>
      <c r="AI152">
        <v>0</v>
      </c>
      <c r="AJ152">
        <v>2</v>
      </c>
      <c r="AK152">
        <v>2</v>
      </c>
      <c r="AL152" t="s">
        <v>1329</v>
      </c>
      <c r="AM152" t="s">
        <v>1330</v>
      </c>
      <c r="AN152" t="s">
        <v>1331</v>
      </c>
      <c r="AO152" t="s">
        <v>1332</v>
      </c>
      <c r="AP152" t="s">
        <v>1333</v>
      </c>
      <c r="AQ152" t="s">
        <v>74</v>
      </c>
      <c r="AR152" t="s">
        <v>1334</v>
      </c>
      <c r="AS152" t="s">
        <v>1335</v>
      </c>
      <c r="AT152" t="s">
        <v>1336</v>
      </c>
      <c r="AU152">
        <v>2022</v>
      </c>
      <c r="AV152">
        <v>13</v>
      </c>
      <c r="AW152">
        <v>2</v>
      </c>
      <c r="AX152" t="s">
        <v>74</v>
      </c>
      <c r="AY152" t="s">
        <v>74</v>
      </c>
      <c r="AZ152" t="s">
        <v>74</v>
      </c>
      <c r="BA152" t="s">
        <v>74</v>
      </c>
      <c r="BB152" t="s">
        <v>74</v>
      </c>
      <c r="BC152" t="s">
        <v>74</v>
      </c>
      <c r="BD152" t="s">
        <v>3152</v>
      </c>
      <c r="BE152" t="s">
        <v>3153</v>
      </c>
      <c r="BF152" t="str">
        <f>HYPERLINK("http://dx.doi.org/10.15649/cuidarte.2388","http://dx.doi.org/10.15649/cuidarte.2388")</f>
        <v>http://dx.doi.org/10.15649/cuidarte.2388</v>
      </c>
      <c r="BG152" t="s">
        <v>74</v>
      </c>
      <c r="BH152" t="s">
        <v>74</v>
      </c>
      <c r="BI152">
        <v>14</v>
      </c>
      <c r="BJ152" t="s">
        <v>1339</v>
      </c>
      <c r="BK152" t="s">
        <v>180</v>
      </c>
      <c r="BL152" t="s">
        <v>1339</v>
      </c>
      <c r="BM152" t="s">
        <v>1340</v>
      </c>
      <c r="BN152" t="s">
        <v>74</v>
      </c>
      <c r="BO152" t="s">
        <v>183</v>
      </c>
      <c r="BP152" t="s">
        <v>74</v>
      </c>
      <c r="BQ152" t="s">
        <v>74</v>
      </c>
      <c r="BR152" t="s">
        <v>104</v>
      </c>
      <c r="BS152" t="s">
        <v>3154</v>
      </c>
      <c r="BT152" t="str">
        <f>HYPERLINK("https%3A%2F%2Fwww.webofscience.com%2Fwos%2Fwoscc%2Ffull-record%2FWOS:000862979100008","View Full Record in Web of Science")</f>
        <v>View Full Record in Web of Science</v>
      </c>
    </row>
    <row r="153" spans="1:72" x14ac:dyDescent="0.25">
      <c r="A153" t="s">
        <v>72</v>
      </c>
      <c r="B153" t="s">
        <v>3155</v>
      </c>
      <c r="C153" t="s">
        <v>74</v>
      </c>
      <c r="D153" t="s">
        <v>74</v>
      </c>
      <c r="E153" t="s">
        <v>74</v>
      </c>
      <c r="F153" t="s">
        <v>3156</v>
      </c>
      <c r="G153" t="s">
        <v>74</v>
      </c>
      <c r="H153" t="s">
        <v>74</v>
      </c>
      <c r="I153" t="s">
        <v>3157</v>
      </c>
      <c r="J153" t="s">
        <v>3158</v>
      </c>
      <c r="K153" t="s">
        <v>74</v>
      </c>
      <c r="L153" t="s">
        <v>74</v>
      </c>
      <c r="M153" t="s">
        <v>78</v>
      </c>
      <c r="N153" t="s">
        <v>79</v>
      </c>
      <c r="O153" t="s">
        <v>74</v>
      </c>
      <c r="P153" t="s">
        <v>74</v>
      </c>
      <c r="Q153" t="s">
        <v>74</v>
      </c>
      <c r="R153" t="s">
        <v>74</v>
      </c>
      <c r="S153" t="s">
        <v>74</v>
      </c>
      <c r="T153" t="s">
        <v>3159</v>
      </c>
      <c r="U153" t="s">
        <v>3160</v>
      </c>
      <c r="V153" t="s">
        <v>3161</v>
      </c>
      <c r="W153" t="s">
        <v>3162</v>
      </c>
      <c r="X153" t="s">
        <v>3163</v>
      </c>
      <c r="Y153" t="s">
        <v>3164</v>
      </c>
      <c r="Z153" t="s">
        <v>3165</v>
      </c>
      <c r="AA153" t="s">
        <v>74</v>
      </c>
      <c r="AB153" t="s">
        <v>74</v>
      </c>
      <c r="AC153" t="s">
        <v>74</v>
      </c>
      <c r="AD153" t="s">
        <v>74</v>
      </c>
      <c r="AE153" t="s">
        <v>74</v>
      </c>
      <c r="AF153" t="s">
        <v>74</v>
      </c>
      <c r="AG153">
        <v>15</v>
      </c>
      <c r="AH153">
        <v>0</v>
      </c>
      <c r="AI153">
        <v>0</v>
      </c>
      <c r="AJ153">
        <v>0</v>
      </c>
      <c r="AK153">
        <v>0</v>
      </c>
      <c r="AL153" t="s">
        <v>3166</v>
      </c>
      <c r="AM153" t="s">
        <v>147</v>
      </c>
      <c r="AN153" t="s">
        <v>3167</v>
      </c>
      <c r="AO153" t="s">
        <v>3168</v>
      </c>
      <c r="AP153" t="s">
        <v>3169</v>
      </c>
      <c r="AQ153" t="s">
        <v>74</v>
      </c>
      <c r="AR153" t="s">
        <v>3170</v>
      </c>
      <c r="AS153" t="s">
        <v>3171</v>
      </c>
      <c r="AT153" t="s">
        <v>124</v>
      </c>
      <c r="AU153">
        <v>2022</v>
      </c>
      <c r="AV153">
        <v>14</v>
      </c>
      <c r="AW153">
        <v>2</v>
      </c>
      <c r="AX153" t="s">
        <v>74</v>
      </c>
      <c r="AY153" t="s">
        <v>74</v>
      </c>
      <c r="AZ153" t="s">
        <v>74</v>
      </c>
      <c r="BA153" t="s">
        <v>74</v>
      </c>
      <c r="BB153">
        <v>103</v>
      </c>
      <c r="BC153">
        <v>115</v>
      </c>
      <c r="BD153" t="s">
        <v>74</v>
      </c>
      <c r="BE153" t="s">
        <v>3172</v>
      </c>
      <c r="BF153" t="str">
        <f>HYPERLINK("http://dx.doi.org/10.1134/S2070046622020029","http://dx.doi.org/10.1134/S2070046622020029")</f>
        <v>http://dx.doi.org/10.1134/S2070046622020029</v>
      </c>
      <c r="BG153" t="s">
        <v>74</v>
      </c>
      <c r="BH153" t="s">
        <v>74</v>
      </c>
      <c r="BI153">
        <v>13</v>
      </c>
      <c r="BJ153" t="s">
        <v>2455</v>
      </c>
      <c r="BK153" t="s">
        <v>180</v>
      </c>
      <c r="BL153" t="s">
        <v>733</v>
      </c>
      <c r="BM153" t="s">
        <v>3173</v>
      </c>
      <c r="BN153" t="s">
        <v>74</v>
      </c>
      <c r="BO153" t="s">
        <v>74</v>
      </c>
      <c r="BP153" t="s">
        <v>74</v>
      </c>
      <c r="BQ153" t="s">
        <v>74</v>
      </c>
      <c r="BR153" t="s">
        <v>104</v>
      </c>
      <c r="BS153" t="s">
        <v>3174</v>
      </c>
      <c r="BT153" t="str">
        <f>HYPERLINK("https%3A%2F%2Fwww.webofscience.com%2Fwos%2Fwoscc%2Ffull-record%2FWOS:000800954800002","View Full Record in Web of Science")</f>
        <v>View Full Record in Web of Science</v>
      </c>
    </row>
    <row r="154" spans="1:72" x14ac:dyDescent="0.25">
      <c r="A154" t="s">
        <v>72</v>
      </c>
      <c r="B154" t="s">
        <v>3175</v>
      </c>
      <c r="C154" t="s">
        <v>74</v>
      </c>
      <c r="D154" t="s">
        <v>74</v>
      </c>
      <c r="E154" t="s">
        <v>74</v>
      </c>
      <c r="F154" t="s">
        <v>3176</v>
      </c>
      <c r="G154" t="s">
        <v>74</v>
      </c>
      <c r="H154" t="s">
        <v>74</v>
      </c>
      <c r="I154" t="s">
        <v>3177</v>
      </c>
      <c r="J154" t="s">
        <v>3178</v>
      </c>
      <c r="K154" t="s">
        <v>74</v>
      </c>
      <c r="L154" t="s">
        <v>74</v>
      </c>
      <c r="M154" t="s">
        <v>1234</v>
      </c>
      <c r="N154" t="s">
        <v>79</v>
      </c>
      <c r="O154" t="s">
        <v>74</v>
      </c>
      <c r="P154" t="s">
        <v>74</v>
      </c>
      <c r="Q154" t="s">
        <v>74</v>
      </c>
      <c r="R154" t="s">
        <v>74</v>
      </c>
      <c r="S154" t="s">
        <v>74</v>
      </c>
      <c r="T154" t="s">
        <v>3179</v>
      </c>
      <c r="U154" t="s">
        <v>3180</v>
      </c>
      <c r="V154" t="s">
        <v>3181</v>
      </c>
      <c r="W154" t="s">
        <v>3182</v>
      </c>
      <c r="X154" t="s">
        <v>3183</v>
      </c>
      <c r="Y154" t="s">
        <v>3184</v>
      </c>
      <c r="Z154" t="s">
        <v>74</v>
      </c>
      <c r="AA154" t="s">
        <v>74</v>
      </c>
      <c r="AB154" t="s">
        <v>74</v>
      </c>
      <c r="AC154" t="s">
        <v>74</v>
      </c>
      <c r="AD154" t="s">
        <v>74</v>
      </c>
      <c r="AE154" t="s">
        <v>74</v>
      </c>
      <c r="AF154" t="s">
        <v>74</v>
      </c>
      <c r="AG154">
        <v>67</v>
      </c>
      <c r="AH154">
        <v>0</v>
      </c>
      <c r="AI154">
        <v>0</v>
      </c>
      <c r="AJ154">
        <v>0</v>
      </c>
      <c r="AK154">
        <v>0</v>
      </c>
      <c r="AL154" t="s">
        <v>3185</v>
      </c>
      <c r="AM154" t="s">
        <v>374</v>
      </c>
      <c r="AN154" t="s">
        <v>3186</v>
      </c>
      <c r="AO154" t="s">
        <v>3187</v>
      </c>
      <c r="AP154" t="s">
        <v>74</v>
      </c>
      <c r="AQ154" t="s">
        <v>74</v>
      </c>
      <c r="AR154" t="s">
        <v>3188</v>
      </c>
      <c r="AS154" t="s">
        <v>3189</v>
      </c>
      <c r="AT154" t="s">
        <v>1336</v>
      </c>
      <c r="AU154">
        <v>2022</v>
      </c>
      <c r="AV154">
        <v>15</v>
      </c>
      <c r="AW154">
        <v>2</v>
      </c>
      <c r="AX154" t="s">
        <v>74</v>
      </c>
      <c r="AY154" t="s">
        <v>74</v>
      </c>
      <c r="AZ154" t="s">
        <v>74</v>
      </c>
      <c r="BA154" t="s">
        <v>74</v>
      </c>
      <c r="BB154">
        <v>1</v>
      </c>
      <c r="BC154">
        <v>22</v>
      </c>
      <c r="BD154" t="s">
        <v>74</v>
      </c>
      <c r="BE154" t="s">
        <v>3190</v>
      </c>
      <c r="BF154" t="str">
        <f>HYPERLINK("http://dx.doi.org/10.21615/cesp.5896","http://dx.doi.org/10.21615/cesp.5896")</f>
        <v>http://dx.doi.org/10.21615/cesp.5896</v>
      </c>
      <c r="BG154" t="s">
        <v>74</v>
      </c>
      <c r="BH154" t="s">
        <v>74</v>
      </c>
      <c r="BI154">
        <v>22</v>
      </c>
      <c r="BJ154" t="s">
        <v>1542</v>
      </c>
      <c r="BK154" t="s">
        <v>180</v>
      </c>
      <c r="BL154" t="s">
        <v>1543</v>
      </c>
      <c r="BM154" t="s">
        <v>3191</v>
      </c>
      <c r="BN154" t="s">
        <v>74</v>
      </c>
      <c r="BO154" t="s">
        <v>183</v>
      </c>
      <c r="BP154" t="s">
        <v>74</v>
      </c>
      <c r="BQ154" t="s">
        <v>74</v>
      </c>
      <c r="BR154" t="s">
        <v>104</v>
      </c>
      <c r="BS154" t="s">
        <v>3192</v>
      </c>
      <c r="BT154" t="str">
        <f>HYPERLINK("https%3A%2F%2Fwww.webofscience.com%2Fwos%2Fwoscc%2Ffull-record%2FWOS:000802708000001","View Full Record in Web of Science")</f>
        <v>View Full Record in Web of Science</v>
      </c>
    </row>
    <row r="155" spans="1:72" x14ac:dyDescent="0.25">
      <c r="A155" t="s">
        <v>72</v>
      </c>
      <c r="B155" t="s">
        <v>3193</v>
      </c>
      <c r="C155" t="s">
        <v>74</v>
      </c>
      <c r="D155" t="s">
        <v>74</v>
      </c>
      <c r="E155" t="s">
        <v>74</v>
      </c>
      <c r="F155" t="s">
        <v>3194</v>
      </c>
      <c r="G155" t="s">
        <v>74</v>
      </c>
      <c r="H155" t="s">
        <v>74</v>
      </c>
      <c r="I155" t="s">
        <v>3195</v>
      </c>
      <c r="J155" t="s">
        <v>3196</v>
      </c>
      <c r="K155" t="s">
        <v>74</v>
      </c>
      <c r="L155" t="s">
        <v>74</v>
      </c>
      <c r="M155" t="s">
        <v>78</v>
      </c>
      <c r="N155" t="s">
        <v>79</v>
      </c>
      <c r="O155" t="s">
        <v>74</v>
      </c>
      <c r="P155" t="s">
        <v>74</v>
      </c>
      <c r="Q155" t="s">
        <v>74</v>
      </c>
      <c r="R155" t="s">
        <v>74</v>
      </c>
      <c r="S155" t="s">
        <v>74</v>
      </c>
      <c r="T155" t="s">
        <v>3197</v>
      </c>
      <c r="U155" t="s">
        <v>3198</v>
      </c>
      <c r="V155" t="s">
        <v>3199</v>
      </c>
      <c r="W155" t="s">
        <v>3200</v>
      </c>
      <c r="X155" t="s">
        <v>3201</v>
      </c>
      <c r="Y155" t="s">
        <v>3202</v>
      </c>
      <c r="Z155" t="s">
        <v>3203</v>
      </c>
      <c r="AA155" t="s">
        <v>3204</v>
      </c>
      <c r="AB155" t="s">
        <v>3205</v>
      </c>
      <c r="AC155" t="s">
        <v>74</v>
      </c>
      <c r="AD155" t="s">
        <v>74</v>
      </c>
      <c r="AE155" t="s">
        <v>74</v>
      </c>
      <c r="AF155" t="s">
        <v>74</v>
      </c>
      <c r="AG155">
        <v>27</v>
      </c>
      <c r="AH155">
        <v>0</v>
      </c>
      <c r="AI155">
        <v>0</v>
      </c>
      <c r="AJ155">
        <v>1</v>
      </c>
      <c r="AK155">
        <v>1</v>
      </c>
      <c r="AL155" t="s">
        <v>3206</v>
      </c>
      <c r="AM155" t="s">
        <v>3207</v>
      </c>
      <c r="AN155" t="s">
        <v>3208</v>
      </c>
      <c r="AO155" t="s">
        <v>3209</v>
      </c>
      <c r="AP155" t="s">
        <v>3210</v>
      </c>
      <c r="AQ155" t="s">
        <v>74</v>
      </c>
      <c r="AR155" t="s">
        <v>3211</v>
      </c>
      <c r="AS155" t="s">
        <v>3212</v>
      </c>
      <c r="AT155" t="s">
        <v>231</v>
      </c>
      <c r="AU155">
        <v>2022</v>
      </c>
      <c r="AV155">
        <v>114</v>
      </c>
      <c r="AW155" t="s">
        <v>74</v>
      </c>
      <c r="AX155" t="s">
        <v>74</v>
      </c>
      <c r="AY155" t="s">
        <v>74</v>
      </c>
      <c r="AZ155" t="s">
        <v>74</v>
      </c>
      <c r="BA155" t="s">
        <v>74</v>
      </c>
      <c r="BB155" t="s">
        <v>74</v>
      </c>
      <c r="BC155" t="s">
        <v>74</v>
      </c>
      <c r="BD155">
        <v>105402</v>
      </c>
      <c r="BE155" t="s">
        <v>3213</v>
      </c>
      <c r="BF155" t="str">
        <f>HYPERLINK("http://dx.doi.org/10.1016/j.nedt.2022.105402","http://dx.doi.org/10.1016/j.nedt.2022.105402")</f>
        <v>http://dx.doi.org/10.1016/j.nedt.2022.105402</v>
      </c>
      <c r="BG155" t="s">
        <v>74</v>
      </c>
      <c r="BH155" t="s">
        <v>1225</v>
      </c>
      <c r="BI155">
        <v>7</v>
      </c>
      <c r="BJ155" t="s">
        <v>3214</v>
      </c>
      <c r="BK155" t="s">
        <v>284</v>
      </c>
      <c r="BL155" t="s">
        <v>3215</v>
      </c>
      <c r="BM155" t="s">
        <v>3216</v>
      </c>
      <c r="BN155">
        <v>35594694</v>
      </c>
      <c r="BO155" t="s">
        <v>3217</v>
      </c>
      <c r="BP155" t="s">
        <v>74</v>
      </c>
      <c r="BQ155" t="s">
        <v>74</v>
      </c>
      <c r="BR155" t="s">
        <v>104</v>
      </c>
      <c r="BS155" t="s">
        <v>3218</v>
      </c>
      <c r="BT155" t="str">
        <f>HYPERLINK("https%3A%2F%2Fwww.webofscience.com%2Fwos%2Fwoscc%2Ffull-record%2FWOS:000800745100010","View Full Record in Web of Science")</f>
        <v>View Full Record in Web of Science</v>
      </c>
    </row>
    <row r="156" spans="1:72" x14ac:dyDescent="0.25">
      <c r="A156" t="s">
        <v>72</v>
      </c>
      <c r="B156" t="s">
        <v>3219</v>
      </c>
      <c r="C156" t="s">
        <v>74</v>
      </c>
      <c r="D156" t="s">
        <v>74</v>
      </c>
      <c r="E156" t="s">
        <v>74</v>
      </c>
      <c r="F156" t="s">
        <v>3220</v>
      </c>
      <c r="G156" t="s">
        <v>74</v>
      </c>
      <c r="H156" t="s">
        <v>74</v>
      </c>
      <c r="I156" t="s">
        <v>3221</v>
      </c>
      <c r="J156" t="s">
        <v>3222</v>
      </c>
      <c r="K156" t="s">
        <v>74</v>
      </c>
      <c r="L156" t="s">
        <v>74</v>
      </c>
      <c r="M156" t="s">
        <v>78</v>
      </c>
      <c r="N156" t="s">
        <v>79</v>
      </c>
      <c r="O156" t="s">
        <v>74</v>
      </c>
      <c r="P156" t="s">
        <v>74</v>
      </c>
      <c r="Q156" t="s">
        <v>74</v>
      </c>
      <c r="R156" t="s">
        <v>74</v>
      </c>
      <c r="S156" t="s">
        <v>74</v>
      </c>
      <c r="T156" t="s">
        <v>3223</v>
      </c>
      <c r="U156" t="s">
        <v>74</v>
      </c>
      <c r="V156" t="s">
        <v>3224</v>
      </c>
      <c r="W156" t="s">
        <v>3225</v>
      </c>
      <c r="X156" t="s">
        <v>84</v>
      </c>
      <c r="Y156" t="s">
        <v>3226</v>
      </c>
      <c r="Z156" t="s">
        <v>3227</v>
      </c>
      <c r="AA156" t="s">
        <v>74</v>
      </c>
      <c r="AB156" t="s">
        <v>74</v>
      </c>
      <c r="AC156" t="s">
        <v>74</v>
      </c>
      <c r="AD156" t="s">
        <v>74</v>
      </c>
      <c r="AE156" t="s">
        <v>74</v>
      </c>
      <c r="AF156" t="s">
        <v>74</v>
      </c>
      <c r="AG156">
        <v>42</v>
      </c>
      <c r="AH156">
        <v>0</v>
      </c>
      <c r="AI156">
        <v>0</v>
      </c>
      <c r="AJ156">
        <v>0</v>
      </c>
      <c r="AK156">
        <v>0</v>
      </c>
      <c r="AL156" t="s">
        <v>3228</v>
      </c>
      <c r="AM156" t="s">
        <v>654</v>
      </c>
      <c r="AN156" t="s">
        <v>3229</v>
      </c>
      <c r="AO156" t="s">
        <v>3230</v>
      </c>
      <c r="AP156" t="s">
        <v>74</v>
      </c>
      <c r="AQ156" t="s">
        <v>74</v>
      </c>
      <c r="AR156" t="s">
        <v>3231</v>
      </c>
      <c r="AS156" t="s">
        <v>3232</v>
      </c>
      <c r="AT156" t="s">
        <v>74</v>
      </c>
      <c r="AU156">
        <v>2022</v>
      </c>
      <c r="AV156" t="s">
        <v>74</v>
      </c>
      <c r="AW156">
        <v>176</v>
      </c>
      <c r="AX156" t="s">
        <v>74</v>
      </c>
      <c r="AY156" t="s">
        <v>74</v>
      </c>
      <c r="AZ156" t="s">
        <v>74</v>
      </c>
      <c r="BA156" t="s">
        <v>74</v>
      </c>
      <c r="BB156">
        <v>151</v>
      </c>
      <c r="BC156">
        <v>168</v>
      </c>
      <c r="BD156" t="s">
        <v>74</v>
      </c>
      <c r="BE156" t="s">
        <v>74</v>
      </c>
      <c r="BF156" t="s">
        <v>74</v>
      </c>
      <c r="BG156" t="s">
        <v>74</v>
      </c>
      <c r="BH156" t="s">
        <v>74</v>
      </c>
      <c r="BI156">
        <v>18</v>
      </c>
      <c r="BJ156" t="s">
        <v>1420</v>
      </c>
      <c r="BK156" t="s">
        <v>180</v>
      </c>
      <c r="BL156" t="s">
        <v>1421</v>
      </c>
      <c r="BM156" t="s">
        <v>3233</v>
      </c>
      <c r="BN156" t="s">
        <v>74</v>
      </c>
      <c r="BO156" t="s">
        <v>74</v>
      </c>
      <c r="BP156" t="s">
        <v>74</v>
      </c>
      <c r="BQ156" t="s">
        <v>74</v>
      </c>
      <c r="BR156" t="s">
        <v>104</v>
      </c>
      <c r="BS156" t="s">
        <v>3234</v>
      </c>
      <c r="BT156" t="str">
        <f>HYPERLINK("https%3A%2F%2Fwww.webofscience.com%2Fwos%2Fwoscc%2Ffull-record%2FWOS:000880122100011","View Full Record in Web of Science")</f>
        <v>View Full Record in Web of Science</v>
      </c>
    </row>
    <row r="157" spans="1:72" x14ac:dyDescent="0.25">
      <c r="A157" t="s">
        <v>72</v>
      </c>
      <c r="B157" t="s">
        <v>3235</v>
      </c>
      <c r="C157" t="s">
        <v>74</v>
      </c>
      <c r="D157" t="s">
        <v>74</v>
      </c>
      <c r="E157" t="s">
        <v>74</v>
      </c>
      <c r="F157" t="s">
        <v>3236</v>
      </c>
      <c r="G157" t="s">
        <v>74</v>
      </c>
      <c r="H157" t="s">
        <v>74</v>
      </c>
      <c r="I157" t="s">
        <v>3237</v>
      </c>
      <c r="J157" t="s">
        <v>3238</v>
      </c>
      <c r="K157" t="s">
        <v>74</v>
      </c>
      <c r="L157" t="s">
        <v>74</v>
      </c>
      <c r="M157" t="s">
        <v>78</v>
      </c>
      <c r="N157" t="s">
        <v>79</v>
      </c>
      <c r="O157" t="s">
        <v>74</v>
      </c>
      <c r="P157" t="s">
        <v>74</v>
      </c>
      <c r="Q157" t="s">
        <v>74</v>
      </c>
      <c r="R157" t="s">
        <v>74</v>
      </c>
      <c r="S157" t="s">
        <v>74</v>
      </c>
      <c r="T157" t="s">
        <v>3239</v>
      </c>
      <c r="U157" t="s">
        <v>74</v>
      </c>
      <c r="V157" t="s">
        <v>74</v>
      </c>
      <c r="W157" t="s">
        <v>3240</v>
      </c>
      <c r="X157" t="s">
        <v>3241</v>
      </c>
      <c r="Y157" t="s">
        <v>3242</v>
      </c>
      <c r="Z157" t="s">
        <v>3243</v>
      </c>
      <c r="AA157" t="s">
        <v>74</v>
      </c>
      <c r="AB157" t="s">
        <v>3244</v>
      </c>
      <c r="AC157" t="s">
        <v>74</v>
      </c>
      <c r="AD157" t="s">
        <v>74</v>
      </c>
      <c r="AE157" t="s">
        <v>74</v>
      </c>
      <c r="AF157" t="s">
        <v>74</v>
      </c>
      <c r="AG157">
        <v>31</v>
      </c>
      <c r="AH157">
        <v>1</v>
      </c>
      <c r="AI157">
        <v>1</v>
      </c>
      <c r="AJ157">
        <v>3</v>
      </c>
      <c r="AK157">
        <v>3</v>
      </c>
      <c r="AL157" t="s">
        <v>798</v>
      </c>
      <c r="AM157" t="s">
        <v>799</v>
      </c>
      <c r="AN157" t="s">
        <v>800</v>
      </c>
      <c r="AO157" t="s">
        <v>3245</v>
      </c>
      <c r="AP157" t="s">
        <v>3246</v>
      </c>
      <c r="AQ157" t="s">
        <v>74</v>
      </c>
      <c r="AR157" t="s">
        <v>3238</v>
      </c>
      <c r="AS157" t="s">
        <v>1440</v>
      </c>
      <c r="AT157" t="s">
        <v>416</v>
      </c>
      <c r="AU157">
        <v>2022</v>
      </c>
      <c r="AV157">
        <v>103</v>
      </c>
      <c r="AW157">
        <v>9</v>
      </c>
      <c r="AX157" t="s">
        <v>74</v>
      </c>
      <c r="AY157" t="s">
        <v>74</v>
      </c>
      <c r="AZ157" t="s">
        <v>74</v>
      </c>
      <c r="BA157" t="s">
        <v>74</v>
      </c>
      <c r="BB157" t="s">
        <v>74</v>
      </c>
      <c r="BC157" t="s">
        <v>74</v>
      </c>
      <c r="BD157" t="s">
        <v>3247</v>
      </c>
      <c r="BE157" t="s">
        <v>3248</v>
      </c>
      <c r="BF157" t="str">
        <f>HYPERLINK("http://dx.doi.org/10.1002/ecy.3778","http://dx.doi.org/10.1002/ecy.3778")</f>
        <v>http://dx.doi.org/10.1002/ecy.3778</v>
      </c>
      <c r="BG157" t="s">
        <v>74</v>
      </c>
      <c r="BH157" t="s">
        <v>440</v>
      </c>
      <c r="BI157">
        <v>5</v>
      </c>
      <c r="BJ157" t="s">
        <v>1440</v>
      </c>
      <c r="BK157" t="s">
        <v>101</v>
      </c>
      <c r="BL157" t="s">
        <v>1441</v>
      </c>
      <c r="BM157" t="s">
        <v>3249</v>
      </c>
      <c r="BN157">
        <v>35657118</v>
      </c>
      <c r="BO157" t="s">
        <v>74</v>
      </c>
      <c r="BP157" t="s">
        <v>74</v>
      </c>
      <c r="BQ157" t="s">
        <v>74</v>
      </c>
      <c r="BR157" t="s">
        <v>104</v>
      </c>
      <c r="BS157" t="s">
        <v>3250</v>
      </c>
      <c r="BT157" t="str">
        <f>HYPERLINK("https%3A%2F%2Fwww.webofscience.com%2Fwos%2Fwoscc%2Ffull-record%2FWOS:000828486500001","View Full Record in Web of Science")</f>
        <v>View Full Record in Web of Science</v>
      </c>
    </row>
    <row r="158" spans="1:72" x14ac:dyDescent="0.25">
      <c r="A158" t="s">
        <v>72</v>
      </c>
      <c r="B158" t="s">
        <v>3251</v>
      </c>
      <c r="C158" t="s">
        <v>74</v>
      </c>
      <c r="D158" t="s">
        <v>74</v>
      </c>
      <c r="E158" t="s">
        <v>74</v>
      </c>
      <c r="F158" t="s">
        <v>3252</v>
      </c>
      <c r="G158" t="s">
        <v>74</v>
      </c>
      <c r="H158" t="s">
        <v>74</v>
      </c>
      <c r="I158" t="s">
        <v>3253</v>
      </c>
      <c r="J158" t="s">
        <v>3254</v>
      </c>
      <c r="K158" t="s">
        <v>74</v>
      </c>
      <c r="L158" t="s">
        <v>74</v>
      </c>
      <c r="M158" t="s">
        <v>78</v>
      </c>
      <c r="N158" t="s">
        <v>52</v>
      </c>
      <c r="O158" t="s">
        <v>3255</v>
      </c>
      <c r="P158" t="s">
        <v>3256</v>
      </c>
      <c r="Q158" t="s">
        <v>3257</v>
      </c>
      <c r="R158" t="s">
        <v>74</v>
      </c>
      <c r="S158" t="s">
        <v>74</v>
      </c>
      <c r="T158" t="s">
        <v>74</v>
      </c>
      <c r="U158" t="s">
        <v>74</v>
      </c>
      <c r="V158" t="s">
        <v>74</v>
      </c>
      <c r="W158" t="s">
        <v>3258</v>
      </c>
      <c r="X158" t="s">
        <v>84</v>
      </c>
      <c r="Y158" t="s">
        <v>74</v>
      </c>
      <c r="Z158" t="s">
        <v>74</v>
      </c>
      <c r="AA158" t="s">
        <v>74</v>
      </c>
      <c r="AB158" t="s">
        <v>74</v>
      </c>
      <c r="AC158" t="s">
        <v>74</v>
      </c>
      <c r="AD158" t="s">
        <v>74</v>
      </c>
      <c r="AE158" t="s">
        <v>74</v>
      </c>
      <c r="AF158" t="s">
        <v>74</v>
      </c>
      <c r="AG158">
        <v>0</v>
      </c>
      <c r="AH158">
        <v>0</v>
      </c>
      <c r="AI158">
        <v>0</v>
      </c>
      <c r="AJ158">
        <v>0</v>
      </c>
      <c r="AK158">
        <v>0</v>
      </c>
      <c r="AL158" t="s">
        <v>3259</v>
      </c>
      <c r="AM158" t="s">
        <v>460</v>
      </c>
      <c r="AN158" t="s">
        <v>3260</v>
      </c>
      <c r="AO158" t="s">
        <v>3261</v>
      </c>
      <c r="AP158" t="s">
        <v>3262</v>
      </c>
      <c r="AQ158" t="s">
        <v>74</v>
      </c>
      <c r="AR158" t="s">
        <v>3263</v>
      </c>
      <c r="AS158" t="s">
        <v>3264</v>
      </c>
      <c r="AT158" t="s">
        <v>256</v>
      </c>
      <c r="AU158">
        <v>2022</v>
      </c>
      <c r="AV158">
        <v>30</v>
      </c>
      <c r="AW158" t="s">
        <v>3265</v>
      </c>
      <c r="AX158" t="s">
        <v>74</v>
      </c>
      <c r="AY158">
        <v>1</v>
      </c>
      <c r="AZ158" t="s">
        <v>74</v>
      </c>
      <c r="BA158" t="s">
        <v>3266</v>
      </c>
      <c r="BB158">
        <v>106</v>
      </c>
      <c r="BC158">
        <v>106</v>
      </c>
      <c r="BD158" t="s">
        <v>74</v>
      </c>
      <c r="BE158" t="s">
        <v>74</v>
      </c>
      <c r="BF158" t="s">
        <v>74</v>
      </c>
      <c r="BG158" t="s">
        <v>74</v>
      </c>
      <c r="BH158" t="s">
        <v>74</v>
      </c>
      <c r="BI158">
        <v>1</v>
      </c>
      <c r="BJ158" t="s">
        <v>3267</v>
      </c>
      <c r="BK158" t="s">
        <v>3268</v>
      </c>
      <c r="BL158" t="s">
        <v>3267</v>
      </c>
      <c r="BM158" t="s">
        <v>3269</v>
      </c>
      <c r="BN158" t="s">
        <v>74</v>
      </c>
      <c r="BO158" t="s">
        <v>74</v>
      </c>
      <c r="BP158" t="s">
        <v>74</v>
      </c>
      <c r="BQ158" t="s">
        <v>74</v>
      </c>
      <c r="BR158" t="s">
        <v>104</v>
      </c>
      <c r="BS158" t="s">
        <v>3270</v>
      </c>
      <c r="BT158" t="str">
        <f>HYPERLINK("https%3A%2F%2Fwww.webofscience.com%2Fwos%2Fwoscc%2Ffull-record%2FWOS:000779367700273","View Full Record in Web of Science")</f>
        <v>View Full Record in Web of Science</v>
      </c>
    </row>
    <row r="159" spans="1:72" x14ac:dyDescent="0.25">
      <c r="A159" t="s">
        <v>72</v>
      </c>
      <c r="B159" t="s">
        <v>3271</v>
      </c>
      <c r="C159" t="s">
        <v>74</v>
      </c>
      <c r="D159" t="s">
        <v>74</v>
      </c>
      <c r="E159" t="s">
        <v>74</v>
      </c>
      <c r="F159" t="s">
        <v>3272</v>
      </c>
      <c r="G159" t="s">
        <v>74</v>
      </c>
      <c r="H159" t="s">
        <v>74</v>
      </c>
      <c r="I159" t="s">
        <v>3273</v>
      </c>
      <c r="J159" t="s">
        <v>1386</v>
      </c>
      <c r="K159" t="s">
        <v>74</v>
      </c>
      <c r="L159" t="s">
        <v>74</v>
      </c>
      <c r="M159" t="s">
        <v>78</v>
      </c>
      <c r="N159" t="s">
        <v>79</v>
      </c>
      <c r="O159" t="s">
        <v>74</v>
      </c>
      <c r="P159" t="s">
        <v>74</v>
      </c>
      <c r="Q159" t="s">
        <v>74</v>
      </c>
      <c r="R159" t="s">
        <v>74</v>
      </c>
      <c r="S159" t="s">
        <v>74</v>
      </c>
      <c r="T159" t="s">
        <v>74</v>
      </c>
      <c r="U159" t="s">
        <v>74</v>
      </c>
      <c r="V159" t="s">
        <v>74</v>
      </c>
      <c r="W159" t="s">
        <v>3274</v>
      </c>
      <c r="X159" t="s">
        <v>84</v>
      </c>
      <c r="Y159" t="s">
        <v>3275</v>
      </c>
      <c r="Z159" t="s">
        <v>74</v>
      </c>
      <c r="AA159" t="s">
        <v>74</v>
      </c>
      <c r="AB159" t="s">
        <v>74</v>
      </c>
      <c r="AC159" t="s">
        <v>74</v>
      </c>
      <c r="AD159" t="s">
        <v>74</v>
      </c>
      <c r="AE159" t="s">
        <v>74</v>
      </c>
      <c r="AF159" t="s">
        <v>74</v>
      </c>
      <c r="AG159">
        <v>18</v>
      </c>
      <c r="AH159">
        <v>0</v>
      </c>
      <c r="AI159">
        <v>0</v>
      </c>
      <c r="AJ159">
        <v>0</v>
      </c>
      <c r="AK159">
        <v>0</v>
      </c>
      <c r="AL159" t="s">
        <v>1391</v>
      </c>
      <c r="AM159" t="s">
        <v>1392</v>
      </c>
      <c r="AN159" t="s">
        <v>1393</v>
      </c>
      <c r="AO159" t="s">
        <v>1394</v>
      </c>
      <c r="AP159" t="s">
        <v>1395</v>
      </c>
      <c r="AQ159" t="s">
        <v>74</v>
      </c>
      <c r="AR159" t="s">
        <v>1396</v>
      </c>
      <c r="AS159" t="s">
        <v>1397</v>
      </c>
      <c r="AT159" t="s">
        <v>1398</v>
      </c>
      <c r="AU159">
        <v>2022</v>
      </c>
      <c r="AV159">
        <v>8</v>
      </c>
      <c r="AW159">
        <v>31</v>
      </c>
      <c r="AX159" t="s">
        <v>74</v>
      </c>
      <c r="AY159" t="s">
        <v>74</v>
      </c>
      <c r="AZ159" t="s">
        <v>74</v>
      </c>
      <c r="BA159" t="s">
        <v>74</v>
      </c>
      <c r="BB159">
        <v>163</v>
      </c>
      <c r="BC159">
        <v>174</v>
      </c>
      <c r="BD159" t="s">
        <v>74</v>
      </c>
      <c r="BE159" t="s">
        <v>3276</v>
      </c>
      <c r="BF159" t="str">
        <f>HYPERLINK("http://dx.doi.org/10.19053/01235095.v8.n31.2022.15298","http://dx.doi.org/10.19053/01235095.v8.n31.2022.15298")</f>
        <v>http://dx.doi.org/10.19053/01235095.v8.n31.2022.15298</v>
      </c>
      <c r="BG159" t="s">
        <v>74</v>
      </c>
      <c r="BH159" t="s">
        <v>74</v>
      </c>
      <c r="BI159">
        <v>12</v>
      </c>
      <c r="BJ159" t="s">
        <v>1400</v>
      </c>
      <c r="BK159" t="s">
        <v>180</v>
      </c>
      <c r="BL159" t="s">
        <v>1400</v>
      </c>
      <c r="BM159" t="s">
        <v>1401</v>
      </c>
      <c r="BN159" t="s">
        <v>74</v>
      </c>
      <c r="BO159" t="s">
        <v>74</v>
      </c>
      <c r="BP159" t="s">
        <v>74</v>
      </c>
      <c r="BQ159" t="s">
        <v>74</v>
      </c>
      <c r="BR159" t="s">
        <v>104</v>
      </c>
      <c r="BS159" t="s">
        <v>3277</v>
      </c>
      <c r="BT159" t="str">
        <f>HYPERLINK("https%3A%2F%2Fwww.webofscience.com%2Fwos%2Fwoscc%2Ffull-record%2FWOS:000905329300002","View Full Record in Web of Science")</f>
        <v>View Full Record in Web of Science</v>
      </c>
    </row>
    <row r="160" spans="1:72" x14ac:dyDescent="0.25">
      <c r="A160" t="s">
        <v>72</v>
      </c>
      <c r="B160" t="s">
        <v>3278</v>
      </c>
      <c r="C160" t="s">
        <v>74</v>
      </c>
      <c r="D160" t="s">
        <v>74</v>
      </c>
      <c r="E160" t="s">
        <v>74</v>
      </c>
      <c r="F160" t="s">
        <v>3279</v>
      </c>
      <c r="G160" t="s">
        <v>74</v>
      </c>
      <c r="H160" t="s">
        <v>74</v>
      </c>
      <c r="I160" t="s">
        <v>3280</v>
      </c>
      <c r="J160" t="s">
        <v>3281</v>
      </c>
      <c r="K160" t="s">
        <v>74</v>
      </c>
      <c r="L160" t="s">
        <v>74</v>
      </c>
      <c r="M160" t="s">
        <v>78</v>
      </c>
      <c r="N160" t="s">
        <v>1501</v>
      </c>
      <c r="O160" t="s">
        <v>74</v>
      </c>
      <c r="P160" t="s">
        <v>74</v>
      </c>
      <c r="Q160" t="s">
        <v>74</v>
      </c>
      <c r="R160" t="s">
        <v>74</v>
      </c>
      <c r="S160" t="s">
        <v>74</v>
      </c>
      <c r="T160" t="s">
        <v>3282</v>
      </c>
      <c r="U160" t="s">
        <v>3283</v>
      </c>
      <c r="V160" t="s">
        <v>74</v>
      </c>
      <c r="W160" t="s">
        <v>3284</v>
      </c>
      <c r="X160" t="s">
        <v>3285</v>
      </c>
      <c r="Y160" t="s">
        <v>3286</v>
      </c>
      <c r="Z160" t="s">
        <v>3287</v>
      </c>
      <c r="AA160" t="s">
        <v>74</v>
      </c>
      <c r="AB160" t="s">
        <v>3288</v>
      </c>
      <c r="AC160" t="s">
        <v>74</v>
      </c>
      <c r="AD160" t="s">
        <v>74</v>
      </c>
      <c r="AE160" t="s">
        <v>74</v>
      </c>
      <c r="AF160" t="s">
        <v>74</v>
      </c>
      <c r="AG160">
        <v>14</v>
      </c>
      <c r="AH160">
        <v>0</v>
      </c>
      <c r="AI160">
        <v>0</v>
      </c>
      <c r="AJ160">
        <v>0</v>
      </c>
      <c r="AK160">
        <v>1</v>
      </c>
      <c r="AL160" t="s">
        <v>251</v>
      </c>
      <c r="AM160" t="s">
        <v>252</v>
      </c>
      <c r="AN160" t="s">
        <v>253</v>
      </c>
      <c r="AO160" t="s">
        <v>3289</v>
      </c>
      <c r="AP160" t="s">
        <v>3290</v>
      </c>
      <c r="AQ160" t="s">
        <v>74</v>
      </c>
      <c r="AR160" t="s">
        <v>3291</v>
      </c>
      <c r="AS160" t="s">
        <v>3292</v>
      </c>
      <c r="AT160" t="s">
        <v>231</v>
      </c>
      <c r="AU160">
        <v>2022</v>
      </c>
      <c r="AV160">
        <v>214</v>
      </c>
      <c r="AW160" t="s">
        <v>74</v>
      </c>
      <c r="AX160" t="s">
        <v>74</v>
      </c>
      <c r="AY160" t="s">
        <v>74</v>
      </c>
      <c r="AZ160" t="s">
        <v>74</v>
      </c>
      <c r="BA160" t="s">
        <v>74</v>
      </c>
      <c r="BB160" t="s">
        <v>74</v>
      </c>
      <c r="BC160" t="s">
        <v>74</v>
      </c>
      <c r="BD160">
        <v>103793</v>
      </c>
      <c r="BE160" t="s">
        <v>3293</v>
      </c>
      <c r="BF160" t="str">
        <f>HYPERLINK("http://dx.doi.org/10.1016/j.gloplacha.2022.103793","http://dx.doi.org/10.1016/j.gloplacha.2022.103793")</f>
        <v>http://dx.doi.org/10.1016/j.gloplacha.2022.103793</v>
      </c>
      <c r="BG160" t="s">
        <v>74</v>
      </c>
      <c r="BH160" t="s">
        <v>1225</v>
      </c>
      <c r="BI160">
        <v>3</v>
      </c>
      <c r="BJ160" t="s">
        <v>3294</v>
      </c>
      <c r="BK160" t="s">
        <v>101</v>
      </c>
      <c r="BL160" t="s">
        <v>3295</v>
      </c>
      <c r="BM160" t="s">
        <v>3296</v>
      </c>
      <c r="BN160" t="s">
        <v>74</v>
      </c>
      <c r="BO160" t="s">
        <v>74</v>
      </c>
      <c r="BP160" t="s">
        <v>74</v>
      </c>
      <c r="BQ160" t="s">
        <v>74</v>
      </c>
      <c r="BR160" t="s">
        <v>104</v>
      </c>
      <c r="BS160" t="s">
        <v>3297</v>
      </c>
      <c r="BT160" t="str">
        <f>HYPERLINK("https%3A%2F%2Fwww.webofscience.com%2Fwos%2Fwoscc%2Ffull-record%2FWOS:000806593600004","View Full Record in Web of Science")</f>
        <v>View Full Record in Web of Science</v>
      </c>
    </row>
    <row r="161" spans="1:72" x14ac:dyDescent="0.25">
      <c r="A161" t="s">
        <v>72</v>
      </c>
      <c r="B161" t="s">
        <v>3298</v>
      </c>
      <c r="C161" t="s">
        <v>74</v>
      </c>
      <c r="D161" t="s">
        <v>74</v>
      </c>
      <c r="E161" t="s">
        <v>74</v>
      </c>
      <c r="F161" t="s">
        <v>3299</v>
      </c>
      <c r="G161" t="s">
        <v>74</v>
      </c>
      <c r="H161" t="s">
        <v>74</v>
      </c>
      <c r="I161" t="s">
        <v>3300</v>
      </c>
      <c r="J161" t="s">
        <v>3301</v>
      </c>
      <c r="K161" t="s">
        <v>74</v>
      </c>
      <c r="L161" t="s">
        <v>74</v>
      </c>
      <c r="M161" t="s">
        <v>78</v>
      </c>
      <c r="N161" t="s">
        <v>79</v>
      </c>
      <c r="O161" t="s">
        <v>74</v>
      </c>
      <c r="P161" t="s">
        <v>74</v>
      </c>
      <c r="Q161" t="s">
        <v>74</v>
      </c>
      <c r="R161" t="s">
        <v>74</v>
      </c>
      <c r="S161" t="s">
        <v>74</v>
      </c>
      <c r="T161" t="s">
        <v>3302</v>
      </c>
      <c r="U161" t="s">
        <v>3303</v>
      </c>
      <c r="V161" t="s">
        <v>3304</v>
      </c>
      <c r="W161" t="s">
        <v>3305</v>
      </c>
      <c r="X161" t="s">
        <v>3306</v>
      </c>
      <c r="Y161" t="s">
        <v>3307</v>
      </c>
      <c r="Z161" t="s">
        <v>3308</v>
      </c>
      <c r="AA161" t="s">
        <v>3309</v>
      </c>
      <c r="AB161" t="s">
        <v>3310</v>
      </c>
      <c r="AC161" t="s">
        <v>3311</v>
      </c>
      <c r="AD161" t="s">
        <v>3312</v>
      </c>
      <c r="AE161" t="s">
        <v>3313</v>
      </c>
      <c r="AF161" t="s">
        <v>74</v>
      </c>
      <c r="AG161">
        <v>54</v>
      </c>
      <c r="AH161">
        <v>1</v>
      </c>
      <c r="AI161">
        <v>1</v>
      </c>
      <c r="AJ161">
        <v>4</v>
      </c>
      <c r="AK161">
        <v>6</v>
      </c>
      <c r="AL161" t="s">
        <v>92</v>
      </c>
      <c r="AM161" t="s">
        <v>93</v>
      </c>
      <c r="AN161" t="s">
        <v>94</v>
      </c>
      <c r="AO161" t="s">
        <v>74</v>
      </c>
      <c r="AP161" t="s">
        <v>3314</v>
      </c>
      <c r="AQ161" t="s">
        <v>74</v>
      </c>
      <c r="AR161" t="s">
        <v>3315</v>
      </c>
      <c r="AS161" t="s">
        <v>733</v>
      </c>
      <c r="AT161" t="s">
        <v>124</v>
      </c>
      <c r="AU161">
        <v>2022</v>
      </c>
      <c r="AV161">
        <v>10</v>
      </c>
      <c r="AW161">
        <v>12</v>
      </c>
      <c r="AX161" t="s">
        <v>74</v>
      </c>
      <c r="AY161" t="s">
        <v>74</v>
      </c>
      <c r="AZ161" t="s">
        <v>74</v>
      </c>
      <c r="BA161" t="s">
        <v>74</v>
      </c>
      <c r="BB161" t="s">
        <v>74</v>
      </c>
      <c r="BC161" t="s">
        <v>74</v>
      </c>
      <c r="BD161">
        <v>2100</v>
      </c>
      <c r="BE161" t="s">
        <v>3316</v>
      </c>
      <c r="BF161" t="str">
        <f>HYPERLINK("http://dx.doi.org/10.3390/math10122100","http://dx.doi.org/10.3390/math10122100")</f>
        <v>http://dx.doi.org/10.3390/math10122100</v>
      </c>
      <c r="BG161" t="s">
        <v>74</v>
      </c>
      <c r="BH161" t="s">
        <v>74</v>
      </c>
      <c r="BI161">
        <v>13</v>
      </c>
      <c r="BJ161" t="s">
        <v>733</v>
      </c>
      <c r="BK161" t="s">
        <v>101</v>
      </c>
      <c r="BL161" t="s">
        <v>733</v>
      </c>
      <c r="BM161" t="s">
        <v>3317</v>
      </c>
      <c r="BN161" t="s">
        <v>74</v>
      </c>
      <c r="BO161" t="s">
        <v>183</v>
      </c>
      <c r="BP161" t="s">
        <v>74</v>
      </c>
      <c r="BQ161" t="s">
        <v>74</v>
      </c>
      <c r="BR161" t="s">
        <v>104</v>
      </c>
      <c r="BS161" t="s">
        <v>3318</v>
      </c>
      <c r="BT161" t="str">
        <f>HYPERLINK("https%3A%2F%2Fwww.webofscience.com%2Fwos%2Fwoscc%2Ffull-record%2FWOS:000818128200001","View Full Record in Web of Science")</f>
        <v>View Full Record in Web of Science</v>
      </c>
    </row>
    <row r="162" spans="1:72" x14ac:dyDescent="0.25">
      <c r="A162" t="s">
        <v>72</v>
      </c>
      <c r="B162" t="s">
        <v>3319</v>
      </c>
      <c r="C162" t="s">
        <v>74</v>
      </c>
      <c r="D162" t="s">
        <v>74</v>
      </c>
      <c r="E162" t="s">
        <v>74</v>
      </c>
      <c r="F162" t="s">
        <v>3320</v>
      </c>
      <c r="G162" t="s">
        <v>74</v>
      </c>
      <c r="H162" t="s">
        <v>74</v>
      </c>
      <c r="I162" t="s">
        <v>3321</v>
      </c>
      <c r="J162" t="s">
        <v>3322</v>
      </c>
      <c r="K162" t="s">
        <v>74</v>
      </c>
      <c r="L162" t="s">
        <v>74</v>
      </c>
      <c r="M162" t="s">
        <v>78</v>
      </c>
      <c r="N162" t="s">
        <v>135</v>
      </c>
      <c r="O162" t="s">
        <v>74</v>
      </c>
      <c r="P162" t="s">
        <v>74</v>
      </c>
      <c r="Q162" t="s">
        <v>74</v>
      </c>
      <c r="R162" t="s">
        <v>74</v>
      </c>
      <c r="S162" t="s">
        <v>74</v>
      </c>
      <c r="T162" t="s">
        <v>3323</v>
      </c>
      <c r="U162" t="s">
        <v>74</v>
      </c>
      <c r="V162" t="s">
        <v>3324</v>
      </c>
      <c r="W162" t="s">
        <v>3325</v>
      </c>
      <c r="X162" t="s">
        <v>84</v>
      </c>
      <c r="Y162" t="s">
        <v>3326</v>
      </c>
      <c r="Z162" t="s">
        <v>3327</v>
      </c>
      <c r="AA162" t="s">
        <v>74</v>
      </c>
      <c r="AB162" t="s">
        <v>74</v>
      </c>
      <c r="AC162" t="s">
        <v>74</v>
      </c>
      <c r="AD162" t="s">
        <v>74</v>
      </c>
      <c r="AE162" t="s">
        <v>74</v>
      </c>
      <c r="AF162" t="s">
        <v>74</v>
      </c>
      <c r="AG162">
        <v>14</v>
      </c>
      <c r="AH162">
        <v>0</v>
      </c>
      <c r="AI162">
        <v>0</v>
      </c>
      <c r="AJ162">
        <v>0</v>
      </c>
      <c r="AK162">
        <v>0</v>
      </c>
      <c r="AL162" t="s">
        <v>3328</v>
      </c>
      <c r="AM162" t="s">
        <v>3329</v>
      </c>
      <c r="AN162" t="s">
        <v>3330</v>
      </c>
      <c r="AO162" t="s">
        <v>3331</v>
      </c>
      <c r="AP162" t="s">
        <v>3332</v>
      </c>
      <c r="AQ162" t="s">
        <v>74</v>
      </c>
      <c r="AR162" t="s">
        <v>3333</v>
      </c>
      <c r="AS162" t="s">
        <v>3334</v>
      </c>
      <c r="AT162" t="s">
        <v>74</v>
      </c>
      <c r="AU162" t="s">
        <v>74</v>
      </c>
      <c r="AV162" t="s">
        <v>74</v>
      </c>
      <c r="AW162" t="s">
        <v>74</v>
      </c>
      <c r="AX162" t="s">
        <v>74</v>
      </c>
      <c r="AY162" t="s">
        <v>74</v>
      </c>
      <c r="AZ162" t="s">
        <v>74</v>
      </c>
      <c r="BA162" t="s">
        <v>74</v>
      </c>
      <c r="BB162" t="s">
        <v>74</v>
      </c>
      <c r="BC162" t="s">
        <v>74</v>
      </c>
      <c r="BD162" t="s">
        <v>74</v>
      </c>
      <c r="BE162" t="s">
        <v>3335</v>
      </c>
      <c r="BF162" t="str">
        <f>HYPERLINK("http://dx.doi.org/10.21577/0100-4042.20170940","http://dx.doi.org/10.21577/0100-4042.20170940")</f>
        <v>http://dx.doi.org/10.21577/0100-4042.20170940</v>
      </c>
      <c r="BG162" t="s">
        <v>74</v>
      </c>
      <c r="BH162" t="s">
        <v>807</v>
      </c>
      <c r="BI162">
        <v>7</v>
      </c>
      <c r="BJ162" t="s">
        <v>205</v>
      </c>
      <c r="BK162" t="s">
        <v>101</v>
      </c>
      <c r="BL162" t="s">
        <v>206</v>
      </c>
      <c r="BM162" t="s">
        <v>3336</v>
      </c>
      <c r="BN162" t="s">
        <v>74</v>
      </c>
      <c r="BO162" t="s">
        <v>183</v>
      </c>
      <c r="BP162" t="s">
        <v>74</v>
      </c>
      <c r="BQ162" t="s">
        <v>74</v>
      </c>
      <c r="BR162" t="s">
        <v>104</v>
      </c>
      <c r="BS162" t="s">
        <v>3337</v>
      </c>
      <c r="BT162" t="str">
        <f>HYPERLINK("https%3A%2F%2Fwww.webofscience.com%2Fwos%2Fwoscc%2Ffull-record%2FWOS:000855204400001","View Full Record in Web of Science")</f>
        <v>View Full Record in Web of Science</v>
      </c>
    </row>
    <row r="163" spans="1:72" x14ac:dyDescent="0.25">
      <c r="A163" t="s">
        <v>72</v>
      </c>
      <c r="B163" t="s">
        <v>3338</v>
      </c>
      <c r="C163" t="s">
        <v>74</v>
      </c>
      <c r="D163" t="s">
        <v>74</v>
      </c>
      <c r="E163" t="s">
        <v>74</v>
      </c>
      <c r="F163" t="s">
        <v>3339</v>
      </c>
      <c r="G163" t="s">
        <v>74</v>
      </c>
      <c r="H163" t="s">
        <v>74</v>
      </c>
      <c r="I163" t="s">
        <v>3340</v>
      </c>
      <c r="J163" t="s">
        <v>3341</v>
      </c>
      <c r="K163" t="s">
        <v>74</v>
      </c>
      <c r="L163" t="s">
        <v>74</v>
      </c>
      <c r="M163" t="s">
        <v>78</v>
      </c>
      <c r="N163" t="s">
        <v>79</v>
      </c>
      <c r="O163" t="s">
        <v>74</v>
      </c>
      <c r="P163" t="s">
        <v>74</v>
      </c>
      <c r="Q163" t="s">
        <v>74</v>
      </c>
      <c r="R163" t="s">
        <v>74</v>
      </c>
      <c r="S163" t="s">
        <v>74</v>
      </c>
      <c r="T163" t="s">
        <v>3342</v>
      </c>
      <c r="U163" t="s">
        <v>3343</v>
      </c>
      <c r="V163" t="s">
        <v>3344</v>
      </c>
      <c r="W163" t="s">
        <v>3345</v>
      </c>
      <c r="X163" t="s">
        <v>3346</v>
      </c>
      <c r="Y163" t="s">
        <v>3347</v>
      </c>
      <c r="Z163" t="s">
        <v>3348</v>
      </c>
      <c r="AA163" t="s">
        <v>3349</v>
      </c>
      <c r="AB163" t="s">
        <v>3350</v>
      </c>
      <c r="AC163" t="s">
        <v>3351</v>
      </c>
      <c r="AD163" t="s">
        <v>3352</v>
      </c>
      <c r="AE163" t="s">
        <v>3353</v>
      </c>
      <c r="AF163" t="s">
        <v>74</v>
      </c>
      <c r="AG163">
        <v>48</v>
      </c>
      <c r="AH163">
        <v>0</v>
      </c>
      <c r="AI163">
        <v>0</v>
      </c>
      <c r="AJ163">
        <v>3</v>
      </c>
      <c r="AK163">
        <v>7</v>
      </c>
      <c r="AL163" t="s">
        <v>3354</v>
      </c>
      <c r="AM163" t="s">
        <v>3355</v>
      </c>
      <c r="AN163" t="s">
        <v>3356</v>
      </c>
      <c r="AO163" t="s">
        <v>3357</v>
      </c>
      <c r="AP163" t="s">
        <v>3358</v>
      </c>
      <c r="AQ163" t="s">
        <v>74</v>
      </c>
      <c r="AR163" t="s">
        <v>3359</v>
      </c>
      <c r="AS163" t="s">
        <v>3360</v>
      </c>
      <c r="AT163" t="s">
        <v>256</v>
      </c>
      <c r="AU163">
        <v>2022</v>
      </c>
      <c r="AV163">
        <v>37</v>
      </c>
      <c r="AW163">
        <v>4</v>
      </c>
      <c r="AX163" t="s">
        <v>74</v>
      </c>
      <c r="AY163" t="s">
        <v>74</v>
      </c>
      <c r="AZ163" t="s">
        <v>74</v>
      </c>
      <c r="BA163" t="s">
        <v>74</v>
      </c>
      <c r="BB163">
        <v>4374</v>
      </c>
      <c r="BC163">
        <v>4384</v>
      </c>
      <c r="BD163" t="s">
        <v>74</v>
      </c>
      <c r="BE163" t="s">
        <v>3361</v>
      </c>
      <c r="BF163" t="str">
        <f>HYPERLINK("http://dx.doi.org/10.1109/TPEL.2021.3122934","http://dx.doi.org/10.1109/TPEL.2021.3122934")</f>
        <v>http://dx.doi.org/10.1109/TPEL.2021.3122934</v>
      </c>
      <c r="BG163" t="s">
        <v>74</v>
      </c>
      <c r="BH163" t="s">
        <v>74</v>
      </c>
      <c r="BI163">
        <v>11</v>
      </c>
      <c r="BJ163" t="s">
        <v>3362</v>
      </c>
      <c r="BK163" t="s">
        <v>101</v>
      </c>
      <c r="BL163" t="s">
        <v>309</v>
      </c>
      <c r="BM163" t="s">
        <v>3363</v>
      </c>
      <c r="BN163" t="s">
        <v>74</v>
      </c>
      <c r="BO163" t="s">
        <v>859</v>
      </c>
      <c r="BP163" t="s">
        <v>74</v>
      </c>
      <c r="BQ163" t="s">
        <v>74</v>
      </c>
      <c r="BR163" t="s">
        <v>104</v>
      </c>
      <c r="BS163" t="s">
        <v>3364</v>
      </c>
      <c r="BT163" t="str">
        <f>HYPERLINK("https%3A%2F%2Fwww.webofscience.com%2Fwos%2Fwoscc%2Ffull-record%2FWOS:000733963100066","View Full Record in Web of Science")</f>
        <v>View Full Record in Web of Science</v>
      </c>
    </row>
    <row r="164" spans="1:72" x14ac:dyDescent="0.25">
      <c r="A164" t="s">
        <v>72</v>
      </c>
      <c r="B164" t="s">
        <v>3365</v>
      </c>
      <c r="C164" t="s">
        <v>74</v>
      </c>
      <c r="D164" t="s">
        <v>74</v>
      </c>
      <c r="E164" t="s">
        <v>74</v>
      </c>
      <c r="F164" t="s">
        <v>3366</v>
      </c>
      <c r="G164" t="s">
        <v>74</v>
      </c>
      <c r="H164" t="s">
        <v>74</v>
      </c>
      <c r="I164" t="s">
        <v>3367</v>
      </c>
      <c r="J164" t="s">
        <v>3368</v>
      </c>
      <c r="K164" t="s">
        <v>74</v>
      </c>
      <c r="L164" t="s">
        <v>74</v>
      </c>
      <c r="M164" t="s">
        <v>78</v>
      </c>
      <c r="N164" t="s">
        <v>79</v>
      </c>
      <c r="O164" t="s">
        <v>74</v>
      </c>
      <c r="P164" t="s">
        <v>74</v>
      </c>
      <c r="Q164" t="s">
        <v>74</v>
      </c>
      <c r="R164" t="s">
        <v>74</v>
      </c>
      <c r="S164" t="s">
        <v>74</v>
      </c>
      <c r="T164" t="s">
        <v>3369</v>
      </c>
      <c r="U164" t="s">
        <v>3370</v>
      </c>
      <c r="V164" t="s">
        <v>3371</v>
      </c>
      <c r="W164" t="s">
        <v>3372</v>
      </c>
      <c r="X164" t="s">
        <v>3373</v>
      </c>
      <c r="Y164" t="s">
        <v>3374</v>
      </c>
      <c r="Z164" t="s">
        <v>3375</v>
      </c>
      <c r="AA164" t="s">
        <v>74</v>
      </c>
      <c r="AB164" t="s">
        <v>74</v>
      </c>
      <c r="AC164" t="s">
        <v>74</v>
      </c>
      <c r="AD164" t="s">
        <v>74</v>
      </c>
      <c r="AE164" t="s">
        <v>74</v>
      </c>
      <c r="AF164" t="s">
        <v>74</v>
      </c>
      <c r="AG164">
        <v>17</v>
      </c>
      <c r="AH164">
        <v>0</v>
      </c>
      <c r="AI164">
        <v>0</v>
      </c>
      <c r="AJ164">
        <v>0</v>
      </c>
      <c r="AK164">
        <v>3</v>
      </c>
      <c r="AL164" t="s">
        <v>3376</v>
      </c>
      <c r="AM164" t="s">
        <v>1355</v>
      </c>
      <c r="AN164" t="s">
        <v>3377</v>
      </c>
      <c r="AO164" t="s">
        <v>3378</v>
      </c>
      <c r="AP164" t="s">
        <v>3379</v>
      </c>
      <c r="AQ164" t="s">
        <v>74</v>
      </c>
      <c r="AR164" t="s">
        <v>3380</v>
      </c>
      <c r="AS164" t="s">
        <v>3381</v>
      </c>
      <c r="AT164" t="s">
        <v>3382</v>
      </c>
      <c r="AU164">
        <v>2022</v>
      </c>
      <c r="AV164">
        <v>22</v>
      </c>
      <c r="AW164">
        <v>1</v>
      </c>
      <c r="AX164" t="s">
        <v>74</v>
      </c>
      <c r="AY164" t="s">
        <v>74</v>
      </c>
      <c r="AZ164" t="s">
        <v>74</v>
      </c>
      <c r="BA164" t="s">
        <v>74</v>
      </c>
      <c r="BB164">
        <v>95</v>
      </c>
      <c r="BC164">
        <v>103</v>
      </c>
      <c r="BD164" t="s">
        <v>74</v>
      </c>
      <c r="BE164" t="s">
        <v>3383</v>
      </c>
      <c r="BF164" t="str">
        <f>HYPERLINK("http://dx.doi.org/10.2478/cait-2022-0006","http://dx.doi.org/10.2478/cait-2022-0006")</f>
        <v>http://dx.doi.org/10.2478/cait-2022-0006</v>
      </c>
      <c r="BG164" t="s">
        <v>74</v>
      </c>
      <c r="BH164" t="s">
        <v>74</v>
      </c>
      <c r="BI164">
        <v>9</v>
      </c>
      <c r="BJ164" t="s">
        <v>3384</v>
      </c>
      <c r="BK164" t="s">
        <v>180</v>
      </c>
      <c r="BL164" t="s">
        <v>934</v>
      </c>
      <c r="BM164" t="s">
        <v>3385</v>
      </c>
      <c r="BN164" t="s">
        <v>74</v>
      </c>
      <c r="BO164" t="s">
        <v>183</v>
      </c>
      <c r="BP164" t="s">
        <v>74</v>
      </c>
      <c r="BQ164" t="s">
        <v>74</v>
      </c>
      <c r="BR164" t="s">
        <v>104</v>
      </c>
      <c r="BS164" t="s">
        <v>3386</v>
      </c>
      <c r="BT164" t="str">
        <f>HYPERLINK("https%3A%2F%2Fwww.webofscience.com%2Fwos%2Fwoscc%2Ffull-record%2FWOS:000780009500006","View Full Record in Web of Science")</f>
        <v>View Full Record in Web of Science</v>
      </c>
    </row>
    <row r="165" spans="1:72" x14ac:dyDescent="0.25">
      <c r="A165" t="s">
        <v>72</v>
      </c>
      <c r="B165" t="s">
        <v>3387</v>
      </c>
      <c r="C165" t="s">
        <v>74</v>
      </c>
      <c r="D165" t="s">
        <v>74</v>
      </c>
      <c r="E165" t="s">
        <v>74</v>
      </c>
      <c r="F165" t="s">
        <v>3388</v>
      </c>
      <c r="G165" t="s">
        <v>74</v>
      </c>
      <c r="H165" t="s">
        <v>74</v>
      </c>
      <c r="I165" t="s">
        <v>3389</v>
      </c>
      <c r="J165" t="s">
        <v>3390</v>
      </c>
      <c r="K165" t="s">
        <v>74</v>
      </c>
      <c r="L165" t="s">
        <v>74</v>
      </c>
      <c r="M165" t="s">
        <v>1234</v>
      </c>
      <c r="N165" t="s">
        <v>135</v>
      </c>
      <c r="O165" t="s">
        <v>74</v>
      </c>
      <c r="P165" t="s">
        <v>74</v>
      </c>
      <c r="Q165" t="s">
        <v>74</v>
      </c>
      <c r="R165" t="s">
        <v>74</v>
      </c>
      <c r="S165" t="s">
        <v>74</v>
      </c>
      <c r="T165" t="s">
        <v>3391</v>
      </c>
      <c r="U165" t="s">
        <v>3392</v>
      </c>
      <c r="V165" t="s">
        <v>3393</v>
      </c>
      <c r="W165" t="s">
        <v>3394</v>
      </c>
      <c r="X165" t="s">
        <v>722</v>
      </c>
      <c r="Y165" t="s">
        <v>3395</v>
      </c>
      <c r="Z165" t="s">
        <v>3396</v>
      </c>
      <c r="AA165" t="s">
        <v>74</v>
      </c>
      <c r="AB165" t="s">
        <v>74</v>
      </c>
      <c r="AC165" t="s">
        <v>74</v>
      </c>
      <c r="AD165" t="s">
        <v>74</v>
      </c>
      <c r="AE165" t="s">
        <v>74</v>
      </c>
      <c r="AF165" t="s">
        <v>74</v>
      </c>
      <c r="AG165">
        <v>120</v>
      </c>
      <c r="AH165">
        <v>0</v>
      </c>
      <c r="AI165">
        <v>0</v>
      </c>
      <c r="AJ165">
        <v>0</v>
      </c>
      <c r="AK165">
        <v>1</v>
      </c>
      <c r="AL165" t="s">
        <v>3397</v>
      </c>
      <c r="AM165" t="s">
        <v>147</v>
      </c>
      <c r="AN165" t="s">
        <v>3398</v>
      </c>
      <c r="AO165" t="s">
        <v>3399</v>
      </c>
      <c r="AP165" t="s">
        <v>3400</v>
      </c>
      <c r="AQ165" t="s">
        <v>74</v>
      </c>
      <c r="AR165" t="s">
        <v>3401</v>
      </c>
      <c r="AS165" t="s">
        <v>3402</v>
      </c>
      <c r="AT165" t="s">
        <v>74</v>
      </c>
      <c r="AU165" t="s">
        <v>74</v>
      </c>
      <c r="AV165" t="s">
        <v>74</v>
      </c>
      <c r="AW165" t="s">
        <v>74</v>
      </c>
      <c r="AX165" t="s">
        <v>74</v>
      </c>
      <c r="AY165" t="s">
        <v>74</v>
      </c>
      <c r="AZ165" t="s">
        <v>74</v>
      </c>
      <c r="BA165" t="s">
        <v>74</v>
      </c>
      <c r="BB165" t="s">
        <v>74</v>
      </c>
      <c r="BC165" t="s">
        <v>74</v>
      </c>
      <c r="BD165" t="s">
        <v>74</v>
      </c>
      <c r="BE165" t="s">
        <v>3403</v>
      </c>
      <c r="BF165" t="str">
        <f>HYPERLINK("http://dx.doi.org/10.1017/laq.2022.41","http://dx.doi.org/10.1017/laq.2022.41")</f>
        <v>http://dx.doi.org/10.1017/laq.2022.41</v>
      </c>
      <c r="BG165" t="s">
        <v>74</v>
      </c>
      <c r="BH165" t="s">
        <v>492</v>
      </c>
      <c r="BI165">
        <v>19</v>
      </c>
      <c r="BJ165" t="s">
        <v>3404</v>
      </c>
      <c r="BK165" t="s">
        <v>3405</v>
      </c>
      <c r="BL165" t="s">
        <v>3404</v>
      </c>
      <c r="BM165" t="s">
        <v>3406</v>
      </c>
      <c r="BN165" t="s">
        <v>74</v>
      </c>
      <c r="BO165" t="s">
        <v>74</v>
      </c>
      <c r="BP165" t="s">
        <v>74</v>
      </c>
      <c r="BQ165" t="s">
        <v>74</v>
      </c>
      <c r="BR165" t="s">
        <v>104</v>
      </c>
      <c r="BS165" t="s">
        <v>3407</v>
      </c>
      <c r="BT165" t="str">
        <f>HYPERLINK("https%3A%2F%2Fwww.webofscience.com%2Fwos%2Fwoscc%2Ffull-record%2FWOS:000803723400001","View Full Record in Web of Science")</f>
        <v>View Full Record in Web of Science</v>
      </c>
    </row>
    <row r="166" spans="1:72" x14ac:dyDescent="0.25">
      <c r="A166" t="s">
        <v>72</v>
      </c>
      <c r="B166" t="s">
        <v>3408</v>
      </c>
      <c r="C166" t="s">
        <v>74</v>
      </c>
      <c r="D166" t="s">
        <v>74</v>
      </c>
      <c r="E166" t="s">
        <v>74</v>
      </c>
      <c r="F166" t="s">
        <v>3409</v>
      </c>
      <c r="G166" t="s">
        <v>74</v>
      </c>
      <c r="H166" t="s">
        <v>74</v>
      </c>
      <c r="I166" t="s">
        <v>3410</v>
      </c>
      <c r="J166" t="s">
        <v>3411</v>
      </c>
      <c r="K166" t="s">
        <v>74</v>
      </c>
      <c r="L166" t="s">
        <v>74</v>
      </c>
      <c r="M166" t="s">
        <v>78</v>
      </c>
      <c r="N166" t="s">
        <v>135</v>
      </c>
      <c r="O166" t="s">
        <v>74</v>
      </c>
      <c r="P166" t="s">
        <v>74</v>
      </c>
      <c r="Q166" t="s">
        <v>74</v>
      </c>
      <c r="R166" t="s">
        <v>74</v>
      </c>
      <c r="S166" t="s">
        <v>74</v>
      </c>
      <c r="T166" t="s">
        <v>3412</v>
      </c>
      <c r="U166" t="s">
        <v>3413</v>
      </c>
      <c r="V166" t="s">
        <v>3414</v>
      </c>
      <c r="W166" t="s">
        <v>3415</v>
      </c>
      <c r="X166" t="s">
        <v>3416</v>
      </c>
      <c r="Y166" t="s">
        <v>3417</v>
      </c>
      <c r="Z166" t="s">
        <v>3418</v>
      </c>
      <c r="AA166" t="s">
        <v>74</v>
      </c>
      <c r="AB166" t="s">
        <v>3419</v>
      </c>
      <c r="AC166" t="s">
        <v>74</v>
      </c>
      <c r="AD166" t="s">
        <v>74</v>
      </c>
      <c r="AE166" t="s">
        <v>74</v>
      </c>
      <c r="AF166" t="s">
        <v>74</v>
      </c>
      <c r="AG166">
        <v>58</v>
      </c>
      <c r="AH166">
        <v>0</v>
      </c>
      <c r="AI166">
        <v>0</v>
      </c>
      <c r="AJ166">
        <v>2</v>
      </c>
      <c r="AK166">
        <v>2</v>
      </c>
      <c r="AL166" t="s">
        <v>613</v>
      </c>
      <c r="AM166" t="s">
        <v>614</v>
      </c>
      <c r="AN166" t="s">
        <v>615</v>
      </c>
      <c r="AO166" t="s">
        <v>3420</v>
      </c>
      <c r="AP166" t="s">
        <v>3421</v>
      </c>
      <c r="AQ166" t="s">
        <v>74</v>
      </c>
      <c r="AR166" t="s">
        <v>3422</v>
      </c>
      <c r="AS166" t="s">
        <v>3423</v>
      </c>
      <c r="AT166" t="s">
        <v>74</v>
      </c>
      <c r="AU166" t="s">
        <v>74</v>
      </c>
      <c r="AV166" t="s">
        <v>74</v>
      </c>
      <c r="AW166" t="s">
        <v>74</v>
      </c>
      <c r="AX166" t="s">
        <v>74</v>
      </c>
      <c r="AY166" t="s">
        <v>74</v>
      </c>
      <c r="AZ166" t="s">
        <v>74</v>
      </c>
      <c r="BA166" t="s">
        <v>74</v>
      </c>
      <c r="BB166" t="s">
        <v>74</v>
      </c>
      <c r="BC166" t="s">
        <v>74</v>
      </c>
      <c r="BD166" t="s">
        <v>74</v>
      </c>
      <c r="BE166" t="s">
        <v>3424</v>
      </c>
      <c r="BF166" t="str">
        <f>HYPERLINK("http://dx.doi.org/10.1080/03043797.2022.2149388","http://dx.doi.org/10.1080/03043797.2022.2149388")</f>
        <v>http://dx.doi.org/10.1080/03043797.2022.2149388</v>
      </c>
      <c r="BG166" t="s">
        <v>74</v>
      </c>
      <c r="BH166" t="s">
        <v>832</v>
      </c>
      <c r="BI166">
        <v>18</v>
      </c>
      <c r="BJ166" t="s">
        <v>1601</v>
      </c>
      <c r="BK166" t="s">
        <v>180</v>
      </c>
      <c r="BL166" t="s">
        <v>1601</v>
      </c>
      <c r="BM166" t="s">
        <v>3425</v>
      </c>
      <c r="BN166" t="s">
        <v>74</v>
      </c>
      <c r="BO166" t="s">
        <v>74</v>
      </c>
      <c r="BP166" t="s">
        <v>74</v>
      </c>
      <c r="BQ166" t="s">
        <v>74</v>
      </c>
      <c r="BR166" t="s">
        <v>104</v>
      </c>
      <c r="BS166" t="s">
        <v>3426</v>
      </c>
      <c r="BT166" t="str">
        <f>HYPERLINK("https%3A%2F%2Fwww.webofscience.com%2Fwos%2Fwoscc%2Ffull-record%2FWOS:000889865400001","View Full Record in Web of Science")</f>
        <v>View Full Record in Web of Science</v>
      </c>
    </row>
    <row r="167" spans="1:72" x14ac:dyDescent="0.25">
      <c r="A167" t="s">
        <v>72</v>
      </c>
      <c r="B167" t="s">
        <v>3427</v>
      </c>
      <c r="C167" t="s">
        <v>74</v>
      </c>
      <c r="D167" t="s">
        <v>74</v>
      </c>
      <c r="E167" t="s">
        <v>74</v>
      </c>
      <c r="F167" t="s">
        <v>3428</v>
      </c>
      <c r="G167" t="s">
        <v>74</v>
      </c>
      <c r="H167" t="s">
        <v>74</v>
      </c>
      <c r="I167" t="s">
        <v>3429</v>
      </c>
      <c r="J167" t="s">
        <v>2563</v>
      </c>
      <c r="K167" t="s">
        <v>74</v>
      </c>
      <c r="L167" t="s">
        <v>74</v>
      </c>
      <c r="M167" t="s">
        <v>78</v>
      </c>
      <c r="N167" t="s">
        <v>79</v>
      </c>
      <c r="O167" t="s">
        <v>74</v>
      </c>
      <c r="P167" t="s">
        <v>74</v>
      </c>
      <c r="Q167" t="s">
        <v>74</v>
      </c>
      <c r="R167" t="s">
        <v>74</v>
      </c>
      <c r="S167" t="s">
        <v>74</v>
      </c>
      <c r="T167" t="s">
        <v>3430</v>
      </c>
      <c r="U167" t="s">
        <v>3431</v>
      </c>
      <c r="V167" t="s">
        <v>3432</v>
      </c>
      <c r="W167" t="s">
        <v>3433</v>
      </c>
      <c r="X167" t="s">
        <v>3434</v>
      </c>
      <c r="Y167" t="s">
        <v>3435</v>
      </c>
      <c r="Z167" t="s">
        <v>3436</v>
      </c>
      <c r="AA167" t="s">
        <v>87</v>
      </c>
      <c r="AB167" t="s">
        <v>3437</v>
      </c>
      <c r="AC167" t="s">
        <v>3438</v>
      </c>
      <c r="AD167" t="s">
        <v>3438</v>
      </c>
      <c r="AE167" t="s">
        <v>3439</v>
      </c>
      <c r="AF167" t="s">
        <v>74</v>
      </c>
      <c r="AG167">
        <v>34</v>
      </c>
      <c r="AH167">
        <v>0</v>
      </c>
      <c r="AI167">
        <v>0</v>
      </c>
      <c r="AJ167">
        <v>0</v>
      </c>
      <c r="AK167">
        <v>0</v>
      </c>
      <c r="AL167" t="s">
        <v>92</v>
      </c>
      <c r="AM167" t="s">
        <v>93</v>
      </c>
      <c r="AN167" t="s">
        <v>94</v>
      </c>
      <c r="AO167" t="s">
        <v>74</v>
      </c>
      <c r="AP167" t="s">
        <v>2570</v>
      </c>
      <c r="AQ167" t="s">
        <v>74</v>
      </c>
      <c r="AR167" t="s">
        <v>2563</v>
      </c>
      <c r="AS167" t="s">
        <v>2571</v>
      </c>
      <c r="AT167" t="s">
        <v>3139</v>
      </c>
      <c r="AU167">
        <v>2022</v>
      </c>
      <c r="AV167">
        <v>12</v>
      </c>
      <c r="AW167">
        <v>5</v>
      </c>
      <c r="AX167" t="s">
        <v>74</v>
      </c>
      <c r="AY167" t="s">
        <v>74</v>
      </c>
      <c r="AZ167" t="s">
        <v>74</v>
      </c>
      <c r="BA167" t="s">
        <v>74</v>
      </c>
      <c r="BB167" t="s">
        <v>74</v>
      </c>
      <c r="BC167" t="s">
        <v>74</v>
      </c>
      <c r="BD167">
        <v>714</v>
      </c>
      <c r="BE167" t="s">
        <v>3440</v>
      </c>
      <c r="BF167" t="str">
        <f>HYPERLINK("http://dx.doi.org/10.3390/cryst12050714","http://dx.doi.org/10.3390/cryst12050714")</f>
        <v>http://dx.doi.org/10.3390/cryst12050714</v>
      </c>
      <c r="BG167" t="s">
        <v>74</v>
      </c>
      <c r="BH167" t="s">
        <v>74</v>
      </c>
      <c r="BI167">
        <v>22</v>
      </c>
      <c r="BJ167" t="s">
        <v>2574</v>
      </c>
      <c r="BK167" t="s">
        <v>101</v>
      </c>
      <c r="BL167" t="s">
        <v>2575</v>
      </c>
      <c r="BM167" t="s">
        <v>3441</v>
      </c>
      <c r="BN167" t="s">
        <v>74</v>
      </c>
      <c r="BO167" t="s">
        <v>183</v>
      </c>
      <c r="BP167" t="s">
        <v>74</v>
      </c>
      <c r="BQ167" t="s">
        <v>74</v>
      </c>
      <c r="BR167" t="s">
        <v>104</v>
      </c>
      <c r="BS167" t="s">
        <v>3442</v>
      </c>
      <c r="BT167" t="str">
        <f>HYPERLINK("https%3A%2F%2Fwww.webofscience.com%2Fwos%2Fwoscc%2Ffull-record%2FWOS:000802590400001","View Full Record in Web of Science")</f>
        <v>View Full Record in Web of Science</v>
      </c>
    </row>
    <row r="168" spans="1:72" x14ac:dyDescent="0.25">
      <c r="A168" t="s">
        <v>72</v>
      </c>
      <c r="B168" t="s">
        <v>3443</v>
      </c>
      <c r="C168" t="s">
        <v>74</v>
      </c>
      <c r="D168" t="s">
        <v>74</v>
      </c>
      <c r="E168" t="s">
        <v>74</v>
      </c>
      <c r="F168" t="s">
        <v>3444</v>
      </c>
      <c r="G168" t="s">
        <v>74</v>
      </c>
      <c r="H168" t="s">
        <v>74</v>
      </c>
      <c r="I168" t="s">
        <v>3445</v>
      </c>
      <c r="J168" t="s">
        <v>3446</v>
      </c>
      <c r="K168" t="s">
        <v>74</v>
      </c>
      <c r="L168" t="s">
        <v>74</v>
      </c>
      <c r="M168" t="s">
        <v>1234</v>
      </c>
      <c r="N168" t="s">
        <v>79</v>
      </c>
      <c r="O168" t="s">
        <v>74</v>
      </c>
      <c r="P168" t="s">
        <v>74</v>
      </c>
      <c r="Q168" t="s">
        <v>74</v>
      </c>
      <c r="R168" t="s">
        <v>74</v>
      </c>
      <c r="S168" t="s">
        <v>74</v>
      </c>
      <c r="T168" t="s">
        <v>3447</v>
      </c>
      <c r="U168" t="s">
        <v>3448</v>
      </c>
      <c r="V168" t="s">
        <v>3449</v>
      </c>
      <c r="W168" t="s">
        <v>3450</v>
      </c>
      <c r="X168" t="s">
        <v>3451</v>
      </c>
      <c r="Y168" t="s">
        <v>3452</v>
      </c>
      <c r="Z168" t="s">
        <v>3453</v>
      </c>
      <c r="AA168" t="s">
        <v>74</v>
      </c>
      <c r="AB168" t="s">
        <v>74</v>
      </c>
      <c r="AC168" t="s">
        <v>74</v>
      </c>
      <c r="AD168" t="s">
        <v>74</v>
      </c>
      <c r="AE168" t="s">
        <v>74</v>
      </c>
      <c r="AF168" t="s">
        <v>74</v>
      </c>
      <c r="AG168">
        <v>35</v>
      </c>
      <c r="AH168">
        <v>0</v>
      </c>
      <c r="AI168">
        <v>0</v>
      </c>
      <c r="AJ168">
        <v>6</v>
      </c>
      <c r="AK168">
        <v>6</v>
      </c>
      <c r="AL168" t="s">
        <v>3454</v>
      </c>
      <c r="AM168" t="s">
        <v>301</v>
      </c>
      <c r="AN168" t="s">
        <v>3455</v>
      </c>
      <c r="AO168" t="s">
        <v>3456</v>
      </c>
      <c r="AP168" t="s">
        <v>3457</v>
      </c>
      <c r="AQ168" t="s">
        <v>74</v>
      </c>
      <c r="AR168" t="s">
        <v>3458</v>
      </c>
      <c r="AS168" t="s">
        <v>3459</v>
      </c>
      <c r="AT168" t="s">
        <v>1295</v>
      </c>
      <c r="AU168">
        <v>2022</v>
      </c>
      <c r="AV168">
        <v>14</v>
      </c>
      <c r="AW168">
        <v>1</v>
      </c>
      <c r="AX168" t="s">
        <v>74</v>
      </c>
      <c r="AY168" t="s">
        <v>74</v>
      </c>
      <c r="AZ168" t="s">
        <v>74</v>
      </c>
      <c r="BA168" t="s">
        <v>74</v>
      </c>
      <c r="BB168">
        <v>99</v>
      </c>
      <c r="BC168">
        <v>130</v>
      </c>
      <c r="BD168" t="s">
        <v>74</v>
      </c>
      <c r="BE168" t="s">
        <v>3460</v>
      </c>
      <c r="BF168" t="str">
        <f>HYPERLINK("http://dx.doi.org/10.14718/revfinanzpolitecon.v14.n1.2022.5","http://dx.doi.org/10.14718/revfinanzpolitecon.v14.n1.2022.5")</f>
        <v>http://dx.doi.org/10.14718/revfinanzpolitecon.v14.n1.2022.5</v>
      </c>
      <c r="BG168" t="s">
        <v>74</v>
      </c>
      <c r="BH168" t="s">
        <v>74</v>
      </c>
      <c r="BI168">
        <v>32</v>
      </c>
      <c r="BJ168" t="s">
        <v>1732</v>
      </c>
      <c r="BK168" t="s">
        <v>180</v>
      </c>
      <c r="BL168" t="s">
        <v>781</v>
      </c>
      <c r="BM168" t="s">
        <v>3461</v>
      </c>
      <c r="BN168" t="s">
        <v>74</v>
      </c>
      <c r="BO168" t="s">
        <v>3462</v>
      </c>
      <c r="BP168" t="s">
        <v>74</v>
      </c>
      <c r="BQ168" t="s">
        <v>74</v>
      </c>
      <c r="BR168" t="s">
        <v>104</v>
      </c>
      <c r="BS168" t="s">
        <v>3463</v>
      </c>
      <c r="BT168" t="str">
        <f>HYPERLINK("https%3A%2F%2Fwww.webofscience.com%2Fwos%2Fwoscc%2Ffull-record%2FWOS:000838237600005","View Full Record in Web of Science")</f>
        <v>View Full Record in Web of Science</v>
      </c>
    </row>
    <row r="169" spans="1:72" x14ac:dyDescent="0.25">
      <c r="A169" t="s">
        <v>72</v>
      </c>
      <c r="B169" t="s">
        <v>3464</v>
      </c>
      <c r="C169" t="s">
        <v>74</v>
      </c>
      <c r="D169" t="s">
        <v>74</v>
      </c>
      <c r="E169" t="s">
        <v>74</v>
      </c>
      <c r="F169" t="s">
        <v>3465</v>
      </c>
      <c r="G169" t="s">
        <v>74</v>
      </c>
      <c r="H169" t="s">
        <v>74</v>
      </c>
      <c r="I169" t="s">
        <v>3466</v>
      </c>
      <c r="J169" t="s">
        <v>1607</v>
      </c>
      <c r="K169" t="s">
        <v>74</v>
      </c>
      <c r="L169" t="s">
        <v>74</v>
      </c>
      <c r="M169" t="s">
        <v>1234</v>
      </c>
      <c r="N169" t="s">
        <v>79</v>
      </c>
      <c r="O169" t="s">
        <v>74</v>
      </c>
      <c r="P169" t="s">
        <v>74</v>
      </c>
      <c r="Q169" t="s">
        <v>74</v>
      </c>
      <c r="R169" t="s">
        <v>74</v>
      </c>
      <c r="S169" t="s">
        <v>74</v>
      </c>
      <c r="T169" t="s">
        <v>3467</v>
      </c>
      <c r="U169" t="s">
        <v>3468</v>
      </c>
      <c r="V169" t="s">
        <v>3469</v>
      </c>
      <c r="W169" t="s">
        <v>3470</v>
      </c>
      <c r="X169" t="s">
        <v>3471</v>
      </c>
      <c r="Y169" t="s">
        <v>3472</v>
      </c>
      <c r="Z169" t="s">
        <v>3473</v>
      </c>
      <c r="AA169" t="s">
        <v>74</v>
      </c>
      <c r="AB169" t="s">
        <v>3474</v>
      </c>
      <c r="AC169" t="s">
        <v>74</v>
      </c>
      <c r="AD169" t="s">
        <v>74</v>
      </c>
      <c r="AE169" t="s">
        <v>74</v>
      </c>
      <c r="AF169" t="s">
        <v>74</v>
      </c>
      <c r="AG169">
        <v>75</v>
      </c>
      <c r="AH169">
        <v>0</v>
      </c>
      <c r="AI169">
        <v>0</v>
      </c>
      <c r="AJ169">
        <v>0</v>
      </c>
      <c r="AK169">
        <v>0</v>
      </c>
      <c r="AL169" t="s">
        <v>1613</v>
      </c>
      <c r="AM169" t="s">
        <v>1614</v>
      </c>
      <c r="AN169" t="s">
        <v>1615</v>
      </c>
      <c r="AO169" t="s">
        <v>1616</v>
      </c>
      <c r="AP169" t="s">
        <v>1617</v>
      </c>
      <c r="AQ169" t="s">
        <v>74</v>
      </c>
      <c r="AR169" t="s">
        <v>1618</v>
      </c>
      <c r="AS169" t="s">
        <v>1619</v>
      </c>
      <c r="AT169" t="s">
        <v>853</v>
      </c>
      <c r="AU169">
        <v>2022</v>
      </c>
      <c r="AV169">
        <v>44</v>
      </c>
      <c r="AW169">
        <v>1</v>
      </c>
      <c r="AX169" t="s">
        <v>74</v>
      </c>
      <c r="AY169" t="s">
        <v>74</v>
      </c>
      <c r="AZ169" t="s">
        <v>74</v>
      </c>
      <c r="BA169" t="s">
        <v>74</v>
      </c>
      <c r="BB169">
        <v>49</v>
      </c>
      <c r="BC169">
        <v>73</v>
      </c>
      <c r="BD169" t="s">
        <v>74</v>
      </c>
      <c r="BE169" t="s">
        <v>3475</v>
      </c>
      <c r="BF169" t="str">
        <f>HYPERLINK("http://dx.doi.org/10.18273/revbol.v44n1-2022002","http://dx.doi.org/10.18273/revbol.v44n1-2022002")</f>
        <v>http://dx.doi.org/10.18273/revbol.v44n1-2022002</v>
      </c>
      <c r="BG169" t="s">
        <v>74</v>
      </c>
      <c r="BH169" t="s">
        <v>74</v>
      </c>
      <c r="BI169">
        <v>25</v>
      </c>
      <c r="BJ169" t="s">
        <v>1621</v>
      </c>
      <c r="BK169" t="s">
        <v>180</v>
      </c>
      <c r="BL169" t="s">
        <v>1621</v>
      </c>
      <c r="BM169" t="s">
        <v>3476</v>
      </c>
      <c r="BN169" t="s">
        <v>74</v>
      </c>
      <c r="BO169" t="s">
        <v>383</v>
      </c>
      <c r="BP169" t="s">
        <v>74</v>
      </c>
      <c r="BQ169" t="s">
        <v>74</v>
      </c>
      <c r="BR169" t="s">
        <v>104</v>
      </c>
      <c r="BS169" t="s">
        <v>3477</v>
      </c>
      <c r="BT169" t="str">
        <f>HYPERLINK("https%3A%2F%2Fwww.webofscience.com%2Fwos%2Fwoscc%2Ffull-record%2FWOS:000753738800003","View Full Record in Web of Science")</f>
        <v>View Full Record in Web of Science</v>
      </c>
    </row>
    <row r="170" spans="1:72" x14ac:dyDescent="0.25">
      <c r="A170" t="s">
        <v>72</v>
      </c>
      <c r="B170" t="s">
        <v>3478</v>
      </c>
      <c r="C170" t="s">
        <v>74</v>
      </c>
      <c r="D170" t="s">
        <v>74</v>
      </c>
      <c r="E170" t="s">
        <v>74</v>
      </c>
      <c r="F170" t="s">
        <v>3479</v>
      </c>
      <c r="G170" t="s">
        <v>74</v>
      </c>
      <c r="H170" t="s">
        <v>74</v>
      </c>
      <c r="I170" t="s">
        <v>3480</v>
      </c>
      <c r="J170" t="s">
        <v>3481</v>
      </c>
      <c r="K170" t="s">
        <v>74</v>
      </c>
      <c r="L170" t="s">
        <v>74</v>
      </c>
      <c r="M170" t="s">
        <v>78</v>
      </c>
      <c r="N170" t="s">
        <v>79</v>
      </c>
      <c r="O170" t="s">
        <v>74</v>
      </c>
      <c r="P170" t="s">
        <v>74</v>
      </c>
      <c r="Q170" t="s">
        <v>74</v>
      </c>
      <c r="R170" t="s">
        <v>74</v>
      </c>
      <c r="S170" t="s">
        <v>74</v>
      </c>
      <c r="T170" t="s">
        <v>3482</v>
      </c>
      <c r="U170" t="s">
        <v>3483</v>
      </c>
      <c r="V170" t="s">
        <v>3484</v>
      </c>
      <c r="W170" t="s">
        <v>3485</v>
      </c>
      <c r="X170" t="s">
        <v>84</v>
      </c>
      <c r="Y170" t="s">
        <v>3486</v>
      </c>
      <c r="Z170" t="s">
        <v>3487</v>
      </c>
      <c r="AA170" t="s">
        <v>74</v>
      </c>
      <c r="AB170" t="s">
        <v>3488</v>
      </c>
      <c r="AC170" t="s">
        <v>74</v>
      </c>
      <c r="AD170" t="s">
        <v>74</v>
      </c>
      <c r="AE170" t="s">
        <v>74</v>
      </c>
      <c r="AF170" t="s">
        <v>74</v>
      </c>
      <c r="AG170">
        <v>49</v>
      </c>
      <c r="AH170">
        <v>0</v>
      </c>
      <c r="AI170">
        <v>0</v>
      </c>
      <c r="AJ170">
        <v>1</v>
      </c>
      <c r="AK170">
        <v>2</v>
      </c>
      <c r="AL170" t="s">
        <v>3489</v>
      </c>
      <c r="AM170" t="s">
        <v>301</v>
      </c>
      <c r="AN170" t="s">
        <v>3490</v>
      </c>
      <c r="AO170" t="s">
        <v>3491</v>
      </c>
      <c r="AP170" t="s">
        <v>3492</v>
      </c>
      <c r="AQ170" t="s">
        <v>74</v>
      </c>
      <c r="AR170" t="s">
        <v>3493</v>
      </c>
      <c r="AS170" t="s">
        <v>3494</v>
      </c>
      <c r="AT170" t="s">
        <v>1295</v>
      </c>
      <c r="AU170">
        <v>2022</v>
      </c>
      <c r="AV170">
        <v>24</v>
      </c>
      <c r="AW170">
        <v>1</v>
      </c>
      <c r="AX170" t="s">
        <v>74</v>
      </c>
      <c r="AY170" t="s">
        <v>74</v>
      </c>
      <c r="AZ170" t="s">
        <v>74</v>
      </c>
      <c r="BA170" t="s">
        <v>74</v>
      </c>
      <c r="BB170">
        <v>15</v>
      </c>
      <c r="BC170">
        <v>28</v>
      </c>
      <c r="BD170" t="s">
        <v>74</v>
      </c>
      <c r="BE170" t="s">
        <v>3495</v>
      </c>
      <c r="BF170" t="str">
        <f>HYPERLINK("http://dx.doi.org/10.15446/profile.v24n1.90342","http://dx.doi.org/10.15446/profile.v24n1.90342")</f>
        <v>http://dx.doi.org/10.15446/profile.v24n1.90342</v>
      </c>
      <c r="BG170" t="s">
        <v>74</v>
      </c>
      <c r="BH170" t="s">
        <v>74</v>
      </c>
      <c r="BI170">
        <v>14</v>
      </c>
      <c r="BJ170" t="s">
        <v>1601</v>
      </c>
      <c r="BK170" t="s">
        <v>180</v>
      </c>
      <c r="BL170" t="s">
        <v>1601</v>
      </c>
      <c r="BM170" t="s">
        <v>3496</v>
      </c>
      <c r="BN170" t="s">
        <v>74</v>
      </c>
      <c r="BO170" t="s">
        <v>103</v>
      </c>
      <c r="BP170" t="s">
        <v>74</v>
      </c>
      <c r="BQ170" t="s">
        <v>74</v>
      </c>
      <c r="BR170" t="s">
        <v>104</v>
      </c>
      <c r="BS170" t="s">
        <v>3497</v>
      </c>
      <c r="BT170" t="str">
        <f>HYPERLINK("https%3A%2F%2Fwww.webofscience.com%2Fwos%2Fwoscc%2Ffull-record%2FWOS:000807496600002","View Full Record in Web of Science")</f>
        <v>View Full Record in Web of Science</v>
      </c>
    </row>
    <row r="171" spans="1:72" x14ac:dyDescent="0.25">
      <c r="A171" t="s">
        <v>72</v>
      </c>
      <c r="B171" t="s">
        <v>3498</v>
      </c>
      <c r="C171" t="s">
        <v>74</v>
      </c>
      <c r="D171" t="s">
        <v>74</v>
      </c>
      <c r="E171" t="s">
        <v>74</v>
      </c>
      <c r="F171" t="s">
        <v>3499</v>
      </c>
      <c r="G171" t="s">
        <v>74</v>
      </c>
      <c r="H171" t="s">
        <v>74</v>
      </c>
      <c r="I171" t="s">
        <v>3500</v>
      </c>
      <c r="J171" t="s">
        <v>3501</v>
      </c>
      <c r="K171" t="s">
        <v>74</v>
      </c>
      <c r="L171" t="s">
        <v>74</v>
      </c>
      <c r="M171" t="s">
        <v>78</v>
      </c>
      <c r="N171" t="s">
        <v>79</v>
      </c>
      <c r="O171" t="s">
        <v>74</v>
      </c>
      <c r="P171" t="s">
        <v>74</v>
      </c>
      <c r="Q171" t="s">
        <v>74</v>
      </c>
      <c r="R171" t="s">
        <v>74</v>
      </c>
      <c r="S171" t="s">
        <v>74</v>
      </c>
      <c r="T171" t="s">
        <v>3502</v>
      </c>
      <c r="U171" t="s">
        <v>3503</v>
      </c>
      <c r="V171" t="s">
        <v>3504</v>
      </c>
      <c r="W171" t="s">
        <v>3505</v>
      </c>
      <c r="X171" t="s">
        <v>3506</v>
      </c>
      <c r="Y171" t="s">
        <v>3507</v>
      </c>
      <c r="Z171" t="s">
        <v>3508</v>
      </c>
      <c r="AA171" t="s">
        <v>3509</v>
      </c>
      <c r="AB171" t="s">
        <v>3510</v>
      </c>
      <c r="AC171" t="s">
        <v>3511</v>
      </c>
      <c r="AD171" t="s">
        <v>3512</v>
      </c>
      <c r="AE171" t="s">
        <v>3513</v>
      </c>
      <c r="AF171" t="s">
        <v>74</v>
      </c>
      <c r="AG171">
        <v>76</v>
      </c>
      <c r="AH171">
        <v>0</v>
      </c>
      <c r="AI171">
        <v>0</v>
      </c>
      <c r="AJ171">
        <v>3</v>
      </c>
      <c r="AK171">
        <v>7</v>
      </c>
      <c r="AL171" t="s">
        <v>3397</v>
      </c>
      <c r="AM171" t="s">
        <v>147</v>
      </c>
      <c r="AN171" t="s">
        <v>3398</v>
      </c>
      <c r="AO171" t="s">
        <v>3514</v>
      </c>
      <c r="AP171" t="s">
        <v>3515</v>
      </c>
      <c r="AQ171" t="s">
        <v>74</v>
      </c>
      <c r="AR171" t="s">
        <v>3516</v>
      </c>
      <c r="AS171" t="s">
        <v>3517</v>
      </c>
      <c r="AT171" t="s">
        <v>3518</v>
      </c>
      <c r="AU171">
        <v>2022</v>
      </c>
      <c r="AV171">
        <v>25</v>
      </c>
      <c r="AW171" t="s">
        <v>74</v>
      </c>
      <c r="AX171" t="s">
        <v>74</v>
      </c>
      <c r="AY171" t="s">
        <v>74</v>
      </c>
      <c r="AZ171" t="s">
        <v>74</v>
      </c>
      <c r="BA171" t="s">
        <v>74</v>
      </c>
      <c r="BB171" t="s">
        <v>74</v>
      </c>
      <c r="BC171" t="s">
        <v>74</v>
      </c>
      <c r="BD171" t="s">
        <v>3519</v>
      </c>
      <c r="BE171" t="s">
        <v>3520</v>
      </c>
      <c r="BF171" t="str">
        <f>HYPERLINK("http://dx.doi.org/10.1017/SJP.2022.10","http://dx.doi.org/10.1017/SJP.2022.10")</f>
        <v>http://dx.doi.org/10.1017/SJP.2022.10</v>
      </c>
      <c r="BG171" t="s">
        <v>74</v>
      </c>
      <c r="BH171" t="s">
        <v>74</v>
      </c>
      <c r="BI171">
        <v>16</v>
      </c>
      <c r="BJ171" t="s">
        <v>3521</v>
      </c>
      <c r="BK171" t="s">
        <v>284</v>
      </c>
      <c r="BL171" t="s">
        <v>1543</v>
      </c>
      <c r="BM171" t="s">
        <v>3522</v>
      </c>
      <c r="BN171">
        <v>35343420</v>
      </c>
      <c r="BO171" t="s">
        <v>74</v>
      </c>
      <c r="BP171" t="s">
        <v>74</v>
      </c>
      <c r="BQ171" t="s">
        <v>74</v>
      </c>
      <c r="BR171" t="s">
        <v>104</v>
      </c>
      <c r="BS171" t="s">
        <v>3523</v>
      </c>
      <c r="BT171" t="str">
        <f>HYPERLINK("https%3A%2F%2Fwww.webofscience.com%2Fwos%2Fwoscc%2Ffull-record%2FWOS:000773490000001","View Full Record in Web of Science")</f>
        <v>View Full Record in Web of Science</v>
      </c>
    </row>
    <row r="172" spans="1:72" x14ac:dyDescent="0.25">
      <c r="A172" t="s">
        <v>72</v>
      </c>
      <c r="B172" t="s">
        <v>3524</v>
      </c>
      <c r="C172" t="s">
        <v>74</v>
      </c>
      <c r="D172" t="s">
        <v>74</v>
      </c>
      <c r="E172" t="s">
        <v>74</v>
      </c>
      <c r="F172" t="s">
        <v>3525</v>
      </c>
      <c r="G172" t="s">
        <v>74</v>
      </c>
      <c r="H172" t="s">
        <v>74</v>
      </c>
      <c r="I172" t="s">
        <v>3526</v>
      </c>
      <c r="J172" t="s">
        <v>3527</v>
      </c>
      <c r="K172" t="s">
        <v>74</v>
      </c>
      <c r="L172" t="s">
        <v>74</v>
      </c>
      <c r="M172" t="s">
        <v>78</v>
      </c>
      <c r="N172" t="s">
        <v>79</v>
      </c>
      <c r="O172" t="s">
        <v>74</v>
      </c>
      <c r="P172" t="s">
        <v>74</v>
      </c>
      <c r="Q172" t="s">
        <v>74</v>
      </c>
      <c r="R172" t="s">
        <v>74</v>
      </c>
      <c r="S172" t="s">
        <v>74</v>
      </c>
      <c r="T172" t="s">
        <v>3528</v>
      </c>
      <c r="U172" t="s">
        <v>3529</v>
      </c>
      <c r="V172" t="s">
        <v>3530</v>
      </c>
      <c r="W172" t="s">
        <v>3531</v>
      </c>
      <c r="X172" t="s">
        <v>3532</v>
      </c>
      <c r="Y172" t="s">
        <v>3533</v>
      </c>
      <c r="Z172" t="s">
        <v>3534</v>
      </c>
      <c r="AA172" t="s">
        <v>74</v>
      </c>
      <c r="AB172" t="s">
        <v>3535</v>
      </c>
      <c r="AC172" t="s">
        <v>74</v>
      </c>
      <c r="AD172" t="s">
        <v>74</v>
      </c>
      <c r="AE172" t="s">
        <v>74</v>
      </c>
      <c r="AF172" t="s">
        <v>74</v>
      </c>
      <c r="AG172">
        <v>111</v>
      </c>
      <c r="AH172">
        <v>0</v>
      </c>
      <c r="AI172">
        <v>0</v>
      </c>
      <c r="AJ172">
        <v>3</v>
      </c>
      <c r="AK172">
        <v>3</v>
      </c>
      <c r="AL172" t="s">
        <v>146</v>
      </c>
      <c r="AM172" t="s">
        <v>147</v>
      </c>
      <c r="AN172" t="s">
        <v>148</v>
      </c>
      <c r="AO172" t="s">
        <v>3536</v>
      </c>
      <c r="AP172" t="s">
        <v>3537</v>
      </c>
      <c r="AQ172" t="s">
        <v>74</v>
      </c>
      <c r="AR172" t="s">
        <v>3538</v>
      </c>
      <c r="AS172" t="s">
        <v>3539</v>
      </c>
      <c r="AT172" t="s">
        <v>1313</v>
      </c>
      <c r="AU172">
        <v>2022</v>
      </c>
      <c r="AV172">
        <v>111</v>
      </c>
      <c r="AW172">
        <v>7</v>
      </c>
      <c r="AX172" t="s">
        <v>74</v>
      </c>
      <c r="AY172" t="s">
        <v>74</v>
      </c>
      <c r="AZ172" t="s">
        <v>74</v>
      </c>
      <c r="BA172" t="s">
        <v>74</v>
      </c>
      <c r="BB172">
        <v>2081</v>
      </c>
      <c r="BC172">
        <v>2099</v>
      </c>
      <c r="BD172" t="s">
        <v>74</v>
      </c>
      <c r="BE172" t="s">
        <v>3540</v>
      </c>
      <c r="BF172" t="str">
        <f>HYPERLINK("http://dx.doi.org/10.1007/s00531-022-02227-9","http://dx.doi.org/10.1007/s00531-022-02227-9")</f>
        <v>http://dx.doi.org/10.1007/s00531-022-02227-9</v>
      </c>
      <c r="BG172" t="s">
        <v>74</v>
      </c>
      <c r="BH172" t="s">
        <v>440</v>
      </c>
      <c r="BI172">
        <v>19</v>
      </c>
      <c r="BJ172" t="s">
        <v>3541</v>
      </c>
      <c r="BK172" t="s">
        <v>101</v>
      </c>
      <c r="BL172" t="s">
        <v>1621</v>
      </c>
      <c r="BM172" t="s">
        <v>3542</v>
      </c>
      <c r="BN172" t="s">
        <v>74</v>
      </c>
      <c r="BO172" t="s">
        <v>74</v>
      </c>
      <c r="BP172" t="s">
        <v>74</v>
      </c>
      <c r="BQ172" t="s">
        <v>74</v>
      </c>
      <c r="BR172" t="s">
        <v>104</v>
      </c>
      <c r="BS172" t="s">
        <v>3543</v>
      </c>
      <c r="BT172" t="str">
        <f>HYPERLINK("https%3A%2F%2Fwww.webofscience.com%2Fwos%2Fwoscc%2Ffull-record%2FWOS:000828443300001","View Full Record in Web of Science")</f>
        <v>View Full Record in Web of Science</v>
      </c>
    </row>
    <row r="173" spans="1:72" x14ac:dyDescent="0.25">
      <c r="A173" t="s">
        <v>72</v>
      </c>
      <c r="B173" t="s">
        <v>3544</v>
      </c>
      <c r="C173" t="s">
        <v>74</v>
      </c>
      <c r="D173" t="s">
        <v>74</v>
      </c>
      <c r="E173" t="s">
        <v>74</v>
      </c>
      <c r="F173" t="s">
        <v>3545</v>
      </c>
      <c r="G173" t="s">
        <v>74</v>
      </c>
      <c r="H173" t="s">
        <v>74</v>
      </c>
      <c r="I173" t="s">
        <v>3546</v>
      </c>
      <c r="J173" t="s">
        <v>3547</v>
      </c>
      <c r="K173" t="s">
        <v>74</v>
      </c>
      <c r="L173" t="s">
        <v>74</v>
      </c>
      <c r="M173" t="s">
        <v>1234</v>
      </c>
      <c r="N173" t="s">
        <v>79</v>
      </c>
      <c r="O173" t="s">
        <v>74</v>
      </c>
      <c r="P173" t="s">
        <v>74</v>
      </c>
      <c r="Q173" t="s">
        <v>74</v>
      </c>
      <c r="R173" t="s">
        <v>74</v>
      </c>
      <c r="S173" t="s">
        <v>74</v>
      </c>
      <c r="T173" t="s">
        <v>74</v>
      </c>
      <c r="U173" t="s">
        <v>3548</v>
      </c>
      <c r="V173" t="s">
        <v>3549</v>
      </c>
      <c r="W173" t="s">
        <v>3550</v>
      </c>
      <c r="X173" t="s">
        <v>84</v>
      </c>
      <c r="Y173" t="s">
        <v>3551</v>
      </c>
      <c r="Z173" t="s">
        <v>3552</v>
      </c>
      <c r="AA173" t="s">
        <v>74</v>
      </c>
      <c r="AB173" t="s">
        <v>74</v>
      </c>
      <c r="AC173" t="s">
        <v>74</v>
      </c>
      <c r="AD173" t="s">
        <v>74</v>
      </c>
      <c r="AE173" t="s">
        <v>74</v>
      </c>
      <c r="AF173" t="s">
        <v>74</v>
      </c>
      <c r="AG173">
        <v>19</v>
      </c>
      <c r="AH173">
        <v>0</v>
      </c>
      <c r="AI173">
        <v>0</v>
      </c>
      <c r="AJ173">
        <v>1</v>
      </c>
      <c r="AK173">
        <v>1</v>
      </c>
      <c r="AL173" t="s">
        <v>3547</v>
      </c>
      <c r="AM173" t="s">
        <v>3553</v>
      </c>
      <c r="AN173" t="s">
        <v>3554</v>
      </c>
      <c r="AO173" t="s">
        <v>3555</v>
      </c>
      <c r="AP173" t="s">
        <v>74</v>
      </c>
      <c r="AQ173" t="s">
        <v>74</v>
      </c>
      <c r="AR173" t="s">
        <v>3547</v>
      </c>
      <c r="AS173" t="s">
        <v>3556</v>
      </c>
      <c r="AT173" t="s">
        <v>752</v>
      </c>
      <c r="AU173">
        <v>2022</v>
      </c>
      <c r="AV173">
        <v>47</v>
      </c>
      <c r="AW173" t="s">
        <v>3557</v>
      </c>
      <c r="AX173" t="s">
        <v>74</v>
      </c>
      <c r="AY173" t="s">
        <v>74</v>
      </c>
      <c r="AZ173" t="s">
        <v>74</v>
      </c>
      <c r="BA173" t="s">
        <v>74</v>
      </c>
      <c r="BB173">
        <v>8</v>
      </c>
      <c r="BC173">
        <v>15</v>
      </c>
      <c r="BD173" t="s">
        <v>74</v>
      </c>
      <c r="BE173" t="s">
        <v>74</v>
      </c>
      <c r="BF173" t="s">
        <v>74</v>
      </c>
      <c r="BG173" t="s">
        <v>74</v>
      </c>
      <c r="BH173" t="s">
        <v>74</v>
      </c>
      <c r="BI173">
        <v>8</v>
      </c>
      <c r="BJ173" t="s">
        <v>1440</v>
      </c>
      <c r="BK173" t="s">
        <v>101</v>
      </c>
      <c r="BL173" t="s">
        <v>1441</v>
      </c>
      <c r="BM173" t="s">
        <v>3558</v>
      </c>
      <c r="BN173" t="s">
        <v>74</v>
      </c>
      <c r="BO173" t="s">
        <v>74</v>
      </c>
      <c r="BP173" t="s">
        <v>74</v>
      </c>
      <c r="BQ173" t="s">
        <v>74</v>
      </c>
      <c r="BR173" t="s">
        <v>104</v>
      </c>
      <c r="BS173" t="s">
        <v>3559</v>
      </c>
      <c r="BT173" t="str">
        <f>HYPERLINK("https%3A%2F%2Fwww.webofscience.com%2Fwos%2Fwoscc%2Ffull-record%2FWOS:000766082200002","View Full Record in Web of Science")</f>
        <v>View Full Record in Web of Science</v>
      </c>
    </row>
    <row r="174" spans="1:72" x14ac:dyDescent="0.25">
      <c r="A174" t="s">
        <v>72</v>
      </c>
      <c r="B174" t="s">
        <v>3560</v>
      </c>
      <c r="C174" t="s">
        <v>74</v>
      </c>
      <c r="D174" t="s">
        <v>74</v>
      </c>
      <c r="E174" t="s">
        <v>74</v>
      </c>
      <c r="F174" t="s">
        <v>3561</v>
      </c>
      <c r="G174" t="s">
        <v>74</v>
      </c>
      <c r="H174" t="s">
        <v>74</v>
      </c>
      <c r="I174" t="s">
        <v>3562</v>
      </c>
      <c r="J174" t="s">
        <v>669</v>
      </c>
      <c r="K174" t="s">
        <v>74</v>
      </c>
      <c r="L174" t="s">
        <v>74</v>
      </c>
      <c r="M174" t="s">
        <v>78</v>
      </c>
      <c r="N174" t="s">
        <v>79</v>
      </c>
      <c r="O174" t="s">
        <v>74</v>
      </c>
      <c r="P174" t="s">
        <v>74</v>
      </c>
      <c r="Q174" t="s">
        <v>74</v>
      </c>
      <c r="R174" t="s">
        <v>74</v>
      </c>
      <c r="S174" t="s">
        <v>74</v>
      </c>
      <c r="T174" t="s">
        <v>3563</v>
      </c>
      <c r="U174" t="s">
        <v>3564</v>
      </c>
      <c r="V174" t="s">
        <v>3565</v>
      </c>
      <c r="W174" t="s">
        <v>3566</v>
      </c>
      <c r="X174" t="s">
        <v>3567</v>
      </c>
      <c r="Y174" t="s">
        <v>2935</v>
      </c>
      <c r="Z174" t="s">
        <v>3568</v>
      </c>
      <c r="AA174" t="s">
        <v>3569</v>
      </c>
      <c r="AB174" t="s">
        <v>3570</v>
      </c>
      <c r="AC174" t="s">
        <v>3571</v>
      </c>
      <c r="AD174" t="s">
        <v>3572</v>
      </c>
      <c r="AE174" t="s">
        <v>3573</v>
      </c>
      <c r="AF174" t="s">
        <v>74</v>
      </c>
      <c r="AG174">
        <v>38</v>
      </c>
      <c r="AH174">
        <v>0</v>
      </c>
      <c r="AI174">
        <v>0</v>
      </c>
      <c r="AJ174">
        <v>13</v>
      </c>
      <c r="AK174">
        <v>13</v>
      </c>
      <c r="AL174" t="s">
        <v>92</v>
      </c>
      <c r="AM174" t="s">
        <v>93</v>
      </c>
      <c r="AN174" t="s">
        <v>94</v>
      </c>
      <c r="AO174" t="s">
        <v>74</v>
      </c>
      <c r="AP174" t="s">
        <v>682</v>
      </c>
      <c r="AQ174" t="s">
        <v>74</v>
      </c>
      <c r="AR174" t="s">
        <v>669</v>
      </c>
      <c r="AS174" t="s">
        <v>683</v>
      </c>
      <c r="AT174" t="s">
        <v>400</v>
      </c>
      <c r="AU174">
        <v>2022</v>
      </c>
      <c r="AV174">
        <v>27</v>
      </c>
      <c r="AW174">
        <v>16</v>
      </c>
      <c r="AX174" t="s">
        <v>74</v>
      </c>
      <c r="AY174" t="s">
        <v>74</v>
      </c>
      <c r="AZ174" t="s">
        <v>74</v>
      </c>
      <c r="BA174" t="s">
        <v>74</v>
      </c>
      <c r="BB174" t="s">
        <v>74</v>
      </c>
      <c r="BC174" t="s">
        <v>74</v>
      </c>
      <c r="BD174">
        <v>5312</v>
      </c>
      <c r="BE174" t="s">
        <v>3574</v>
      </c>
      <c r="BF174" t="str">
        <f>HYPERLINK("http://dx.doi.org/10.3390/molecules27165312","http://dx.doi.org/10.3390/molecules27165312")</f>
        <v>http://dx.doi.org/10.3390/molecules27165312</v>
      </c>
      <c r="BG174" t="s">
        <v>74</v>
      </c>
      <c r="BH174" t="s">
        <v>74</v>
      </c>
      <c r="BI174">
        <v>11</v>
      </c>
      <c r="BJ174" t="s">
        <v>685</v>
      </c>
      <c r="BK174" t="s">
        <v>101</v>
      </c>
      <c r="BL174" t="s">
        <v>686</v>
      </c>
      <c r="BM174" t="s">
        <v>3575</v>
      </c>
      <c r="BN174">
        <v>36014552</v>
      </c>
      <c r="BO174" t="s">
        <v>129</v>
      </c>
      <c r="BP174" t="s">
        <v>74</v>
      </c>
      <c r="BQ174" t="s">
        <v>74</v>
      </c>
      <c r="BR174" t="s">
        <v>104</v>
      </c>
      <c r="BS174" t="s">
        <v>3576</v>
      </c>
      <c r="BT174" t="str">
        <f>HYPERLINK("https%3A%2F%2Fwww.webofscience.com%2Fwos%2Fwoscc%2Ffull-record%2FWOS:000845321300001","View Full Record in Web of Science")</f>
        <v>View Full Record in Web of Science</v>
      </c>
    </row>
    <row r="175" spans="1:72" x14ac:dyDescent="0.25">
      <c r="A175" t="s">
        <v>72</v>
      </c>
      <c r="B175" t="s">
        <v>3577</v>
      </c>
      <c r="C175" t="s">
        <v>74</v>
      </c>
      <c r="D175" t="s">
        <v>74</v>
      </c>
      <c r="E175" t="s">
        <v>74</v>
      </c>
      <c r="F175" t="s">
        <v>3578</v>
      </c>
      <c r="G175" t="s">
        <v>74</v>
      </c>
      <c r="H175" t="s">
        <v>74</v>
      </c>
      <c r="I175" t="s">
        <v>3579</v>
      </c>
      <c r="J175" t="s">
        <v>3580</v>
      </c>
      <c r="K175" t="s">
        <v>74</v>
      </c>
      <c r="L175" t="s">
        <v>74</v>
      </c>
      <c r="M175" t="s">
        <v>1234</v>
      </c>
      <c r="N175" t="s">
        <v>79</v>
      </c>
      <c r="O175" t="s">
        <v>74</v>
      </c>
      <c r="P175" t="s">
        <v>74</v>
      </c>
      <c r="Q175" t="s">
        <v>74</v>
      </c>
      <c r="R175" t="s">
        <v>74</v>
      </c>
      <c r="S175" t="s">
        <v>74</v>
      </c>
      <c r="T175" t="s">
        <v>3581</v>
      </c>
      <c r="U175" t="s">
        <v>74</v>
      </c>
      <c r="V175" t="s">
        <v>3582</v>
      </c>
      <c r="W175" t="s">
        <v>3583</v>
      </c>
      <c r="X175" t="s">
        <v>140</v>
      </c>
      <c r="Y175" t="s">
        <v>3584</v>
      </c>
      <c r="Z175" t="s">
        <v>3585</v>
      </c>
      <c r="AA175" t="s">
        <v>74</v>
      </c>
      <c r="AB175" t="s">
        <v>74</v>
      </c>
      <c r="AC175" t="s">
        <v>74</v>
      </c>
      <c r="AD175" t="s">
        <v>74</v>
      </c>
      <c r="AE175" t="s">
        <v>74</v>
      </c>
      <c r="AF175" t="s">
        <v>74</v>
      </c>
      <c r="AG175">
        <v>33</v>
      </c>
      <c r="AH175">
        <v>0</v>
      </c>
      <c r="AI175">
        <v>0</v>
      </c>
      <c r="AJ175">
        <v>0</v>
      </c>
      <c r="AK175">
        <v>0</v>
      </c>
      <c r="AL175" t="s">
        <v>3586</v>
      </c>
      <c r="AM175" t="s">
        <v>301</v>
      </c>
      <c r="AN175" t="s">
        <v>3587</v>
      </c>
      <c r="AO175" t="s">
        <v>3588</v>
      </c>
      <c r="AP175" t="s">
        <v>3589</v>
      </c>
      <c r="AQ175" t="s">
        <v>74</v>
      </c>
      <c r="AR175" t="s">
        <v>3580</v>
      </c>
      <c r="AS175" t="s">
        <v>3590</v>
      </c>
      <c r="AT175" t="s">
        <v>1398</v>
      </c>
      <c r="AU175">
        <v>2022</v>
      </c>
      <c r="AV175">
        <v>16</v>
      </c>
      <c r="AW175">
        <v>31</v>
      </c>
      <c r="AX175" t="s">
        <v>74</v>
      </c>
      <c r="AY175" t="s">
        <v>74</v>
      </c>
      <c r="AZ175" t="s">
        <v>74</v>
      </c>
      <c r="BA175" t="s">
        <v>74</v>
      </c>
      <c r="BB175" t="s">
        <v>74</v>
      </c>
      <c r="BC175" t="s">
        <v>74</v>
      </c>
      <c r="BD175" t="s">
        <v>74</v>
      </c>
      <c r="BE175" t="s">
        <v>74</v>
      </c>
      <c r="BF175" t="s">
        <v>74</v>
      </c>
      <c r="BG175" t="s">
        <v>74</v>
      </c>
      <c r="BH175" t="s">
        <v>74</v>
      </c>
      <c r="BI175">
        <v>31</v>
      </c>
      <c r="BJ175" t="s">
        <v>1420</v>
      </c>
      <c r="BK175" t="s">
        <v>180</v>
      </c>
      <c r="BL175" t="s">
        <v>1421</v>
      </c>
      <c r="BM175" t="s">
        <v>3591</v>
      </c>
      <c r="BN175" t="s">
        <v>74</v>
      </c>
      <c r="BO175" t="s">
        <v>74</v>
      </c>
      <c r="BP175" t="s">
        <v>74</v>
      </c>
      <c r="BQ175" t="s">
        <v>74</v>
      </c>
      <c r="BR175" t="s">
        <v>104</v>
      </c>
      <c r="BS175" t="s">
        <v>3592</v>
      </c>
      <c r="BT175" t="str">
        <f>HYPERLINK("https%3A%2F%2Fwww.webofscience.com%2Fwos%2Fwoscc%2Ffull-record%2FWOS:000830498600001","View Full Record in Web of Science")</f>
        <v>View Full Record in Web of Science</v>
      </c>
    </row>
    <row r="176" spans="1:72" x14ac:dyDescent="0.25">
      <c r="A176" t="s">
        <v>72</v>
      </c>
      <c r="B176" t="s">
        <v>3593</v>
      </c>
      <c r="C176" t="s">
        <v>74</v>
      </c>
      <c r="D176" t="s">
        <v>74</v>
      </c>
      <c r="E176" t="s">
        <v>74</v>
      </c>
      <c r="F176" t="s">
        <v>3594</v>
      </c>
      <c r="G176" t="s">
        <v>74</v>
      </c>
      <c r="H176" t="s">
        <v>74</v>
      </c>
      <c r="I176" t="s">
        <v>3595</v>
      </c>
      <c r="J176" t="s">
        <v>3596</v>
      </c>
      <c r="K176" t="s">
        <v>74</v>
      </c>
      <c r="L176" t="s">
        <v>74</v>
      </c>
      <c r="M176" t="s">
        <v>78</v>
      </c>
      <c r="N176" t="s">
        <v>79</v>
      </c>
      <c r="O176" t="s">
        <v>74</v>
      </c>
      <c r="P176" t="s">
        <v>74</v>
      </c>
      <c r="Q176" t="s">
        <v>74</v>
      </c>
      <c r="R176" t="s">
        <v>74</v>
      </c>
      <c r="S176" t="s">
        <v>74</v>
      </c>
      <c r="T176" t="s">
        <v>3597</v>
      </c>
      <c r="U176" t="s">
        <v>74</v>
      </c>
      <c r="V176" t="s">
        <v>3598</v>
      </c>
      <c r="W176" t="s">
        <v>3599</v>
      </c>
      <c r="X176" t="s">
        <v>3201</v>
      </c>
      <c r="Y176" t="s">
        <v>3600</v>
      </c>
      <c r="Z176" t="s">
        <v>3601</v>
      </c>
      <c r="AA176" t="s">
        <v>74</v>
      </c>
      <c r="AB176" t="s">
        <v>74</v>
      </c>
      <c r="AC176" t="s">
        <v>74</v>
      </c>
      <c r="AD176" t="s">
        <v>74</v>
      </c>
      <c r="AE176" t="s">
        <v>74</v>
      </c>
      <c r="AF176" t="s">
        <v>74</v>
      </c>
      <c r="AG176">
        <v>28</v>
      </c>
      <c r="AH176">
        <v>0</v>
      </c>
      <c r="AI176">
        <v>0</v>
      </c>
      <c r="AJ176">
        <v>1</v>
      </c>
      <c r="AK176">
        <v>1</v>
      </c>
      <c r="AL176" t="s">
        <v>3602</v>
      </c>
      <c r="AM176" t="s">
        <v>301</v>
      </c>
      <c r="AN176" t="s">
        <v>3603</v>
      </c>
      <c r="AO176" t="s">
        <v>3604</v>
      </c>
      <c r="AP176" t="s">
        <v>3605</v>
      </c>
      <c r="AQ176" t="s">
        <v>74</v>
      </c>
      <c r="AR176" t="s">
        <v>3606</v>
      </c>
      <c r="AS176" t="s">
        <v>3607</v>
      </c>
      <c r="AT176" t="s">
        <v>1295</v>
      </c>
      <c r="AU176">
        <v>2022</v>
      </c>
      <c r="AV176">
        <v>25</v>
      </c>
      <c r="AW176">
        <v>49</v>
      </c>
      <c r="AX176" t="s">
        <v>74</v>
      </c>
      <c r="AY176" t="s">
        <v>74</v>
      </c>
      <c r="AZ176" t="s">
        <v>74</v>
      </c>
      <c r="BA176" t="s">
        <v>74</v>
      </c>
      <c r="BB176">
        <v>49</v>
      </c>
      <c r="BC176">
        <v>63</v>
      </c>
      <c r="BD176" t="s">
        <v>74</v>
      </c>
      <c r="BE176" t="s">
        <v>3608</v>
      </c>
      <c r="BF176" t="str">
        <f>HYPERLINK("http://dx.doi.org/10.18359/prole.5760","http://dx.doi.org/10.18359/prole.5760")</f>
        <v>http://dx.doi.org/10.18359/prole.5760</v>
      </c>
      <c r="BG176" t="s">
        <v>74</v>
      </c>
      <c r="BH176" t="s">
        <v>74</v>
      </c>
      <c r="BI176">
        <v>15</v>
      </c>
      <c r="BJ176" t="s">
        <v>3609</v>
      </c>
      <c r="BK176" t="s">
        <v>180</v>
      </c>
      <c r="BL176" t="s">
        <v>3610</v>
      </c>
      <c r="BM176" t="s">
        <v>3611</v>
      </c>
      <c r="BN176" t="s">
        <v>74</v>
      </c>
      <c r="BO176" t="s">
        <v>735</v>
      </c>
      <c r="BP176" t="s">
        <v>74</v>
      </c>
      <c r="BQ176" t="s">
        <v>74</v>
      </c>
      <c r="BR176" t="s">
        <v>104</v>
      </c>
      <c r="BS176" t="s">
        <v>3612</v>
      </c>
      <c r="BT176" t="str">
        <f>HYPERLINK("https%3A%2F%2Fwww.webofscience.com%2Fwos%2Fwoscc%2Ffull-record%2FWOS:000822399000004","View Full Record in Web of Science")</f>
        <v>View Full Record in Web of Science</v>
      </c>
    </row>
    <row r="177" spans="1:72" x14ac:dyDescent="0.25">
      <c r="A177" t="s">
        <v>72</v>
      </c>
      <c r="B177" t="s">
        <v>3613</v>
      </c>
      <c r="C177" t="s">
        <v>74</v>
      </c>
      <c r="D177" t="s">
        <v>74</v>
      </c>
      <c r="E177" t="s">
        <v>74</v>
      </c>
      <c r="F177" t="s">
        <v>3614</v>
      </c>
      <c r="G177" t="s">
        <v>74</v>
      </c>
      <c r="H177" t="s">
        <v>74</v>
      </c>
      <c r="I177" t="s">
        <v>3615</v>
      </c>
      <c r="J177" t="s">
        <v>1995</v>
      </c>
      <c r="K177" t="s">
        <v>74</v>
      </c>
      <c r="L177" t="s">
        <v>74</v>
      </c>
      <c r="M177" t="s">
        <v>1234</v>
      </c>
      <c r="N177" t="s">
        <v>79</v>
      </c>
      <c r="O177" t="s">
        <v>74</v>
      </c>
      <c r="P177" t="s">
        <v>74</v>
      </c>
      <c r="Q177" t="s">
        <v>74</v>
      </c>
      <c r="R177" t="s">
        <v>74</v>
      </c>
      <c r="S177" t="s">
        <v>74</v>
      </c>
      <c r="T177" t="s">
        <v>3616</v>
      </c>
      <c r="U177" t="s">
        <v>74</v>
      </c>
      <c r="V177" t="s">
        <v>3617</v>
      </c>
      <c r="W177" t="s">
        <v>3618</v>
      </c>
      <c r="X177" t="s">
        <v>3619</v>
      </c>
      <c r="Y177" t="s">
        <v>3620</v>
      </c>
      <c r="Z177" t="s">
        <v>3621</v>
      </c>
      <c r="AA177" t="s">
        <v>74</v>
      </c>
      <c r="AB177" t="s">
        <v>74</v>
      </c>
      <c r="AC177" t="s">
        <v>74</v>
      </c>
      <c r="AD177" t="s">
        <v>74</v>
      </c>
      <c r="AE177" t="s">
        <v>74</v>
      </c>
      <c r="AF177" t="s">
        <v>74</v>
      </c>
      <c r="AG177">
        <v>20</v>
      </c>
      <c r="AH177">
        <v>0</v>
      </c>
      <c r="AI177">
        <v>0</v>
      </c>
      <c r="AJ177">
        <v>0</v>
      </c>
      <c r="AK177">
        <v>0</v>
      </c>
      <c r="AL177" t="s">
        <v>1391</v>
      </c>
      <c r="AM177" t="s">
        <v>1392</v>
      </c>
      <c r="AN177" t="s">
        <v>1393</v>
      </c>
      <c r="AO177" t="s">
        <v>2001</v>
      </c>
      <c r="AP177" t="s">
        <v>2002</v>
      </c>
      <c r="AQ177" t="s">
        <v>74</v>
      </c>
      <c r="AR177" t="s">
        <v>2003</v>
      </c>
      <c r="AS177" t="s">
        <v>2004</v>
      </c>
      <c r="AT177" t="s">
        <v>74</v>
      </c>
      <c r="AU177">
        <v>2022</v>
      </c>
      <c r="AV177">
        <v>39</v>
      </c>
      <c r="AW177" t="s">
        <v>74</v>
      </c>
      <c r="AX177" t="s">
        <v>74</v>
      </c>
      <c r="AY177" t="s">
        <v>74</v>
      </c>
      <c r="AZ177" t="s">
        <v>74</v>
      </c>
      <c r="BA177" t="s">
        <v>74</v>
      </c>
      <c r="BB177" t="s">
        <v>74</v>
      </c>
      <c r="BC177" t="s">
        <v>74</v>
      </c>
      <c r="BD177" t="s">
        <v>3622</v>
      </c>
      <c r="BE177" t="s">
        <v>3623</v>
      </c>
      <c r="BF177" t="str">
        <f>HYPERLINK("http://dx.doi.org/10.19053/0121053X.n39.2022.13511","http://dx.doi.org/10.19053/0121053X.n39.2022.13511")</f>
        <v>http://dx.doi.org/10.19053/0121053X.n39.2022.13511</v>
      </c>
      <c r="BG177" t="s">
        <v>74</v>
      </c>
      <c r="BH177" t="s">
        <v>74</v>
      </c>
      <c r="BI177">
        <v>21</v>
      </c>
      <c r="BJ177" t="s">
        <v>2007</v>
      </c>
      <c r="BK177" t="s">
        <v>180</v>
      </c>
      <c r="BL177" t="s">
        <v>2007</v>
      </c>
      <c r="BM177" t="s">
        <v>3624</v>
      </c>
      <c r="BN177" t="s">
        <v>74</v>
      </c>
      <c r="BO177" t="s">
        <v>183</v>
      </c>
      <c r="BP177" t="s">
        <v>74</v>
      </c>
      <c r="BQ177" t="s">
        <v>74</v>
      </c>
      <c r="BR177" t="s">
        <v>104</v>
      </c>
      <c r="BS177" t="s">
        <v>3625</v>
      </c>
      <c r="BT177" t="str">
        <f>HYPERLINK("https%3A%2F%2Fwww.webofscience.com%2Fwos%2Fwoscc%2Ffull-record%2FWOS:000766637600002","View Full Record in Web of Science")</f>
        <v>View Full Record in Web of Science</v>
      </c>
    </row>
    <row r="178" spans="1:72" x14ac:dyDescent="0.25">
      <c r="A178" t="s">
        <v>72</v>
      </c>
      <c r="B178" t="s">
        <v>3626</v>
      </c>
      <c r="C178" t="s">
        <v>74</v>
      </c>
      <c r="D178" t="s">
        <v>74</v>
      </c>
      <c r="E178" t="s">
        <v>74</v>
      </c>
      <c r="F178" t="s">
        <v>3627</v>
      </c>
      <c r="G178" t="s">
        <v>74</v>
      </c>
      <c r="H178" t="s">
        <v>74</v>
      </c>
      <c r="I178" t="s">
        <v>3628</v>
      </c>
      <c r="J178" t="s">
        <v>3629</v>
      </c>
      <c r="K178" t="s">
        <v>74</v>
      </c>
      <c r="L178" t="s">
        <v>74</v>
      </c>
      <c r="M178" t="s">
        <v>78</v>
      </c>
      <c r="N178" t="s">
        <v>79</v>
      </c>
      <c r="O178" t="s">
        <v>74</v>
      </c>
      <c r="P178" t="s">
        <v>74</v>
      </c>
      <c r="Q178" t="s">
        <v>74</v>
      </c>
      <c r="R178" t="s">
        <v>74</v>
      </c>
      <c r="S178" t="s">
        <v>74</v>
      </c>
      <c r="T178" t="s">
        <v>3630</v>
      </c>
      <c r="U178" t="s">
        <v>3631</v>
      </c>
      <c r="V178" t="s">
        <v>3632</v>
      </c>
      <c r="W178" t="s">
        <v>3633</v>
      </c>
      <c r="X178" t="s">
        <v>3634</v>
      </c>
      <c r="Y178" t="s">
        <v>3635</v>
      </c>
      <c r="Z178" t="s">
        <v>3636</v>
      </c>
      <c r="AA178" t="s">
        <v>74</v>
      </c>
      <c r="AB178" t="s">
        <v>3637</v>
      </c>
      <c r="AC178" t="s">
        <v>3638</v>
      </c>
      <c r="AD178" t="s">
        <v>3639</v>
      </c>
      <c r="AE178" t="s">
        <v>3640</v>
      </c>
      <c r="AF178" t="s">
        <v>74</v>
      </c>
      <c r="AG178">
        <v>39</v>
      </c>
      <c r="AH178">
        <v>0</v>
      </c>
      <c r="AI178">
        <v>0</v>
      </c>
      <c r="AJ178">
        <v>1</v>
      </c>
      <c r="AK178">
        <v>1</v>
      </c>
      <c r="AL178" t="s">
        <v>3629</v>
      </c>
      <c r="AM178" t="s">
        <v>3641</v>
      </c>
      <c r="AN178" t="s">
        <v>3642</v>
      </c>
      <c r="AO178" t="s">
        <v>3643</v>
      </c>
      <c r="AP178" t="s">
        <v>3644</v>
      </c>
      <c r="AQ178" t="s">
        <v>74</v>
      </c>
      <c r="AR178" t="s">
        <v>3645</v>
      </c>
      <c r="AS178" t="s">
        <v>3646</v>
      </c>
      <c r="AT178" t="s">
        <v>124</v>
      </c>
      <c r="AU178">
        <v>2022</v>
      </c>
      <c r="AV178">
        <v>15</v>
      </c>
      <c r="AW178">
        <v>6</v>
      </c>
      <c r="AX178" t="s">
        <v>74</v>
      </c>
      <c r="AY178" t="s">
        <v>74</v>
      </c>
      <c r="AZ178" t="s">
        <v>74</v>
      </c>
      <c r="BA178" t="s">
        <v>74</v>
      </c>
      <c r="BB178">
        <v>1550</v>
      </c>
      <c r="BC178">
        <v>1556</v>
      </c>
      <c r="BD178" t="s">
        <v>74</v>
      </c>
      <c r="BE178" t="s">
        <v>3647</v>
      </c>
      <c r="BF178" t="str">
        <f>HYPERLINK("http://dx.doi.org/10.14202/vetworld.2022.1550-1556","http://dx.doi.org/10.14202/vetworld.2022.1550-1556")</f>
        <v>http://dx.doi.org/10.14202/vetworld.2022.1550-1556</v>
      </c>
      <c r="BG178" t="s">
        <v>74</v>
      </c>
      <c r="BH178" t="s">
        <v>74</v>
      </c>
      <c r="BI178">
        <v>7</v>
      </c>
      <c r="BJ178" t="s">
        <v>3648</v>
      </c>
      <c r="BK178" t="s">
        <v>180</v>
      </c>
      <c r="BL178" t="s">
        <v>3649</v>
      </c>
      <c r="BM178" t="s">
        <v>3650</v>
      </c>
      <c r="BN178">
        <v>35993084</v>
      </c>
      <c r="BO178" t="s">
        <v>103</v>
      </c>
      <c r="BP178" t="s">
        <v>74</v>
      </c>
      <c r="BQ178" t="s">
        <v>74</v>
      </c>
      <c r="BR178" t="s">
        <v>104</v>
      </c>
      <c r="BS178" t="s">
        <v>3651</v>
      </c>
      <c r="BT178" t="str">
        <f>HYPERLINK("https%3A%2F%2Fwww.webofscience.com%2Fwos%2Fwoscc%2Ffull-record%2FWOS:000819240100001","View Full Record in Web of Science")</f>
        <v>View Full Record in Web of Science</v>
      </c>
    </row>
    <row r="179" spans="1:72" x14ac:dyDescent="0.25">
      <c r="A179" t="s">
        <v>72</v>
      </c>
      <c r="B179" t="s">
        <v>3652</v>
      </c>
      <c r="C179" t="s">
        <v>74</v>
      </c>
      <c r="D179" t="s">
        <v>74</v>
      </c>
      <c r="E179" t="s">
        <v>74</v>
      </c>
      <c r="F179" t="s">
        <v>3653</v>
      </c>
      <c r="G179" t="s">
        <v>74</v>
      </c>
      <c r="H179" t="s">
        <v>74</v>
      </c>
      <c r="I179" t="s">
        <v>3654</v>
      </c>
      <c r="J179" t="s">
        <v>3655</v>
      </c>
      <c r="K179" t="s">
        <v>74</v>
      </c>
      <c r="L179" t="s">
        <v>74</v>
      </c>
      <c r="M179" t="s">
        <v>78</v>
      </c>
      <c r="N179" t="s">
        <v>79</v>
      </c>
      <c r="O179" t="s">
        <v>74</v>
      </c>
      <c r="P179" t="s">
        <v>74</v>
      </c>
      <c r="Q179" t="s">
        <v>74</v>
      </c>
      <c r="R179" t="s">
        <v>74</v>
      </c>
      <c r="S179" t="s">
        <v>74</v>
      </c>
      <c r="T179" t="s">
        <v>3656</v>
      </c>
      <c r="U179" t="s">
        <v>3657</v>
      </c>
      <c r="V179" t="s">
        <v>3658</v>
      </c>
      <c r="W179" t="s">
        <v>3659</v>
      </c>
      <c r="X179" t="s">
        <v>2995</v>
      </c>
      <c r="Y179" t="s">
        <v>3660</v>
      </c>
      <c r="Z179" t="s">
        <v>3661</v>
      </c>
      <c r="AA179" t="s">
        <v>74</v>
      </c>
      <c r="AB179" t="s">
        <v>74</v>
      </c>
      <c r="AC179" t="s">
        <v>74</v>
      </c>
      <c r="AD179" t="s">
        <v>74</v>
      </c>
      <c r="AE179" t="s">
        <v>74</v>
      </c>
      <c r="AF179" t="s">
        <v>74</v>
      </c>
      <c r="AG179">
        <v>44</v>
      </c>
      <c r="AH179">
        <v>0</v>
      </c>
      <c r="AI179">
        <v>0</v>
      </c>
      <c r="AJ179">
        <v>1</v>
      </c>
      <c r="AK179">
        <v>1</v>
      </c>
      <c r="AL179" t="s">
        <v>3662</v>
      </c>
      <c r="AM179" t="s">
        <v>3663</v>
      </c>
      <c r="AN179" t="s">
        <v>3664</v>
      </c>
      <c r="AO179" t="s">
        <v>3665</v>
      </c>
      <c r="AP179" t="s">
        <v>3666</v>
      </c>
      <c r="AQ179" t="s">
        <v>74</v>
      </c>
      <c r="AR179" t="s">
        <v>3667</v>
      </c>
      <c r="AS179" t="s">
        <v>3668</v>
      </c>
      <c r="AT179" t="s">
        <v>74</v>
      </c>
      <c r="AU179">
        <v>2022</v>
      </c>
      <c r="AV179">
        <v>12</v>
      </c>
      <c r="AW179">
        <v>5</v>
      </c>
      <c r="AX179" t="s">
        <v>74</v>
      </c>
      <c r="AY179" t="s">
        <v>74</v>
      </c>
      <c r="AZ179" t="s">
        <v>74</v>
      </c>
      <c r="BA179" t="s">
        <v>74</v>
      </c>
      <c r="BB179">
        <v>668</v>
      </c>
      <c r="BC179">
        <v>675</v>
      </c>
      <c r="BD179" t="s">
        <v>74</v>
      </c>
      <c r="BE179" t="s">
        <v>3669</v>
      </c>
      <c r="BF179" t="str">
        <f>HYPERLINK("http://dx.doi.org/10.5455/OVJ.2022.v12.i5.11","http://dx.doi.org/10.5455/OVJ.2022.v12.i5.11")</f>
        <v>http://dx.doi.org/10.5455/OVJ.2022.v12.i5.11</v>
      </c>
      <c r="BG179" t="s">
        <v>74</v>
      </c>
      <c r="BH179" t="s">
        <v>74</v>
      </c>
      <c r="BI179">
        <v>8</v>
      </c>
      <c r="BJ179" t="s">
        <v>1181</v>
      </c>
      <c r="BK179" t="s">
        <v>180</v>
      </c>
      <c r="BL179" t="s">
        <v>1181</v>
      </c>
      <c r="BM179" t="s">
        <v>3670</v>
      </c>
      <c r="BN179">
        <v>36589398</v>
      </c>
      <c r="BO179" t="s">
        <v>129</v>
      </c>
      <c r="BP179" t="s">
        <v>74</v>
      </c>
      <c r="BQ179" t="s">
        <v>74</v>
      </c>
      <c r="BR179" t="s">
        <v>104</v>
      </c>
      <c r="BS179" t="s">
        <v>3671</v>
      </c>
      <c r="BT179" t="str">
        <f>HYPERLINK("https%3A%2F%2Fwww.webofscience.com%2Fwos%2Fwoscc%2Ffull-record%2FWOS:000869542400002","View Full Record in Web of Science")</f>
        <v>View Full Record in Web of Science</v>
      </c>
    </row>
    <row r="180" spans="1:72" x14ac:dyDescent="0.25">
      <c r="A180" t="s">
        <v>72</v>
      </c>
      <c r="B180" t="s">
        <v>3672</v>
      </c>
      <c r="C180" t="s">
        <v>74</v>
      </c>
      <c r="D180" t="s">
        <v>74</v>
      </c>
      <c r="E180" t="s">
        <v>74</v>
      </c>
      <c r="F180" t="s">
        <v>3673</v>
      </c>
      <c r="G180" t="s">
        <v>74</v>
      </c>
      <c r="H180" t="s">
        <v>74</v>
      </c>
      <c r="I180" t="s">
        <v>3674</v>
      </c>
      <c r="J180" t="s">
        <v>3675</v>
      </c>
      <c r="K180" t="s">
        <v>74</v>
      </c>
      <c r="L180" t="s">
        <v>74</v>
      </c>
      <c r="M180" t="s">
        <v>78</v>
      </c>
      <c r="N180" t="s">
        <v>1816</v>
      </c>
      <c r="O180" t="s">
        <v>74</v>
      </c>
      <c r="P180" t="s">
        <v>74</v>
      </c>
      <c r="Q180" t="s">
        <v>74</v>
      </c>
      <c r="R180" t="s">
        <v>74</v>
      </c>
      <c r="S180" t="s">
        <v>74</v>
      </c>
      <c r="T180" t="s">
        <v>3676</v>
      </c>
      <c r="U180" t="s">
        <v>74</v>
      </c>
      <c r="V180" t="s">
        <v>74</v>
      </c>
      <c r="W180" t="s">
        <v>3677</v>
      </c>
      <c r="X180" t="s">
        <v>84</v>
      </c>
      <c r="Y180" t="s">
        <v>3678</v>
      </c>
      <c r="Z180" t="s">
        <v>3679</v>
      </c>
      <c r="AA180" t="s">
        <v>74</v>
      </c>
      <c r="AB180" t="s">
        <v>74</v>
      </c>
      <c r="AC180" t="s">
        <v>74</v>
      </c>
      <c r="AD180" t="s">
        <v>74</v>
      </c>
      <c r="AE180" t="s">
        <v>74</v>
      </c>
      <c r="AF180" t="s">
        <v>74</v>
      </c>
      <c r="AG180">
        <v>5</v>
      </c>
      <c r="AH180">
        <v>0</v>
      </c>
      <c r="AI180">
        <v>0</v>
      </c>
      <c r="AJ180">
        <v>1</v>
      </c>
      <c r="AK180">
        <v>1</v>
      </c>
      <c r="AL180" t="s">
        <v>485</v>
      </c>
      <c r="AM180" t="s">
        <v>486</v>
      </c>
      <c r="AN180" t="s">
        <v>487</v>
      </c>
      <c r="AO180" t="s">
        <v>3680</v>
      </c>
      <c r="AP180" t="s">
        <v>74</v>
      </c>
      <c r="AQ180" t="s">
        <v>74</v>
      </c>
      <c r="AR180" t="s">
        <v>3681</v>
      </c>
      <c r="AS180" t="s">
        <v>3682</v>
      </c>
      <c r="AT180" t="s">
        <v>124</v>
      </c>
      <c r="AU180">
        <v>2022</v>
      </c>
      <c r="AV180">
        <v>43</v>
      </c>
      <c r="AW180" t="s">
        <v>74</v>
      </c>
      <c r="AX180" t="s">
        <v>74</v>
      </c>
      <c r="AY180" t="s">
        <v>74</v>
      </c>
      <c r="AZ180" t="s">
        <v>74</v>
      </c>
      <c r="BA180" t="s">
        <v>74</v>
      </c>
      <c r="BB180" t="s">
        <v>74</v>
      </c>
      <c r="BC180" t="s">
        <v>74</v>
      </c>
      <c r="BD180">
        <v>100477</v>
      </c>
      <c r="BE180" t="s">
        <v>3683</v>
      </c>
      <c r="BF180" t="str">
        <f>HYPERLINK("http://dx.doi.org/10.1016/j.ijso.2022.100477","http://dx.doi.org/10.1016/j.ijso.2022.100477")</f>
        <v>http://dx.doi.org/10.1016/j.ijso.2022.100477</v>
      </c>
      <c r="BG180" t="s">
        <v>74</v>
      </c>
      <c r="BH180" t="s">
        <v>1225</v>
      </c>
      <c r="BI180">
        <v>2</v>
      </c>
      <c r="BJ180" t="s">
        <v>3684</v>
      </c>
      <c r="BK180" t="s">
        <v>180</v>
      </c>
      <c r="BL180" t="s">
        <v>3684</v>
      </c>
      <c r="BM180" t="s">
        <v>3685</v>
      </c>
      <c r="BN180" t="s">
        <v>74</v>
      </c>
      <c r="BO180" t="s">
        <v>183</v>
      </c>
      <c r="BP180" t="s">
        <v>74</v>
      </c>
      <c r="BQ180" t="s">
        <v>74</v>
      </c>
      <c r="BR180" t="s">
        <v>104</v>
      </c>
      <c r="BS180" t="s">
        <v>3686</v>
      </c>
      <c r="BT180" t="str">
        <f>HYPERLINK("https%3A%2F%2Fwww.webofscience.com%2Fwos%2Fwoscc%2Ffull-record%2FWOS:000832842200002","View Full Record in Web of Science")</f>
        <v>View Full Record in Web of Science</v>
      </c>
    </row>
    <row r="181" spans="1:72" x14ac:dyDescent="0.25">
      <c r="A181" t="s">
        <v>72</v>
      </c>
      <c r="B181" t="s">
        <v>3687</v>
      </c>
      <c r="C181" t="s">
        <v>74</v>
      </c>
      <c r="D181" t="s">
        <v>74</v>
      </c>
      <c r="E181" t="s">
        <v>74</v>
      </c>
      <c r="F181" t="s">
        <v>3688</v>
      </c>
      <c r="G181" t="s">
        <v>74</v>
      </c>
      <c r="H181" t="s">
        <v>74</v>
      </c>
      <c r="I181" t="s">
        <v>3689</v>
      </c>
      <c r="J181" t="s">
        <v>3690</v>
      </c>
      <c r="K181" t="s">
        <v>74</v>
      </c>
      <c r="L181" t="s">
        <v>74</v>
      </c>
      <c r="M181" t="s">
        <v>78</v>
      </c>
      <c r="N181" t="s">
        <v>135</v>
      </c>
      <c r="O181" t="s">
        <v>74</v>
      </c>
      <c r="P181" t="s">
        <v>74</v>
      </c>
      <c r="Q181" t="s">
        <v>74</v>
      </c>
      <c r="R181" t="s">
        <v>74</v>
      </c>
      <c r="S181" t="s">
        <v>74</v>
      </c>
      <c r="T181" t="s">
        <v>3691</v>
      </c>
      <c r="U181" t="s">
        <v>3692</v>
      </c>
      <c r="V181" t="s">
        <v>3693</v>
      </c>
      <c r="W181" t="s">
        <v>3694</v>
      </c>
      <c r="X181" t="s">
        <v>3695</v>
      </c>
      <c r="Y181" t="s">
        <v>3696</v>
      </c>
      <c r="Z181" t="s">
        <v>3697</v>
      </c>
      <c r="AA181" t="s">
        <v>74</v>
      </c>
      <c r="AB181" t="s">
        <v>3698</v>
      </c>
      <c r="AC181" t="s">
        <v>74</v>
      </c>
      <c r="AD181" t="s">
        <v>74</v>
      </c>
      <c r="AE181" t="s">
        <v>74</v>
      </c>
      <c r="AF181" t="s">
        <v>74</v>
      </c>
      <c r="AG181">
        <v>50</v>
      </c>
      <c r="AH181">
        <v>0</v>
      </c>
      <c r="AI181">
        <v>0</v>
      </c>
      <c r="AJ181">
        <v>0</v>
      </c>
      <c r="AK181">
        <v>2</v>
      </c>
      <c r="AL181" t="s">
        <v>613</v>
      </c>
      <c r="AM181" t="s">
        <v>614</v>
      </c>
      <c r="AN181" t="s">
        <v>615</v>
      </c>
      <c r="AO181" t="s">
        <v>3699</v>
      </c>
      <c r="AP181" t="s">
        <v>3700</v>
      </c>
      <c r="AQ181" t="s">
        <v>74</v>
      </c>
      <c r="AR181" t="s">
        <v>3701</v>
      </c>
      <c r="AS181" t="s">
        <v>3702</v>
      </c>
      <c r="AT181" t="s">
        <v>74</v>
      </c>
      <c r="AU181" t="s">
        <v>74</v>
      </c>
      <c r="AV181" t="s">
        <v>74</v>
      </c>
      <c r="AW181" t="s">
        <v>74</v>
      </c>
      <c r="AX181" t="s">
        <v>74</v>
      </c>
      <c r="AY181" t="s">
        <v>74</v>
      </c>
      <c r="AZ181" t="s">
        <v>74</v>
      </c>
      <c r="BA181" t="s">
        <v>74</v>
      </c>
      <c r="BB181" t="s">
        <v>74</v>
      </c>
      <c r="BC181" t="s">
        <v>74</v>
      </c>
      <c r="BD181" t="s">
        <v>74</v>
      </c>
      <c r="BE181" t="s">
        <v>3703</v>
      </c>
      <c r="BF181" t="str">
        <f>HYPERLINK("http://dx.doi.org/10.1080/01650521.2022.2035119","http://dx.doi.org/10.1080/01650521.2022.2035119")</f>
        <v>http://dx.doi.org/10.1080/01650521.2022.2035119</v>
      </c>
      <c r="BG181" t="s">
        <v>74</v>
      </c>
      <c r="BH181" t="s">
        <v>233</v>
      </c>
      <c r="BI181">
        <v>13</v>
      </c>
      <c r="BJ181" t="s">
        <v>1274</v>
      </c>
      <c r="BK181" t="s">
        <v>101</v>
      </c>
      <c r="BL181" t="s">
        <v>1274</v>
      </c>
      <c r="BM181" t="s">
        <v>3704</v>
      </c>
      <c r="BN181" t="s">
        <v>74</v>
      </c>
      <c r="BO181" t="s">
        <v>74</v>
      </c>
      <c r="BP181" t="s">
        <v>74</v>
      </c>
      <c r="BQ181" t="s">
        <v>74</v>
      </c>
      <c r="BR181" t="s">
        <v>104</v>
      </c>
      <c r="BS181" t="s">
        <v>3705</v>
      </c>
      <c r="BT181" t="str">
        <f>HYPERLINK("https%3A%2F%2Fwww.webofscience.com%2Fwos%2Fwoscc%2Ffull-record%2FWOS:000769585000001","View Full Record in Web of Science")</f>
        <v>View Full Record in Web of Science</v>
      </c>
    </row>
    <row r="182" spans="1:72" x14ac:dyDescent="0.25">
      <c r="A182" t="s">
        <v>72</v>
      </c>
      <c r="B182" t="s">
        <v>3706</v>
      </c>
      <c r="C182" t="s">
        <v>74</v>
      </c>
      <c r="D182" t="s">
        <v>74</v>
      </c>
      <c r="E182" t="s">
        <v>74</v>
      </c>
      <c r="F182" t="s">
        <v>3707</v>
      </c>
      <c r="G182" t="s">
        <v>74</v>
      </c>
      <c r="H182" t="s">
        <v>74</v>
      </c>
      <c r="I182" t="s">
        <v>3708</v>
      </c>
      <c r="J182" t="s">
        <v>644</v>
      </c>
      <c r="K182" t="s">
        <v>74</v>
      </c>
      <c r="L182" t="s">
        <v>74</v>
      </c>
      <c r="M182" t="s">
        <v>78</v>
      </c>
      <c r="N182" t="s">
        <v>79</v>
      </c>
      <c r="O182" t="s">
        <v>74</v>
      </c>
      <c r="P182" t="s">
        <v>74</v>
      </c>
      <c r="Q182" t="s">
        <v>74</v>
      </c>
      <c r="R182" t="s">
        <v>74</v>
      </c>
      <c r="S182" t="s">
        <v>74</v>
      </c>
      <c r="T182" t="s">
        <v>3709</v>
      </c>
      <c r="U182" t="s">
        <v>3710</v>
      </c>
      <c r="V182" t="s">
        <v>3711</v>
      </c>
      <c r="W182" t="s">
        <v>3712</v>
      </c>
      <c r="X182" t="s">
        <v>3713</v>
      </c>
      <c r="Y182" t="s">
        <v>3714</v>
      </c>
      <c r="Z182" t="s">
        <v>3715</v>
      </c>
      <c r="AA182" t="s">
        <v>3716</v>
      </c>
      <c r="AB182" t="s">
        <v>3717</v>
      </c>
      <c r="AC182" t="s">
        <v>74</v>
      </c>
      <c r="AD182" t="s">
        <v>74</v>
      </c>
      <c r="AE182" t="s">
        <v>74</v>
      </c>
      <c r="AF182" t="s">
        <v>74</v>
      </c>
      <c r="AG182">
        <v>58</v>
      </c>
      <c r="AH182">
        <v>0</v>
      </c>
      <c r="AI182">
        <v>0</v>
      </c>
      <c r="AJ182">
        <v>2</v>
      </c>
      <c r="AK182">
        <v>2</v>
      </c>
      <c r="AL182" t="s">
        <v>644</v>
      </c>
      <c r="AM182" t="s">
        <v>654</v>
      </c>
      <c r="AN182" t="s">
        <v>655</v>
      </c>
      <c r="AO182" t="s">
        <v>656</v>
      </c>
      <c r="AP182" t="s">
        <v>657</v>
      </c>
      <c r="AQ182" t="s">
        <v>74</v>
      </c>
      <c r="AR182" t="s">
        <v>658</v>
      </c>
      <c r="AS182" t="s">
        <v>659</v>
      </c>
      <c r="AT182" t="s">
        <v>660</v>
      </c>
      <c r="AU182">
        <v>2022</v>
      </c>
      <c r="AV182">
        <v>70</v>
      </c>
      <c r="AW182" t="s">
        <v>74</v>
      </c>
      <c r="AX182" t="s">
        <v>74</v>
      </c>
      <c r="AY182" t="s">
        <v>74</v>
      </c>
      <c r="AZ182" t="s">
        <v>74</v>
      </c>
      <c r="BA182" t="s">
        <v>74</v>
      </c>
      <c r="BB182">
        <v>464</v>
      </c>
      <c r="BC182">
        <v>481</v>
      </c>
      <c r="BD182" t="s">
        <v>74</v>
      </c>
      <c r="BE182" t="s">
        <v>3718</v>
      </c>
      <c r="BF182" t="str">
        <f>HYPERLINK("http://dx.doi.org/10.15517/rev.biol.trop.2022.49776","http://dx.doi.org/10.15517/rev.biol.trop.2022.49776")</f>
        <v>http://dx.doi.org/10.15517/rev.biol.trop.2022.49776</v>
      </c>
      <c r="BG182" t="s">
        <v>74</v>
      </c>
      <c r="BH182" t="s">
        <v>74</v>
      </c>
      <c r="BI182">
        <v>18</v>
      </c>
      <c r="BJ182" t="s">
        <v>662</v>
      </c>
      <c r="BK182" t="s">
        <v>101</v>
      </c>
      <c r="BL182" t="s">
        <v>663</v>
      </c>
      <c r="BM182" t="s">
        <v>3719</v>
      </c>
      <c r="BN182" t="s">
        <v>74</v>
      </c>
      <c r="BO182" t="s">
        <v>74</v>
      </c>
      <c r="BP182" t="s">
        <v>74</v>
      </c>
      <c r="BQ182" t="s">
        <v>74</v>
      </c>
      <c r="BR182" t="s">
        <v>104</v>
      </c>
      <c r="BS182" t="s">
        <v>3720</v>
      </c>
      <c r="BT182" t="str">
        <f>HYPERLINK("https%3A%2F%2Fwww.webofscience.com%2Fwos%2Fwoscc%2Ffull-record%2FWOS:000826774400002","View Full Record in Web of Science")</f>
        <v>View Full Record in Web of Science</v>
      </c>
    </row>
    <row r="183" spans="1:72" x14ac:dyDescent="0.25">
      <c r="A183" t="s">
        <v>72</v>
      </c>
      <c r="B183" t="s">
        <v>3721</v>
      </c>
      <c r="C183" t="s">
        <v>74</v>
      </c>
      <c r="D183" t="s">
        <v>74</v>
      </c>
      <c r="E183" t="s">
        <v>74</v>
      </c>
      <c r="F183" t="s">
        <v>3722</v>
      </c>
      <c r="G183" t="s">
        <v>74</v>
      </c>
      <c r="H183" t="s">
        <v>74</v>
      </c>
      <c r="I183" t="s">
        <v>3723</v>
      </c>
      <c r="J183" t="s">
        <v>474</v>
      </c>
      <c r="K183" t="s">
        <v>74</v>
      </c>
      <c r="L183" t="s">
        <v>74</v>
      </c>
      <c r="M183" t="s">
        <v>78</v>
      </c>
      <c r="N183" t="s">
        <v>79</v>
      </c>
      <c r="O183" t="s">
        <v>74</v>
      </c>
      <c r="P183" t="s">
        <v>74</v>
      </c>
      <c r="Q183" t="s">
        <v>74</v>
      </c>
      <c r="R183" t="s">
        <v>74</v>
      </c>
      <c r="S183" t="s">
        <v>74</v>
      </c>
      <c r="T183" t="s">
        <v>3724</v>
      </c>
      <c r="U183" t="s">
        <v>3725</v>
      </c>
      <c r="V183" t="s">
        <v>3726</v>
      </c>
      <c r="W183" t="s">
        <v>3727</v>
      </c>
      <c r="X183" t="s">
        <v>3728</v>
      </c>
      <c r="Y183" t="s">
        <v>3729</v>
      </c>
      <c r="Z183" t="s">
        <v>3730</v>
      </c>
      <c r="AA183" t="s">
        <v>2171</v>
      </c>
      <c r="AB183" t="s">
        <v>3731</v>
      </c>
      <c r="AC183" t="s">
        <v>74</v>
      </c>
      <c r="AD183" t="s">
        <v>74</v>
      </c>
      <c r="AE183" t="s">
        <v>74</v>
      </c>
      <c r="AF183" t="s">
        <v>74</v>
      </c>
      <c r="AG183">
        <v>32</v>
      </c>
      <c r="AH183">
        <v>0</v>
      </c>
      <c r="AI183">
        <v>0</v>
      </c>
      <c r="AJ183">
        <v>1</v>
      </c>
      <c r="AK183">
        <v>1</v>
      </c>
      <c r="AL183" t="s">
        <v>485</v>
      </c>
      <c r="AM183" t="s">
        <v>486</v>
      </c>
      <c r="AN183" t="s">
        <v>487</v>
      </c>
      <c r="AO183" t="s">
        <v>74</v>
      </c>
      <c r="AP183" t="s">
        <v>488</v>
      </c>
      <c r="AQ183" t="s">
        <v>74</v>
      </c>
      <c r="AR183" t="s">
        <v>474</v>
      </c>
      <c r="AS183" t="s">
        <v>489</v>
      </c>
      <c r="AT183" t="s">
        <v>752</v>
      </c>
      <c r="AU183">
        <v>2022</v>
      </c>
      <c r="AV183">
        <v>8</v>
      </c>
      <c r="AW183">
        <v>2</v>
      </c>
      <c r="AX183" t="s">
        <v>74</v>
      </c>
      <c r="AY183" t="s">
        <v>74</v>
      </c>
      <c r="AZ183" t="s">
        <v>74</v>
      </c>
      <c r="BA183" t="s">
        <v>74</v>
      </c>
      <c r="BB183" t="s">
        <v>74</v>
      </c>
      <c r="BC183" t="s">
        <v>74</v>
      </c>
      <c r="BD183" t="s">
        <v>3732</v>
      </c>
      <c r="BE183" t="s">
        <v>3733</v>
      </c>
      <c r="BF183" t="str">
        <f>HYPERLINK("http://dx.doi.org/10.1016/j.heliyon.2022.e08978","http://dx.doi.org/10.1016/j.heliyon.2022.e08978")</f>
        <v>http://dx.doi.org/10.1016/j.heliyon.2022.e08978</v>
      </c>
      <c r="BG183" t="s">
        <v>74</v>
      </c>
      <c r="BH183" t="s">
        <v>881</v>
      </c>
      <c r="BI183">
        <v>5</v>
      </c>
      <c r="BJ183" t="s">
        <v>493</v>
      </c>
      <c r="BK183" t="s">
        <v>284</v>
      </c>
      <c r="BL183" t="s">
        <v>494</v>
      </c>
      <c r="BM183" t="s">
        <v>3734</v>
      </c>
      <c r="BN183">
        <v>35243096</v>
      </c>
      <c r="BO183" t="s">
        <v>129</v>
      </c>
      <c r="BP183" t="s">
        <v>74</v>
      </c>
      <c r="BQ183" t="s">
        <v>74</v>
      </c>
      <c r="BR183" t="s">
        <v>104</v>
      </c>
      <c r="BS183" t="s">
        <v>3735</v>
      </c>
      <c r="BT183" t="str">
        <f>HYPERLINK("https%3A%2F%2Fwww.webofscience.com%2Fwos%2Fwoscc%2Ffull-record%2FWOS:000767225100142","View Full Record in Web of Science")</f>
        <v>View Full Record in Web of Science</v>
      </c>
    </row>
    <row r="184" spans="1:72" x14ac:dyDescent="0.25">
      <c r="A184" t="s">
        <v>72</v>
      </c>
      <c r="B184" t="s">
        <v>3736</v>
      </c>
      <c r="C184" t="s">
        <v>74</v>
      </c>
      <c r="D184" t="s">
        <v>74</v>
      </c>
      <c r="E184" t="s">
        <v>74</v>
      </c>
      <c r="F184" t="s">
        <v>3737</v>
      </c>
      <c r="G184" t="s">
        <v>74</v>
      </c>
      <c r="H184" t="s">
        <v>74</v>
      </c>
      <c r="I184" t="s">
        <v>3738</v>
      </c>
      <c r="J184" t="s">
        <v>1995</v>
      </c>
      <c r="K184" t="s">
        <v>74</v>
      </c>
      <c r="L184" t="s">
        <v>74</v>
      </c>
      <c r="M184" t="s">
        <v>1234</v>
      </c>
      <c r="N184" t="s">
        <v>3739</v>
      </c>
      <c r="O184" t="s">
        <v>74</v>
      </c>
      <c r="P184" t="s">
        <v>74</v>
      </c>
      <c r="Q184" t="s">
        <v>74</v>
      </c>
      <c r="R184" t="s">
        <v>74</v>
      </c>
      <c r="S184" t="s">
        <v>74</v>
      </c>
      <c r="T184" t="s">
        <v>74</v>
      </c>
      <c r="U184" t="s">
        <v>74</v>
      </c>
      <c r="V184" t="s">
        <v>74</v>
      </c>
      <c r="W184" t="s">
        <v>3740</v>
      </c>
      <c r="X184" t="s">
        <v>84</v>
      </c>
      <c r="Y184" t="s">
        <v>3741</v>
      </c>
      <c r="Z184" t="s">
        <v>3742</v>
      </c>
      <c r="AA184" t="s">
        <v>74</v>
      </c>
      <c r="AB184" t="s">
        <v>74</v>
      </c>
      <c r="AC184" t="s">
        <v>74</v>
      </c>
      <c r="AD184" t="s">
        <v>74</v>
      </c>
      <c r="AE184" t="s">
        <v>74</v>
      </c>
      <c r="AF184" t="s">
        <v>74</v>
      </c>
      <c r="AG184">
        <v>17</v>
      </c>
      <c r="AH184">
        <v>0</v>
      </c>
      <c r="AI184">
        <v>0</v>
      </c>
      <c r="AJ184">
        <v>0</v>
      </c>
      <c r="AK184">
        <v>0</v>
      </c>
      <c r="AL184" t="s">
        <v>1391</v>
      </c>
      <c r="AM184" t="s">
        <v>1392</v>
      </c>
      <c r="AN184" t="s">
        <v>1393</v>
      </c>
      <c r="AO184" t="s">
        <v>2001</v>
      </c>
      <c r="AP184" t="s">
        <v>2002</v>
      </c>
      <c r="AQ184" t="s">
        <v>74</v>
      </c>
      <c r="AR184" t="s">
        <v>2003</v>
      </c>
      <c r="AS184" t="s">
        <v>2004</v>
      </c>
      <c r="AT184" t="s">
        <v>74</v>
      </c>
      <c r="AU184">
        <v>2022</v>
      </c>
      <c r="AV184">
        <v>39</v>
      </c>
      <c r="AW184" t="s">
        <v>74</v>
      </c>
      <c r="AX184" t="s">
        <v>74</v>
      </c>
      <c r="AY184" t="s">
        <v>74</v>
      </c>
      <c r="AZ184" t="s">
        <v>74</v>
      </c>
      <c r="BA184" t="s">
        <v>74</v>
      </c>
      <c r="BB184" t="s">
        <v>74</v>
      </c>
      <c r="BC184" t="s">
        <v>74</v>
      </c>
      <c r="BD184" t="s">
        <v>3743</v>
      </c>
      <c r="BE184" t="s">
        <v>3744</v>
      </c>
      <c r="BF184" t="str">
        <f>HYPERLINK("http://dx.doi.org/10.19053/0121053X.n39.2022.14026","http://dx.doi.org/10.19053/0121053X.n39.2022.14026")</f>
        <v>http://dx.doi.org/10.19053/0121053X.n39.2022.14026</v>
      </c>
      <c r="BG184" t="s">
        <v>74</v>
      </c>
      <c r="BH184" t="s">
        <v>74</v>
      </c>
      <c r="BI184">
        <v>9</v>
      </c>
      <c r="BJ184" t="s">
        <v>2007</v>
      </c>
      <c r="BK184" t="s">
        <v>180</v>
      </c>
      <c r="BL184" t="s">
        <v>2007</v>
      </c>
      <c r="BM184" t="s">
        <v>3745</v>
      </c>
      <c r="BN184" t="s">
        <v>74</v>
      </c>
      <c r="BO184" t="s">
        <v>183</v>
      </c>
      <c r="BP184" t="s">
        <v>74</v>
      </c>
      <c r="BQ184" t="s">
        <v>74</v>
      </c>
      <c r="BR184" t="s">
        <v>104</v>
      </c>
      <c r="BS184" t="s">
        <v>3746</v>
      </c>
      <c r="BT184" t="str">
        <f>HYPERLINK("https%3A%2F%2Fwww.webofscience.com%2Fwos%2Fwoscc%2Ffull-record%2FWOS:000767790500001","View Full Record in Web of Science")</f>
        <v>View Full Record in Web of Science</v>
      </c>
    </row>
    <row r="185" spans="1:72" x14ac:dyDescent="0.25">
      <c r="A185" t="s">
        <v>72</v>
      </c>
      <c r="B185" t="s">
        <v>3747</v>
      </c>
      <c r="C185" t="s">
        <v>74</v>
      </c>
      <c r="D185" t="s">
        <v>74</v>
      </c>
      <c r="E185" t="s">
        <v>74</v>
      </c>
      <c r="F185" t="s">
        <v>3748</v>
      </c>
      <c r="G185" t="s">
        <v>74</v>
      </c>
      <c r="H185" t="s">
        <v>74</v>
      </c>
      <c r="I185" t="s">
        <v>3749</v>
      </c>
      <c r="J185" t="s">
        <v>3750</v>
      </c>
      <c r="K185" t="s">
        <v>74</v>
      </c>
      <c r="L185" t="s">
        <v>74</v>
      </c>
      <c r="M185" t="s">
        <v>78</v>
      </c>
      <c r="N185" t="s">
        <v>79</v>
      </c>
      <c r="O185" t="s">
        <v>74</v>
      </c>
      <c r="P185" t="s">
        <v>74</v>
      </c>
      <c r="Q185" t="s">
        <v>74</v>
      </c>
      <c r="R185" t="s">
        <v>74</v>
      </c>
      <c r="S185" t="s">
        <v>74</v>
      </c>
      <c r="T185" t="s">
        <v>3751</v>
      </c>
      <c r="U185" t="s">
        <v>3752</v>
      </c>
      <c r="V185" t="s">
        <v>3753</v>
      </c>
      <c r="W185" t="s">
        <v>3754</v>
      </c>
      <c r="X185" t="s">
        <v>3755</v>
      </c>
      <c r="Y185" t="s">
        <v>3756</v>
      </c>
      <c r="Z185" t="s">
        <v>3757</v>
      </c>
      <c r="AA185" t="s">
        <v>74</v>
      </c>
      <c r="AB185" t="s">
        <v>3758</v>
      </c>
      <c r="AC185" t="s">
        <v>3759</v>
      </c>
      <c r="AD185" t="s">
        <v>3760</v>
      </c>
      <c r="AE185" t="s">
        <v>3761</v>
      </c>
      <c r="AF185" t="s">
        <v>74</v>
      </c>
      <c r="AG185">
        <v>33</v>
      </c>
      <c r="AH185">
        <v>0</v>
      </c>
      <c r="AI185">
        <v>0</v>
      </c>
      <c r="AJ185">
        <v>2</v>
      </c>
      <c r="AK185">
        <v>2</v>
      </c>
      <c r="AL185" t="s">
        <v>251</v>
      </c>
      <c r="AM185" t="s">
        <v>252</v>
      </c>
      <c r="AN185" t="s">
        <v>253</v>
      </c>
      <c r="AO185" t="s">
        <v>3762</v>
      </c>
      <c r="AP185" t="s">
        <v>3763</v>
      </c>
      <c r="AQ185" t="s">
        <v>74</v>
      </c>
      <c r="AR185" t="s">
        <v>3764</v>
      </c>
      <c r="AS185" t="s">
        <v>3765</v>
      </c>
      <c r="AT185" t="s">
        <v>3766</v>
      </c>
      <c r="AU185">
        <v>2022</v>
      </c>
      <c r="AV185">
        <v>433</v>
      </c>
      <c r="AW185" t="s">
        <v>74</v>
      </c>
      <c r="AX185" t="s">
        <v>74</v>
      </c>
      <c r="AY185" t="s">
        <v>74</v>
      </c>
      <c r="AZ185" t="s">
        <v>74</v>
      </c>
      <c r="BA185" t="s">
        <v>74</v>
      </c>
      <c r="BB185" t="s">
        <v>74</v>
      </c>
      <c r="BC185" t="s">
        <v>74</v>
      </c>
      <c r="BD185">
        <v>128019</v>
      </c>
      <c r="BE185" t="s">
        <v>3767</v>
      </c>
      <c r="BF185" t="str">
        <f>HYPERLINK("http://dx.doi.org/10.1016/j.physleta.2022.128019","http://dx.doi.org/10.1016/j.physleta.2022.128019")</f>
        <v>http://dx.doi.org/10.1016/j.physleta.2022.128019</v>
      </c>
      <c r="BG185" t="s">
        <v>74</v>
      </c>
      <c r="BH185" t="s">
        <v>233</v>
      </c>
      <c r="BI185">
        <v>9</v>
      </c>
      <c r="BJ185" t="s">
        <v>710</v>
      </c>
      <c r="BK185" t="s">
        <v>101</v>
      </c>
      <c r="BL185" t="s">
        <v>711</v>
      </c>
      <c r="BM185" t="s">
        <v>3768</v>
      </c>
      <c r="BN185" t="s">
        <v>74</v>
      </c>
      <c r="BO185" t="s">
        <v>74</v>
      </c>
      <c r="BP185" t="s">
        <v>74</v>
      </c>
      <c r="BQ185" t="s">
        <v>74</v>
      </c>
      <c r="BR185" t="s">
        <v>104</v>
      </c>
      <c r="BS185" t="s">
        <v>3769</v>
      </c>
      <c r="BT185" t="str">
        <f>HYPERLINK("https%3A%2F%2Fwww.webofscience.com%2Fwos%2Fwoscc%2Ffull-record%2FWOS:000840124600001","View Full Record in Web of Science")</f>
        <v>View Full Record in Web of Science</v>
      </c>
    </row>
    <row r="186" spans="1:72" x14ac:dyDescent="0.25">
      <c r="A186" t="s">
        <v>72</v>
      </c>
      <c r="B186" t="s">
        <v>3770</v>
      </c>
      <c r="C186" t="s">
        <v>74</v>
      </c>
      <c r="D186" t="s">
        <v>74</v>
      </c>
      <c r="E186" t="s">
        <v>74</v>
      </c>
      <c r="F186" t="s">
        <v>3771</v>
      </c>
      <c r="G186" t="s">
        <v>74</v>
      </c>
      <c r="H186" t="s">
        <v>74</v>
      </c>
      <c r="I186" t="s">
        <v>3772</v>
      </c>
      <c r="J186" t="s">
        <v>3773</v>
      </c>
      <c r="K186" t="s">
        <v>74</v>
      </c>
      <c r="L186" t="s">
        <v>74</v>
      </c>
      <c r="M186" t="s">
        <v>78</v>
      </c>
      <c r="N186" t="s">
        <v>135</v>
      </c>
      <c r="O186" t="s">
        <v>74</v>
      </c>
      <c r="P186" t="s">
        <v>74</v>
      </c>
      <c r="Q186" t="s">
        <v>74</v>
      </c>
      <c r="R186" t="s">
        <v>74</v>
      </c>
      <c r="S186" t="s">
        <v>74</v>
      </c>
      <c r="T186" t="s">
        <v>3774</v>
      </c>
      <c r="U186" t="s">
        <v>3775</v>
      </c>
      <c r="V186" t="s">
        <v>3776</v>
      </c>
      <c r="W186" t="s">
        <v>3777</v>
      </c>
      <c r="X186" t="s">
        <v>3778</v>
      </c>
      <c r="Y186" t="s">
        <v>3779</v>
      </c>
      <c r="Z186" t="s">
        <v>3780</v>
      </c>
      <c r="AA186" t="s">
        <v>3781</v>
      </c>
      <c r="AB186" t="s">
        <v>3782</v>
      </c>
      <c r="AC186" t="s">
        <v>3783</v>
      </c>
      <c r="AD186" t="s">
        <v>3784</v>
      </c>
      <c r="AE186" t="s">
        <v>3785</v>
      </c>
      <c r="AF186" t="s">
        <v>74</v>
      </c>
      <c r="AG186">
        <v>32</v>
      </c>
      <c r="AH186">
        <v>0</v>
      </c>
      <c r="AI186">
        <v>0</v>
      </c>
      <c r="AJ186">
        <v>1</v>
      </c>
      <c r="AK186">
        <v>1</v>
      </c>
      <c r="AL186" t="s">
        <v>146</v>
      </c>
      <c r="AM186" t="s">
        <v>147</v>
      </c>
      <c r="AN186" t="s">
        <v>148</v>
      </c>
      <c r="AO186" t="s">
        <v>3786</v>
      </c>
      <c r="AP186" t="s">
        <v>3787</v>
      </c>
      <c r="AQ186" t="s">
        <v>74</v>
      </c>
      <c r="AR186" t="s">
        <v>3788</v>
      </c>
      <c r="AS186" t="s">
        <v>3789</v>
      </c>
      <c r="AT186" t="s">
        <v>74</v>
      </c>
      <c r="AU186" t="s">
        <v>74</v>
      </c>
      <c r="AV186" t="s">
        <v>74</v>
      </c>
      <c r="AW186" t="s">
        <v>74</v>
      </c>
      <c r="AX186" t="s">
        <v>74</v>
      </c>
      <c r="AY186" t="s">
        <v>74</v>
      </c>
      <c r="AZ186" t="s">
        <v>74</v>
      </c>
      <c r="BA186" t="s">
        <v>74</v>
      </c>
      <c r="BB186" t="s">
        <v>74</v>
      </c>
      <c r="BC186" t="s">
        <v>74</v>
      </c>
      <c r="BD186" t="s">
        <v>74</v>
      </c>
      <c r="BE186" t="s">
        <v>3790</v>
      </c>
      <c r="BF186" t="str">
        <f>HYPERLINK("http://dx.doi.org/10.1007/s10639-022-11172-8","http://dx.doi.org/10.1007/s10639-022-11172-8")</f>
        <v>http://dx.doi.org/10.1007/s10639-022-11172-8</v>
      </c>
      <c r="BG186" t="s">
        <v>74</v>
      </c>
      <c r="BH186" t="s">
        <v>492</v>
      </c>
      <c r="BI186">
        <v>21</v>
      </c>
      <c r="BJ186" t="s">
        <v>1601</v>
      </c>
      <c r="BK186" t="s">
        <v>3791</v>
      </c>
      <c r="BL186" t="s">
        <v>1601</v>
      </c>
      <c r="BM186" t="s">
        <v>3792</v>
      </c>
      <c r="BN186" t="s">
        <v>74</v>
      </c>
      <c r="BO186" t="s">
        <v>74</v>
      </c>
      <c r="BP186" t="s">
        <v>74</v>
      </c>
      <c r="BQ186" t="s">
        <v>74</v>
      </c>
      <c r="BR186" t="s">
        <v>104</v>
      </c>
      <c r="BS186" t="s">
        <v>3793</v>
      </c>
      <c r="BT186" t="str">
        <f>HYPERLINK("https%3A%2F%2Fwww.webofscience.com%2Fwos%2Fwoscc%2Ffull-record%2FWOS:000818610100005","View Full Record in Web of Science")</f>
        <v>View Full Record in Web of Science</v>
      </c>
    </row>
    <row r="187" spans="1:72" x14ac:dyDescent="0.25">
      <c r="A187" t="s">
        <v>72</v>
      </c>
      <c r="B187" t="s">
        <v>3794</v>
      </c>
      <c r="C187" t="s">
        <v>74</v>
      </c>
      <c r="D187" t="s">
        <v>74</v>
      </c>
      <c r="E187" t="s">
        <v>74</v>
      </c>
      <c r="F187" t="s">
        <v>3795</v>
      </c>
      <c r="G187" t="s">
        <v>74</v>
      </c>
      <c r="H187" t="s">
        <v>74</v>
      </c>
      <c r="I187" t="s">
        <v>3796</v>
      </c>
      <c r="J187" t="s">
        <v>2523</v>
      </c>
      <c r="K187" t="s">
        <v>74</v>
      </c>
      <c r="L187" t="s">
        <v>74</v>
      </c>
      <c r="M187" t="s">
        <v>1234</v>
      </c>
      <c r="N187" t="s">
        <v>79</v>
      </c>
      <c r="O187" t="s">
        <v>74</v>
      </c>
      <c r="P187" t="s">
        <v>74</v>
      </c>
      <c r="Q187" t="s">
        <v>74</v>
      </c>
      <c r="R187" t="s">
        <v>74</v>
      </c>
      <c r="S187" t="s">
        <v>74</v>
      </c>
      <c r="T187" t="s">
        <v>3797</v>
      </c>
      <c r="U187" t="s">
        <v>74</v>
      </c>
      <c r="V187" t="s">
        <v>3798</v>
      </c>
      <c r="W187" t="s">
        <v>3799</v>
      </c>
      <c r="X187" t="s">
        <v>74</v>
      </c>
      <c r="Y187" t="s">
        <v>3800</v>
      </c>
      <c r="Z187" t="s">
        <v>3801</v>
      </c>
      <c r="AA187" t="s">
        <v>74</v>
      </c>
      <c r="AB187" t="s">
        <v>74</v>
      </c>
      <c r="AC187" t="s">
        <v>74</v>
      </c>
      <c r="AD187" t="s">
        <v>74</v>
      </c>
      <c r="AE187" t="s">
        <v>74</v>
      </c>
      <c r="AF187" t="s">
        <v>74</v>
      </c>
      <c r="AG187">
        <v>49</v>
      </c>
      <c r="AH187">
        <v>0</v>
      </c>
      <c r="AI187">
        <v>0</v>
      </c>
      <c r="AJ187">
        <v>1</v>
      </c>
      <c r="AK187">
        <v>1</v>
      </c>
      <c r="AL187" t="s">
        <v>1391</v>
      </c>
      <c r="AM187" t="s">
        <v>1392</v>
      </c>
      <c r="AN187" t="s">
        <v>1393</v>
      </c>
      <c r="AO187" t="s">
        <v>2530</v>
      </c>
      <c r="AP187" t="s">
        <v>2531</v>
      </c>
      <c r="AQ187" t="s">
        <v>74</v>
      </c>
      <c r="AR187" t="s">
        <v>2532</v>
      </c>
      <c r="AS187" t="s">
        <v>2533</v>
      </c>
      <c r="AT187" t="s">
        <v>74</v>
      </c>
      <c r="AU187">
        <v>2022</v>
      </c>
      <c r="AV187">
        <v>27</v>
      </c>
      <c r="AW187">
        <v>2</v>
      </c>
      <c r="AX187" t="s">
        <v>74</v>
      </c>
      <c r="AY187" t="s">
        <v>74</v>
      </c>
      <c r="AZ187" t="s">
        <v>74</v>
      </c>
      <c r="BA187" t="s">
        <v>74</v>
      </c>
      <c r="BB187" t="s">
        <v>74</v>
      </c>
      <c r="BC187" t="s">
        <v>74</v>
      </c>
      <c r="BD187" t="s">
        <v>74</v>
      </c>
      <c r="BE187" t="s">
        <v>3802</v>
      </c>
      <c r="BF187" t="str">
        <f>HYPERLINK("http://dx.doi.org/10.19053/01233769.13568","http://dx.doi.org/10.19053/01233769.13568")</f>
        <v>http://dx.doi.org/10.19053/01233769.13568</v>
      </c>
      <c r="BG187" t="s">
        <v>74</v>
      </c>
      <c r="BH187" t="s">
        <v>74</v>
      </c>
      <c r="BI187">
        <v>46</v>
      </c>
      <c r="BJ187" t="s">
        <v>1141</v>
      </c>
      <c r="BK187" t="s">
        <v>180</v>
      </c>
      <c r="BL187" t="s">
        <v>1141</v>
      </c>
      <c r="BM187" t="s">
        <v>3803</v>
      </c>
      <c r="BN187" t="s">
        <v>74</v>
      </c>
      <c r="BO187" t="s">
        <v>183</v>
      </c>
      <c r="BP187" t="s">
        <v>74</v>
      </c>
      <c r="BQ187" t="s">
        <v>74</v>
      </c>
      <c r="BR187" t="s">
        <v>104</v>
      </c>
      <c r="BS187" t="s">
        <v>3804</v>
      </c>
      <c r="BT187" t="str">
        <f>HYPERLINK("https%3A%2F%2Fwww.webofscience.com%2Fwos%2Fwoscc%2Ffull-record%2FWOS:000877868500003","View Full Record in Web of Science")</f>
        <v>View Full Record in Web of Science</v>
      </c>
    </row>
    <row r="188" spans="1:72" x14ac:dyDescent="0.25">
      <c r="A188" t="s">
        <v>72</v>
      </c>
      <c r="B188" t="s">
        <v>3805</v>
      </c>
      <c r="C188" t="s">
        <v>74</v>
      </c>
      <c r="D188" t="s">
        <v>74</v>
      </c>
      <c r="E188" t="s">
        <v>74</v>
      </c>
      <c r="F188" t="s">
        <v>3806</v>
      </c>
      <c r="G188" t="s">
        <v>74</v>
      </c>
      <c r="H188" t="s">
        <v>74</v>
      </c>
      <c r="I188" t="s">
        <v>3807</v>
      </c>
      <c r="J188" t="s">
        <v>3808</v>
      </c>
      <c r="K188" t="s">
        <v>74</v>
      </c>
      <c r="L188" t="s">
        <v>74</v>
      </c>
      <c r="M188" t="s">
        <v>78</v>
      </c>
      <c r="N188" t="s">
        <v>162</v>
      </c>
      <c r="O188" t="s">
        <v>74</v>
      </c>
      <c r="P188" t="s">
        <v>74</v>
      </c>
      <c r="Q188" t="s">
        <v>74</v>
      </c>
      <c r="R188" t="s">
        <v>74</v>
      </c>
      <c r="S188" t="s">
        <v>74</v>
      </c>
      <c r="T188" t="s">
        <v>3809</v>
      </c>
      <c r="U188" t="s">
        <v>3810</v>
      </c>
      <c r="V188" t="s">
        <v>3811</v>
      </c>
      <c r="W188" t="s">
        <v>3812</v>
      </c>
      <c r="X188" t="s">
        <v>84</v>
      </c>
      <c r="Y188" t="s">
        <v>3813</v>
      </c>
      <c r="Z188" t="s">
        <v>3814</v>
      </c>
      <c r="AA188" t="s">
        <v>3815</v>
      </c>
      <c r="AB188" t="s">
        <v>3816</v>
      </c>
      <c r="AC188" t="s">
        <v>3817</v>
      </c>
      <c r="AD188" t="s">
        <v>3818</v>
      </c>
      <c r="AE188" t="s">
        <v>3819</v>
      </c>
      <c r="AF188" t="s">
        <v>74</v>
      </c>
      <c r="AG188">
        <v>70</v>
      </c>
      <c r="AH188">
        <v>2</v>
      </c>
      <c r="AI188">
        <v>2</v>
      </c>
      <c r="AJ188">
        <v>6</v>
      </c>
      <c r="AK188">
        <v>6</v>
      </c>
      <c r="AL188" t="s">
        <v>3820</v>
      </c>
      <c r="AM188" t="s">
        <v>3821</v>
      </c>
      <c r="AN188" t="s">
        <v>3822</v>
      </c>
      <c r="AO188" t="s">
        <v>74</v>
      </c>
      <c r="AP188" t="s">
        <v>3823</v>
      </c>
      <c r="AQ188" t="s">
        <v>74</v>
      </c>
      <c r="AR188" t="s">
        <v>3824</v>
      </c>
      <c r="AS188" t="s">
        <v>3825</v>
      </c>
      <c r="AT188" t="s">
        <v>74</v>
      </c>
      <c r="AU188">
        <v>2022</v>
      </c>
      <c r="AV188">
        <v>8</v>
      </c>
      <c r="AW188">
        <v>6</v>
      </c>
      <c r="AX188" t="s">
        <v>74</v>
      </c>
      <c r="AY188" t="s">
        <v>74</v>
      </c>
      <c r="AZ188" t="s">
        <v>74</v>
      </c>
      <c r="BA188" t="s">
        <v>74</v>
      </c>
      <c r="BB188">
        <v>593</v>
      </c>
      <c r="BC188">
        <v>603</v>
      </c>
      <c r="BD188" t="s">
        <v>74</v>
      </c>
      <c r="BE188" t="s">
        <v>3826</v>
      </c>
      <c r="BF188" t="str">
        <f>HYPERLINK("http://dx.doi.org/10.3920/JIFF2021.0148","http://dx.doi.org/10.3920/JIFF2021.0148")</f>
        <v>http://dx.doi.org/10.3920/JIFF2021.0148</v>
      </c>
      <c r="BG188" t="s">
        <v>74</v>
      </c>
      <c r="BH188" t="s">
        <v>74</v>
      </c>
      <c r="BI188">
        <v>11</v>
      </c>
      <c r="BJ188" t="s">
        <v>3827</v>
      </c>
      <c r="BK188" t="s">
        <v>101</v>
      </c>
      <c r="BL188" t="s">
        <v>3828</v>
      </c>
      <c r="BM188" t="s">
        <v>3829</v>
      </c>
      <c r="BN188" t="s">
        <v>74</v>
      </c>
      <c r="BO188" t="s">
        <v>74</v>
      </c>
      <c r="BP188" t="s">
        <v>74</v>
      </c>
      <c r="BQ188" t="s">
        <v>74</v>
      </c>
      <c r="BR188" t="s">
        <v>104</v>
      </c>
      <c r="BS188" t="s">
        <v>3830</v>
      </c>
      <c r="BT188" t="str">
        <f>HYPERLINK("https%3A%2F%2Fwww.webofscience.com%2Fwos%2Fwoscc%2Ffull-record%2FWOS:000824446700001","View Full Record in Web of Science")</f>
        <v>View Full Record in Web of Science</v>
      </c>
    </row>
    <row r="189" spans="1:72" x14ac:dyDescent="0.25">
      <c r="A189" t="s">
        <v>72</v>
      </c>
      <c r="B189" t="s">
        <v>3831</v>
      </c>
      <c r="C189" t="s">
        <v>74</v>
      </c>
      <c r="D189" t="s">
        <v>74</v>
      </c>
      <c r="E189" t="s">
        <v>74</v>
      </c>
      <c r="F189" t="s">
        <v>3832</v>
      </c>
      <c r="G189" t="s">
        <v>74</v>
      </c>
      <c r="H189" t="s">
        <v>74</v>
      </c>
      <c r="I189" t="s">
        <v>3833</v>
      </c>
      <c r="J189" t="s">
        <v>644</v>
      </c>
      <c r="K189" t="s">
        <v>74</v>
      </c>
      <c r="L189" t="s">
        <v>74</v>
      </c>
      <c r="M189" t="s">
        <v>78</v>
      </c>
      <c r="N189" t="s">
        <v>79</v>
      </c>
      <c r="O189" t="s">
        <v>74</v>
      </c>
      <c r="P189" t="s">
        <v>74</v>
      </c>
      <c r="Q189" t="s">
        <v>74</v>
      </c>
      <c r="R189" t="s">
        <v>74</v>
      </c>
      <c r="S189" t="s">
        <v>74</v>
      </c>
      <c r="T189" t="s">
        <v>3834</v>
      </c>
      <c r="U189" t="s">
        <v>3835</v>
      </c>
      <c r="V189" t="s">
        <v>3836</v>
      </c>
      <c r="W189" t="s">
        <v>3837</v>
      </c>
      <c r="X189" t="s">
        <v>3838</v>
      </c>
      <c r="Y189" t="s">
        <v>3839</v>
      </c>
      <c r="Z189" t="s">
        <v>3840</v>
      </c>
      <c r="AA189" t="s">
        <v>74</v>
      </c>
      <c r="AB189" t="s">
        <v>3841</v>
      </c>
      <c r="AC189" t="s">
        <v>3842</v>
      </c>
      <c r="AD189" t="s">
        <v>3843</v>
      </c>
      <c r="AE189" t="s">
        <v>3844</v>
      </c>
      <c r="AF189" t="s">
        <v>74</v>
      </c>
      <c r="AG189">
        <v>74</v>
      </c>
      <c r="AH189">
        <v>0</v>
      </c>
      <c r="AI189">
        <v>0</v>
      </c>
      <c r="AJ189">
        <v>0</v>
      </c>
      <c r="AK189">
        <v>0</v>
      </c>
      <c r="AL189" t="s">
        <v>644</v>
      </c>
      <c r="AM189" t="s">
        <v>654</v>
      </c>
      <c r="AN189" t="s">
        <v>655</v>
      </c>
      <c r="AO189" t="s">
        <v>656</v>
      </c>
      <c r="AP189" t="s">
        <v>657</v>
      </c>
      <c r="AQ189" t="s">
        <v>74</v>
      </c>
      <c r="AR189" t="s">
        <v>658</v>
      </c>
      <c r="AS189" t="s">
        <v>659</v>
      </c>
      <c r="AT189" t="s">
        <v>660</v>
      </c>
      <c r="AU189">
        <v>2022</v>
      </c>
      <c r="AV189">
        <v>70</v>
      </c>
      <c r="AW189" t="s">
        <v>74</v>
      </c>
      <c r="AX189" t="s">
        <v>74</v>
      </c>
      <c r="AY189" t="s">
        <v>74</v>
      </c>
      <c r="AZ189" t="s">
        <v>74</v>
      </c>
      <c r="BA189" t="s">
        <v>74</v>
      </c>
      <c r="BB189">
        <v>132</v>
      </c>
      <c r="BC189">
        <v>148</v>
      </c>
      <c r="BD189" t="s">
        <v>74</v>
      </c>
      <c r="BE189" t="s">
        <v>3845</v>
      </c>
      <c r="BF189" t="str">
        <f>HYPERLINK("http://dx.doi.org/10.15517/rev.biol.trop..v70i1.47504","http://dx.doi.org/10.15517/rev.biol.trop..v70i1.47504")</f>
        <v>http://dx.doi.org/10.15517/rev.biol.trop..v70i1.47504</v>
      </c>
      <c r="BG189" t="s">
        <v>74</v>
      </c>
      <c r="BH189" t="s">
        <v>74</v>
      </c>
      <c r="BI189">
        <v>17</v>
      </c>
      <c r="BJ189" t="s">
        <v>662</v>
      </c>
      <c r="BK189" t="s">
        <v>101</v>
      </c>
      <c r="BL189" t="s">
        <v>663</v>
      </c>
      <c r="BM189" t="s">
        <v>3846</v>
      </c>
      <c r="BN189" t="s">
        <v>74</v>
      </c>
      <c r="BO189" t="s">
        <v>183</v>
      </c>
      <c r="BP189" t="s">
        <v>74</v>
      </c>
      <c r="BQ189" t="s">
        <v>74</v>
      </c>
      <c r="BR189" t="s">
        <v>104</v>
      </c>
      <c r="BS189" t="s">
        <v>3847</v>
      </c>
      <c r="BT189" t="str">
        <f>HYPERLINK("https%3A%2F%2Fwww.webofscience.com%2Fwos%2Fwoscc%2Ffull-record%2FWOS:000819933100001","View Full Record in Web of Science")</f>
        <v>View Full Record in Web of Science</v>
      </c>
    </row>
    <row r="190" spans="1:72" x14ac:dyDescent="0.25">
      <c r="A190" t="s">
        <v>72</v>
      </c>
      <c r="B190" t="s">
        <v>3848</v>
      </c>
      <c r="C190" t="s">
        <v>74</v>
      </c>
      <c r="D190" t="s">
        <v>74</v>
      </c>
      <c r="E190" t="s">
        <v>74</v>
      </c>
      <c r="F190" t="s">
        <v>3849</v>
      </c>
      <c r="G190" t="s">
        <v>74</v>
      </c>
      <c r="H190" t="s">
        <v>74</v>
      </c>
      <c r="I190" t="s">
        <v>3850</v>
      </c>
      <c r="J190" t="s">
        <v>3015</v>
      </c>
      <c r="K190" t="s">
        <v>74</v>
      </c>
      <c r="L190" t="s">
        <v>74</v>
      </c>
      <c r="M190" t="s">
        <v>78</v>
      </c>
      <c r="N190" t="s">
        <v>79</v>
      </c>
      <c r="O190" t="s">
        <v>74</v>
      </c>
      <c r="P190" t="s">
        <v>74</v>
      </c>
      <c r="Q190" t="s">
        <v>74</v>
      </c>
      <c r="R190" t="s">
        <v>74</v>
      </c>
      <c r="S190" t="s">
        <v>74</v>
      </c>
      <c r="T190" t="s">
        <v>3851</v>
      </c>
      <c r="U190" t="s">
        <v>3852</v>
      </c>
      <c r="V190" t="s">
        <v>3853</v>
      </c>
      <c r="W190" t="s">
        <v>3854</v>
      </c>
      <c r="X190" t="s">
        <v>3855</v>
      </c>
      <c r="Y190" t="s">
        <v>3856</v>
      </c>
      <c r="Z190" t="s">
        <v>3857</v>
      </c>
      <c r="AA190" t="s">
        <v>74</v>
      </c>
      <c r="AB190" t="s">
        <v>3858</v>
      </c>
      <c r="AC190" t="s">
        <v>3859</v>
      </c>
      <c r="AD190" t="s">
        <v>3859</v>
      </c>
      <c r="AE190" t="s">
        <v>3860</v>
      </c>
      <c r="AF190" t="s">
        <v>74</v>
      </c>
      <c r="AG190">
        <v>107</v>
      </c>
      <c r="AH190">
        <v>0</v>
      </c>
      <c r="AI190">
        <v>0</v>
      </c>
      <c r="AJ190">
        <v>4</v>
      </c>
      <c r="AK190">
        <v>5</v>
      </c>
      <c r="AL190" t="s">
        <v>92</v>
      </c>
      <c r="AM190" t="s">
        <v>93</v>
      </c>
      <c r="AN190" t="s">
        <v>94</v>
      </c>
      <c r="AO190" t="s">
        <v>74</v>
      </c>
      <c r="AP190" t="s">
        <v>3026</v>
      </c>
      <c r="AQ190" t="s">
        <v>74</v>
      </c>
      <c r="AR190" t="s">
        <v>3015</v>
      </c>
      <c r="AS190" t="s">
        <v>3027</v>
      </c>
      <c r="AT190" t="s">
        <v>3139</v>
      </c>
      <c r="AU190">
        <v>2022</v>
      </c>
      <c r="AV190">
        <v>12</v>
      </c>
      <c r="AW190">
        <v>5</v>
      </c>
      <c r="AX190" t="s">
        <v>74</v>
      </c>
      <c r="AY190" t="s">
        <v>74</v>
      </c>
      <c r="AZ190" t="s">
        <v>74</v>
      </c>
      <c r="BA190" t="s">
        <v>74</v>
      </c>
      <c r="BB190" t="s">
        <v>74</v>
      </c>
      <c r="BC190" t="s">
        <v>74</v>
      </c>
      <c r="BD190">
        <v>1159</v>
      </c>
      <c r="BE190" t="s">
        <v>3861</v>
      </c>
      <c r="BF190" t="str">
        <f>HYPERLINK("http://dx.doi.org/10.3390/agronomy12051159","http://dx.doi.org/10.3390/agronomy12051159")</f>
        <v>http://dx.doi.org/10.3390/agronomy12051159</v>
      </c>
      <c r="BG190" t="s">
        <v>74</v>
      </c>
      <c r="BH190" t="s">
        <v>74</v>
      </c>
      <c r="BI190">
        <v>15</v>
      </c>
      <c r="BJ190" t="s">
        <v>1684</v>
      </c>
      <c r="BK190" t="s">
        <v>101</v>
      </c>
      <c r="BL190" t="s">
        <v>1685</v>
      </c>
      <c r="BM190" t="s">
        <v>3862</v>
      </c>
      <c r="BN190" t="s">
        <v>74</v>
      </c>
      <c r="BO190" t="s">
        <v>183</v>
      </c>
      <c r="BP190" t="s">
        <v>74</v>
      </c>
      <c r="BQ190" t="s">
        <v>74</v>
      </c>
      <c r="BR190" t="s">
        <v>104</v>
      </c>
      <c r="BS190" t="s">
        <v>3863</v>
      </c>
      <c r="BT190" t="str">
        <f>HYPERLINK("https%3A%2F%2Fwww.webofscience.com%2Fwos%2Fwoscc%2Ffull-record%2FWOS:000801923100001","View Full Record in Web of Science")</f>
        <v>View Full Record in Web of Science</v>
      </c>
    </row>
    <row r="191" spans="1:72" x14ac:dyDescent="0.25">
      <c r="A191" t="s">
        <v>72</v>
      </c>
      <c r="B191" t="s">
        <v>3864</v>
      </c>
      <c r="C191" t="s">
        <v>74</v>
      </c>
      <c r="D191" t="s">
        <v>74</v>
      </c>
      <c r="E191" t="s">
        <v>74</v>
      </c>
      <c r="F191" t="s">
        <v>3865</v>
      </c>
      <c r="G191" t="s">
        <v>74</v>
      </c>
      <c r="H191" t="s">
        <v>74</v>
      </c>
      <c r="I191" t="s">
        <v>3866</v>
      </c>
      <c r="J191" t="s">
        <v>3867</v>
      </c>
      <c r="K191" t="s">
        <v>74</v>
      </c>
      <c r="L191" t="s">
        <v>74</v>
      </c>
      <c r="M191" t="s">
        <v>78</v>
      </c>
      <c r="N191" t="s">
        <v>79</v>
      </c>
      <c r="O191" t="s">
        <v>74</v>
      </c>
      <c r="P191" t="s">
        <v>74</v>
      </c>
      <c r="Q191" t="s">
        <v>74</v>
      </c>
      <c r="R191" t="s">
        <v>74</v>
      </c>
      <c r="S191" t="s">
        <v>74</v>
      </c>
      <c r="T191" t="s">
        <v>3868</v>
      </c>
      <c r="U191" t="s">
        <v>3869</v>
      </c>
      <c r="V191" t="s">
        <v>3870</v>
      </c>
      <c r="W191" t="s">
        <v>3871</v>
      </c>
      <c r="X191" t="s">
        <v>3872</v>
      </c>
      <c r="Y191" t="s">
        <v>3873</v>
      </c>
      <c r="Z191" t="s">
        <v>3243</v>
      </c>
      <c r="AA191" t="s">
        <v>3874</v>
      </c>
      <c r="AB191" t="s">
        <v>3875</v>
      </c>
      <c r="AC191" t="s">
        <v>74</v>
      </c>
      <c r="AD191" t="s">
        <v>74</v>
      </c>
      <c r="AE191" t="s">
        <v>74</v>
      </c>
      <c r="AF191" t="s">
        <v>74</v>
      </c>
      <c r="AG191">
        <v>103</v>
      </c>
      <c r="AH191">
        <v>1</v>
      </c>
      <c r="AI191">
        <v>1</v>
      </c>
      <c r="AJ191">
        <v>2</v>
      </c>
      <c r="AK191">
        <v>3</v>
      </c>
      <c r="AL191" t="s">
        <v>3876</v>
      </c>
      <c r="AM191" t="s">
        <v>3877</v>
      </c>
      <c r="AN191" t="s">
        <v>3878</v>
      </c>
      <c r="AO191" t="s">
        <v>3879</v>
      </c>
      <c r="AP191" t="s">
        <v>3880</v>
      </c>
      <c r="AQ191" t="s">
        <v>74</v>
      </c>
      <c r="AR191" t="s">
        <v>3881</v>
      </c>
      <c r="AS191" t="s">
        <v>3882</v>
      </c>
      <c r="AT191" t="s">
        <v>752</v>
      </c>
      <c r="AU191">
        <v>2022</v>
      </c>
      <c r="AV191">
        <v>65</v>
      </c>
      <c r="AW191" t="s">
        <v>74</v>
      </c>
      <c r="AX191" t="s">
        <v>74</v>
      </c>
      <c r="AY191" t="s">
        <v>74</v>
      </c>
      <c r="AZ191" t="s">
        <v>74</v>
      </c>
      <c r="BA191" t="s">
        <v>74</v>
      </c>
      <c r="BB191" t="s">
        <v>74</v>
      </c>
      <c r="BC191" t="s">
        <v>74</v>
      </c>
      <c r="BD191">
        <v>126120</v>
      </c>
      <c r="BE191" t="s">
        <v>3883</v>
      </c>
      <c r="BF191" t="str">
        <f>HYPERLINK("http://dx.doi.org/10.1016/j.jnc.2021.126120","http://dx.doi.org/10.1016/j.jnc.2021.126120")</f>
        <v>http://dx.doi.org/10.1016/j.jnc.2021.126120</v>
      </c>
      <c r="BG191" t="s">
        <v>74</v>
      </c>
      <c r="BH191" t="s">
        <v>74</v>
      </c>
      <c r="BI191">
        <v>12</v>
      </c>
      <c r="BJ191" t="s">
        <v>3884</v>
      </c>
      <c r="BK191" t="s">
        <v>101</v>
      </c>
      <c r="BL191" t="s">
        <v>3885</v>
      </c>
      <c r="BM191" t="s">
        <v>3886</v>
      </c>
      <c r="BN191" t="s">
        <v>74</v>
      </c>
      <c r="BO191" t="s">
        <v>2911</v>
      </c>
      <c r="BP191" t="s">
        <v>74</v>
      </c>
      <c r="BQ191" t="s">
        <v>74</v>
      </c>
      <c r="BR191" t="s">
        <v>104</v>
      </c>
      <c r="BS191" t="s">
        <v>3887</v>
      </c>
      <c r="BT191" t="str">
        <f>HYPERLINK("https%3A%2F%2Fwww.webofscience.com%2Fwos%2Fwoscc%2Ffull-record%2FWOS:000787891800011","View Full Record in Web of Science")</f>
        <v>View Full Record in Web of Science</v>
      </c>
    </row>
    <row r="192" spans="1:72" x14ac:dyDescent="0.25">
      <c r="A192" t="s">
        <v>72</v>
      </c>
      <c r="B192" t="s">
        <v>3888</v>
      </c>
      <c r="C192" t="s">
        <v>74</v>
      </c>
      <c r="D192" t="s">
        <v>74</v>
      </c>
      <c r="E192" t="s">
        <v>74</v>
      </c>
      <c r="F192" t="s">
        <v>3889</v>
      </c>
      <c r="G192" t="s">
        <v>74</v>
      </c>
      <c r="H192" t="s">
        <v>74</v>
      </c>
      <c r="I192" t="s">
        <v>3890</v>
      </c>
      <c r="J192" t="s">
        <v>267</v>
      </c>
      <c r="K192" t="s">
        <v>74</v>
      </c>
      <c r="L192" t="s">
        <v>74</v>
      </c>
      <c r="M192" t="s">
        <v>78</v>
      </c>
      <c r="N192" t="s">
        <v>79</v>
      </c>
      <c r="O192" t="s">
        <v>74</v>
      </c>
      <c r="P192" t="s">
        <v>74</v>
      </c>
      <c r="Q192" t="s">
        <v>74</v>
      </c>
      <c r="R192" t="s">
        <v>74</v>
      </c>
      <c r="S192" t="s">
        <v>74</v>
      </c>
      <c r="T192" t="s">
        <v>3891</v>
      </c>
      <c r="U192" t="s">
        <v>3892</v>
      </c>
      <c r="V192" t="s">
        <v>3893</v>
      </c>
      <c r="W192" t="s">
        <v>3894</v>
      </c>
      <c r="X192" t="s">
        <v>3895</v>
      </c>
      <c r="Y192" t="s">
        <v>3896</v>
      </c>
      <c r="Z192" t="s">
        <v>3897</v>
      </c>
      <c r="AA192" t="s">
        <v>3898</v>
      </c>
      <c r="AB192" t="s">
        <v>3899</v>
      </c>
      <c r="AC192" t="s">
        <v>74</v>
      </c>
      <c r="AD192" t="s">
        <v>74</v>
      </c>
      <c r="AE192" t="s">
        <v>74</v>
      </c>
      <c r="AF192" t="s">
        <v>74</v>
      </c>
      <c r="AG192">
        <v>98</v>
      </c>
      <c r="AH192">
        <v>0</v>
      </c>
      <c r="AI192">
        <v>0</v>
      </c>
      <c r="AJ192">
        <v>1</v>
      </c>
      <c r="AK192">
        <v>6</v>
      </c>
      <c r="AL192" t="s">
        <v>92</v>
      </c>
      <c r="AM192" t="s">
        <v>93</v>
      </c>
      <c r="AN192" t="s">
        <v>94</v>
      </c>
      <c r="AO192" t="s">
        <v>74</v>
      </c>
      <c r="AP192" t="s">
        <v>278</v>
      </c>
      <c r="AQ192" t="s">
        <v>74</v>
      </c>
      <c r="AR192" t="s">
        <v>279</v>
      </c>
      <c r="AS192" t="s">
        <v>280</v>
      </c>
      <c r="AT192" t="s">
        <v>752</v>
      </c>
      <c r="AU192">
        <v>2022</v>
      </c>
      <c r="AV192">
        <v>14</v>
      </c>
      <c r="AW192">
        <v>3</v>
      </c>
      <c r="AX192" t="s">
        <v>74</v>
      </c>
      <c r="AY192" t="s">
        <v>74</v>
      </c>
      <c r="AZ192" t="s">
        <v>74</v>
      </c>
      <c r="BA192" t="s">
        <v>74</v>
      </c>
      <c r="BB192" t="s">
        <v>74</v>
      </c>
      <c r="BC192" t="s">
        <v>74</v>
      </c>
      <c r="BD192">
        <v>1390</v>
      </c>
      <c r="BE192" t="s">
        <v>3900</v>
      </c>
      <c r="BF192" t="str">
        <f>HYPERLINK("http://dx.doi.org/10.3390/su14031390","http://dx.doi.org/10.3390/su14031390")</f>
        <v>http://dx.doi.org/10.3390/su14031390</v>
      </c>
      <c r="BG192" t="s">
        <v>74</v>
      </c>
      <c r="BH192" t="s">
        <v>74</v>
      </c>
      <c r="BI192">
        <v>23</v>
      </c>
      <c r="BJ192" t="s">
        <v>283</v>
      </c>
      <c r="BK192" t="s">
        <v>284</v>
      </c>
      <c r="BL192" t="s">
        <v>285</v>
      </c>
      <c r="BM192" t="s">
        <v>3901</v>
      </c>
      <c r="BN192" t="s">
        <v>74</v>
      </c>
      <c r="BO192" t="s">
        <v>103</v>
      </c>
      <c r="BP192" t="s">
        <v>74</v>
      </c>
      <c r="BQ192" t="s">
        <v>74</v>
      </c>
      <c r="BR192" t="s">
        <v>104</v>
      </c>
      <c r="BS192" t="s">
        <v>3902</v>
      </c>
      <c r="BT192" t="str">
        <f>HYPERLINK("https%3A%2F%2Fwww.webofscience.com%2Fwos%2Fwoscc%2Ffull-record%2FWOS:000779011600001","View Full Record in Web of Science")</f>
        <v>View Full Record in Web of Science</v>
      </c>
    </row>
    <row r="193" spans="1:72" x14ac:dyDescent="0.25">
      <c r="A193" t="s">
        <v>72</v>
      </c>
      <c r="B193" t="s">
        <v>3903</v>
      </c>
      <c r="C193" t="s">
        <v>74</v>
      </c>
      <c r="D193" t="s">
        <v>74</v>
      </c>
      <c r="E193" t="s">
        <v>74</v>
      </c>
      <c r="F193" t="s">
        <v>3904</v>
      </c>
      <c r="G193" t="s">
        <v>74</v>
      </c>
      <c r="H193" t="s">
        <v>74</v>
      </c>
      <c r="I193" t="s">
        <v>3905</v>
      </c>
      <c r="J193" t="s">
        <v>3906</v>
      </c>
      <c r="K193" t="s">
        <v>74</v>
      </c>
      <c r="L193" t="s">
        <v>74</v>
      </c>
      <c r="M193" t="s">
        <v>1234</v>
      </c>
      <c r="N193" t="s">
        <v>79</v>
      </c>
      <c r="O193" t="s">
        <v>74</v>
      </c>
      <c r="P193" t="s">
        <v>74</v>
      </c>
      <c r="Q193" t="s">
        <v>74</v>
      </c>
      <c r="R193" t="s">
        <v>74</v>
      </c>
      <c r="S193" t="s">
        <v>74</v>
      </c>
      <c r="T193" t="s">
        <v>74</v>
      </c>
      <c r="U193" t="s">
        <v>74</v>
      </c>
      <c r="V193" t="s">
        <v>3907</v>
      </c>
      <c r="W193" t="s">
        <v>3908</v>
      </c>
      <c r="X193" t="s">
        <v>84</v>
      </c>
      <c r="Y193" t="s">
        <v>3909</v>
      </c>
      <c r="Z193" t="s">
        <v>3910</v>
      </c>
      <c r="AA193" t="s">
        <v>74</v>
      </c>
      <c r="AB193" t="s">
        <v>3911</v>
      </c>
      <c r="AC193" t="s">
        <v>74</v>
      </c>
      <c r="AD193" t="s">
        <v>74</v>
      </c>
      <c r="AE193" t="s">
        <v>74</v>
      </c>
      <c r="AF193" t="s">
        <v>74</v>
      </c>
      <c r="AG193">
        <v>71</v>
      </c>
      <c r="AH193">
        <v>0</v>
      </c>
      <c r="AI193">
        <v>0</v>
      </c>
      <c r="AJ193">
        <v>1</v>
      </c>
      <c r="AK193">
        <v>1</v>
      </c>
      <c r="AL193" t="s">
        <v>3912</v>
      </c>
      <c r="AM193" t="s">
        <v>3913</v>
      </c>
      <c r="AN193" t="s">
        <v>3914</v>
      </c>
      <c r="AO193" t="s">
        <v>3915</v>
      </c>
      <c r="AP193" t="s">
        <v>3916</v>
      </c>
      <c r="AQ193" t="s">
        <v>74</v>
      </c>
      <c r="AR193" t="s">
        <v>3917</v>
      </c>
      <c r="AS193" t="s">
        <v>3918</v>
      </c>
      <c r="AT193" t="s">
        <v>1118</v>
      </c>
      <c r="AU193">
        <v>2022</v>
      </c>
      <c r="AV193">
        <v>29</v>
      </c>
      <c r="AW193">
        <v>1</v>
      </c>
      <c r="AX193" t="s">
        <v>74</v>
      </c>
      <c r="AY193" t="s">
        <v>74</v>
      </c>
      <c r="AZ193" t="s">
        <v>74</v>
      </c>
      <c r="BA193" t="s">
        <v>74</v>
      </c>
      <c r="BB193" t="s">
        <v>74</v>
      </c>
      <c r="BC193" t="s">
        <v>74</v>
      </c>
      <c r="BD193" t="s">
        <v>3919</v>
      </c>
      <c r="BE193" t="s">
        <v>3920</v>
      </c>
      <c r="BF193" t="str">
        <f>HYPERLINK("http://dx.doi.org/10.15381/rpb.v29i1.20887","http://dx.doi.org/10.15381/rpb.v29i1.20887")</f>
        <v>http://dx.doi.org/10.15381/rpb.v29i1.20887</v>
      </c>
      <c r="BG193" t="s">
        <v>74</v>
      </c>
      <c r="BH193" t="s">
        <v>74</v>
      </c>
      <c r="BI193">
        <v>10</v>
      </c>
      <c r="BJ193" t="s">
        <v>662</v>
      </c>
      <c r="BK193" t="s">
        <v>180</v>
      </c>
      <c r="BL193" t="s">
        <v>663</v>
      </c>
      <c r="BM193" t="s">
        <v>3921</v>
      </c>
      <c r="BN193" t="s">
        <v>74</v>
      </c>
      <c r="BO193" t="s">
        <v>183</v>
      </c>
      <c r="BP193" t="s">
        <v>74</v>
      </c>
      <c r="BQ193" t="s">
        <v>74</v>
      </c>
      <c r="BR193" t="s">
        <v>104</v>
      </c>
      <c r="BS193" t="s">
        <v>3922</v>
      </c>
      <c r="BT193" t="str">
        <f>HYPERLINK("https%3A%2F%2Fwww.webofscience.com%2Fwos%2Fwoscc%2Ffull-record%2FWOS:000772076300001","View Full Record in Web of Science")</f>
        <v>View Full Record in Web of Science</v>
      </c>
    </row>
    <row r="194" spans="1:72" x14ac:dyDescent="0.25">
      <c r="A194" t="s">
        <v>72</v>
      </c>
      <c r="B194" t="s">
        <v>3923</v>
      </c>
      <c r="C194" t="s">
        <v>74</v>
      </c>
      <c r="D194" t="s">
        <v>74</v>
      </c>
      <c r="E194" t="s">
        <v>74</v>
      </c>
      <c r="F194" t="s">
        <v>3924</v>
      </c>
      <c r="G194" t="s">
        <v>74</v>
      </c>
      <c r="H194" t="s">
        <v>74</v>
      </c>
      <c r="I194" t="s">
        <v>3925</v>
      </c>
      <c r="J194" t="s">
        <v>3926</v>
      </c>
      <c r="K194" t="s">
        <v>74</v>
      </c>
      <c r="L194" t="s">
        <v>74</v>
      </c>
      <c r="M194" t="s">
        <v>1234</v>
      </c>
      <c r="N194" t="s">
        <v>79</v>
      </c>
      <c r="O194" t="s">
        <v>74</v>
      </c>
      <c r="P194" t="s">
        <v>74</v>
      </c>
      <c r="Q194" t="s">
        <v>74</v>
      </c>
      <c r="R194" t="s">
        <v>74</v>
      </c>
      <c r="S194" t="s">
        <v>74</v>
      </c>
      <c r="T194" t="s">
        <v>3927</v>
      </c>
      <c r="U194" t="s">
        <v>3928</v>
      </c>
      <c r="V194" t="s">
        <v>3929</v>
      </c>
      <c r="W194" t="s">
        <v>3930</v>
      </c>
      <c r="X194" t="s">
        <v>3931</v>
      </c>
      <c r="Y194" t="s">
        <v>3932</v>
      </c>
      <c r="Z194" t="s">
        <v>3933</v>
      </c>
      <c r="AA194" t="s">
        <v>3934</v>
      </c>
      <c r="AB194" t="s">
        <v>3935</v>
      </c>
      <c r="AC194" t="s">
        <v>74</v>
      </c>
      <c r="AD194" t="s">
        <v>74</v>
      </c>
      <c r="AE194" t="s">
        <v>74</v>
      </c>
      <c r="AF194" t="s">
        <v>74</v>
      </c>
      <c r="AG194">
        <v>111</v>
      </c>
      <c r="AH194">
        <v>0</v>
      </c>
      <c r="AI194">
        <v>0</v>
      </c>
      <c r="AJ194">
        <v>3</v>
      </c>
      <c r="AK194">
        <v>4</v>
      </c>
      <c r="AL194" t="s">
        <v>3936</v>
      </c>
      <c r="AM194" t="s">
        <v>3937</v>
      </c>
      <c r="AN194" t="s">
        <v>3938</v>
      </c>
      <c r="AO194" t="s">
        <v>3939</v>
      </c>
      <c r="AP194" t="s">
        <v>3940</v>
      </c>
      <c r="AQ194" t="s">
        <v>74</v>
      </c>
      <c r="AR194" t="s">
        <v>3941</v>
      </c>
      <c r="AS194" t="s">
        <v>3942</v>
      </c>
      <c r="AT194" t="s">
        <v>1295</v>
      </c>
      <c r="AU194">
        <v>2022</v>
      </c>
      <c r="AV194">
        <v>25</v>
      </c>
      <c r="AW194">
        <v>1</v>
      </c>
      <c r="AX194" t="s">
        <v>74</v>
      </c>
      <c r="AY194" t="s">
        <v>74</v>
      </c>
      <c r="AZ194" t="s">
        <v>74</v>
      </c>
      <c r="BA194" t="s">
        <v>74</v>
      </c>
      <c r="BB194">
        <v>151</v>
      </c>
      <c r="BC194">
        <v>182</v>
      </c>
      <c r="BD194" t="s">
        <v>74</v>
      </c>
      <c r="BE194" t="s">
        <v>3943</v>
      </c>
      <c r="BF194" t="str">
        <f>HYPERLINK("http://dx.doi.org/10.14718/ACP.2022.25.1.11","http://dx.doi.org/10.14718/ACP.2022.25.1.11")</f>
        <v>http://dx.doi.org/10.14718/ACP.2022.25.1.11</v>
      </c>
      <c r="BG194" t="s">
        <v>74</v>
      </c>
      <c r="BH194" t="s">
        <v>74</v>
      </c>
      <c r="BI194">
        <v>32</v>
      </c>
      <c r="BJ194" t="s">
        <v>3944</v>
      </c>
      <c r="BK194" t="s">
        <v>180</v>
      </c>
      <c r="BL194" t="s">
        <v>1543</v>
      </c>
      <c r="BM194" t="s">
        <v>3945</v>
      </c>
      <c r="BN194" t="s">
        <v>74</v>
      </c>
      <c r="BO194" t="s">
        <v>383</v>
      </c>
      <c r="BP194" t="s">
        <v>74</v>
      </c>
      <c r="BQ194" t="s">
        <v>74</v>
      </c>
      <c r="BR194" t="s">
        <v>104</v>
      </c>
      <c r="BS194" t="s">
        <v>3946</v>
      </c>
      <c r="BT194" t="str">
        <f>HYPERLINK("https%3A%2F%2Fwww.webofscience.com%2Fwos%2Fwoscc%2Ffull-record%2FWOS:000802183200010","View Full Record in Web of Science")</f>
        <v>View Full Record in Web of Science</v>
      </c>
    </row>
    <row r="195" spans="1:72" x14ac:dyDescent="0.25">
      <c r="A195" t="s">
        <v>72</v>
      </c>
      <c r="B195" t="s">
        <v>3947</v>
      </c>
      <c r="C195" t="s">
        <v>74</v>
      </c>
      <c r="D195" t="s">
        <v>74</v>
      </c>
      <c r="E195" t="s">
        <v>74</v>
      </c>
      <c r="F195" t="s">
        <v>3948</v>
      </c>
      <c r="G195" t="s">
        <v>74</v>
      </c>
      <c r="H195" t="s">
        <v>74</v>
      </c>
      <c r="I195" t="s">
        <v>3949</v>
      </c>
      <c r="J195" t="s">
        <v>3082</v>
      </c>
      <c r="K195" t="s">
        <v>74</v>
      </c>
      <c r="L195" t="s">
        <v>74</v>
      </c>
      <c r="M195" t="s">
        <v>78</v>
      </c>
      <c r="N195" t="s">
        <v>79</v>
      </c>
      <c r="O195" t="s">
        <v>74</v>
      </c>
      <c r="P195" t="s">
        <v>74</v>
      </c>
      <c r="Q195" t="s">
        <v>74</v>
      </c>
      <c r="R195" t="s">
        <v>74</v>
      </c>
      <c r="S195" t="s">
        <v>74</v>
      </c>
      <c r="T195" t="s">
        <v>3950</v>
      </c>
      <c r="U195" t="s">
        <v>74</v>
      </c>
      <c r="V195" t="s">
        <v>3951</v>
      </c>
      <c r="W195" t="s">
        <v>3952</v>
      </c>
      <c r="X195" t="s">
        <v>84</v>
      </c>
      <c r="Y195" t="s">
        <v>3953</v>
      </c>
      <c r="Z195" t="s">
        <v>3954</v>
      </c>
      <c r="AA195" t="s">
        <v>74</v>
      </c>
      <c r="AB195" t="s">
        <v>74</v>
      </c>
      <c r="AC195" t="s">
        <v>74</v>
      </c>
      <c r="AD195" t="s">
        <v>74</v>
      </c>
      <c r="AE195" t="s">
        <v>74</v>
      </c>
      <c r="AF195" t="s">
        <v>74</v>
      </c>
      <c r="AG195">
        <v>13</v>
      </c>
      <c r="AH195">
        <v>0</v>
      </c>
      <c r="AI195">
        <v>0</v>
      </c>
      <c r="AJ195">
        <v>0</v>
      </c>
      <c r="AK195">
        <v>0</v>
      </c>
      <c r="AL195" t="s">
        <v>1391</v>
      </c>
      <c r="AM195" t="s">
        <v>1392</v>
      </c>
      <c r="AN195" t="s">
        <v>1393</v>
      </c>
      <c r="AO195" t="s">
        <v>3090</v>
      </c>
      <c r="AP195" t="s">
        <v>3091</v>
      </c>
      <c r="AQ195" t="s">
        <v>74</v>
      </c>
      <c r="AR195" t="s">
        <v>3092</v>
      </c>
      <c r="AS195" t="s">
        <v>3093</v>
      </c>
      <c r="AT195" t="s">
        <v>380</v>
      </c>
      <c r="AU195">
        <v>2022</v>
      </c>
      <c r="AV195">
        <v>31</v>
      </c>
      <c r="AW195">
        <v>62</v>
      </c>
      <c r="AX195" t="s">
        <v>74</v>
      </c>
      <c r="AY195" t="s">
        <v>74</v>
      </c>
      <c r="AZ195" t="s">
        <v>74</v>
      </c>
      <c r="BA195" t="s">
        <v>74</v>
      </c>
      <c r="BB195" t="s">
        <v>74</v>
      </c>
      <c r="BC195" t="s">
        <v>74</v>
      </c>
      <c r="BD195" t="s">
        <v>3955</v>
      </c>
      <c r="BE195" t="s">
        <v>3956</v>
      </c>
      <c r="BF195" t="str">
        <f>HYPERLINK("http://dx.doi.org/10.19053/01211129.v31.n62.2022.15319","http://dx.doi.org/10.19053/01211129.v31.n62.2022.15319")</f>
        <v>http://dx.doi.org/10.19053/01211129.v31.n62.2022.15319</v>
      </c>
      <c r="BG195" t="s">
        <v>74</v>
      </c>
      <c r="BH195" t="s">
        <v>74</v>
      </c>
      <c r="BI195">
        <v>17</v>
      </c>
      <c r="BJ195" t="s">
        <v>308</v>
      </c>
      <c r="BK195" t="s">
        <v>180</v>
      </c>
      <c r="BL195" t="s">
        <v>309</v>
      </c>
      <c r="BM195" t="s">
        <v>3957</v>
      </c>
      <c r="BN195" t="s">
        <v>74</v>
      </c>
      <c r="BO195" t="s">
        <v>74</v>
      </c>
      <c r="BP195" t="s">
        <v>74</v>
      </c>
      <c r="BQ195" t="s">
        <v>74</v>
      </c>
      <c r="BR195" t="s">
        <v>104</v>
      </c>
      <c r="BS195" t="s">
        <v>3958</v>
      </c>
      <c r="BT195" t="str">
        <f>HYPERLINK("https%3A%2F%2Fwww.webofscience.com%2Fwos%2Fwoscc%2Ffull-record%2FWOS:000891238100001","View Full Record in Web of Science")</f>
        <v>View Full Record in Web of Science</v>
      </c>
    </row>
    <row r="196" spans="1:72" x14ac:dyDescent="0.25">
      <c r="A196" t="s">
        <v>72</v>
      </c>
      <c r="B196" t="s">
        <v>3959</v>
      </c>
      <c r="C196" t="s">
        <v>74</v>
      </c>
      <c r="D196" t="s">
        <v>74</v>
      </c>
      <c r="E196" t="s">
        <v>74</v>
      </c>
      <c r="F196" t="s">
        <v>3960</v>
      </c>
      <c r="G196" t="s">
        <v>74</v>
      </c>
      <c r="H196" t="s">
        <v>74</v>
      </c>
      <c r="I196" t="s">
        <v>3961</v>
      </c>
      <c r="J196" t="s">
        <v>388</v>
      </c>
      <c r="K196" t="s">
        <v>74</v>
      </c>
      <c r="L196" t="s">
        <v>74</v>
      </c>
      <c r="M196" t="s">
        <v>78</v>
      </c>
      <c r="N196" t="s">
        <v>79</v>
      </c>
      <c r="O196" t="s">
        <v>74</v>
      </c>
      <c r="P196" t="s">
        <v>74</v>
      </c>
      <c r="Q196" t="s">
        <v>74</v>
      </c>
      <c r="R196" t="s">
        <v>74</v>
      </c>
      <c r="S196" t="s">
        <v>74</v>
      </c>
      <c r="T196" t="s">
        <v>3962</v>
      </c>
      <c r="U196" t="s">
        <v>3963</v>
      </c>
      <c r="V196" t="s">
        <v>3964</v>
      </c>
      <c r="W196" t="s">
        <v>3965</v>
      </c>
      <c r="X196" t="s">
        <v>84</v>
      </c>
      <c r="Y196" t="s">
        <v>3966</v>
      </c>
      <c r="Z196" t="s">
        <v>3967</v>
      </c>
      <c r="AA196" t="s">
        <v>1490</v>
      </c>
      <c r="AB196" t="s">
        <v>3968</v>
      </c>
      <c r="AC196" t="s">
        <v>3969</v>
      </c>
      <c r="AD196" t="s">
        <v>3970</v>
      </c>
      <c r="AE196" t="s">
        <v>1494</v>
      </c>
      <c r="AF196" t="s">
        <v>74</v>
      </c>
      <c r="AG196">
        <v>56</v>
      </c>
      <c r="AH196">
        <v>2</v>
      </c>
      <c r="AI196">
        <v>2</v>
      </c>
      <c r="AJ196">
        <v>5</v>
      </c>
      <c r="AK196">
        <v>10</v>
      </c>
      <c r="AL196" t="s">
        <v>92</v>
      </c>
      <c r="AM196" t="s">
        <v>93</v>
      </c>
      <c r="AN196" t="s">
        <v>94</v>
      </c>
      <c r="AO196" t="s">
        <v>74</v>
      </c>
      <c r="AP196" t="s">
        <v>398</v>
      </c>
      <c r="AQ196" t="s">
        <v>74</v>
      </c>
      <c r="AR196" t="s">
        <v>388</v>
      </c>
      <c r="AS196" t="s">
        <v>399</v>
      </c>
      <c r="AT196" t="s">
        <v>1118</v>
      </c>
      <c r="AU196">
        <v>2022</v>
      </c>
      <c r="AV196">
        <v>11</v>
      </c>
      <c r="AW196">
        <v>5</v>
      </c>
      <c r="AX196" t="s">
        <v>74</v>
      </c>
      <c r="AY196" t="s">
        <v>74</v>
      </c>
      <c r="AZ196" t="s">
        <v>74</v>
      </c>
      <c r="BA196" t="s">
        <v>74</v>
      </c>
      <c r="BB196" t="s">
        <v>74</v>
      </c>
      <c r="BC196" t="s">
        <v>74</v>
      </c>
      <c r="BD196">
        <v>641</v>
      </c>
      <c r="BE196" t="s">
        <v>3971</v>
      </c>
      <c r="BF196" t="str">
        <f>HYPERLINK("http://dx.doi.org/10.3390/foods11050641","http://dx.doi.org/10.3390/foods11050641")</f>
        <v>http://dx.doi.org/10.3390/foods11050641</v>
      </c>
      <c r="BG196" t="s">
        <v>74</v>
      </c>
      <c r="BH196" t="s">
        <v>74</v>
      </c>
      <c r="BI196">
        <v>15</v>
      </c>
      <c r="BJ196" t="s">
        <v>402</v>
      </c>
      <c r="BK196" t="s">
        <v>101</v>
      </c>
      <c r="BL196" t="s">
        <v>402</v>
      </c>
      <c r="BM196" t="s">
        <v>3972</v>
      </c>
      <c r="BN196">
        <v>35267274</v>
      </c>
      <c r="BO196" t="s">
        <v>129</v>
      </c>
      <c r="BP196" t="s">
        <v>74</v>
      </c>
      <c r="BQ196" t="s">
        <v>74</v>
      </c>
      <c r="BR196" t="s">
        <v>104</v>
      </c>
      <c r="BS196" t="s">
        <v>3973</v>
      </c>
      <c r="BT196" t="str">
        <f>HYPERLINK("https%3A%2F%2Fwww.webofscience.com%2Fwos%2Fwoscc%2Ffull-record%2FWOS:000771254600001","View Full Record in Web of Science")</f>
        <v>View Full Record in Web of Science</v>
      </c>
    </row>
    <row r="197" spans="1:72" x14ac:dyDescent="0.25">
      <c r="A197" t="s">
        <v>72</v>
      </c>
      <c r="B197" t="s">
        <v>3974</v>
      </c>
      <c r="C197" t="s">
        <v>74</v>
      </c>
      <c r="D197" t="s">
        <v>74</v>
      </c>
      <c r="E197" t="s">
        <v>74</v>
      </c>
      <c r="F197" t="s">
        <v>3975</v>
      </c>
      <c r="G197" t="s">
        <v>74</v>
      </c>
      <c r="H197" t="s">
        <v>74</v>
      </c>
      <c r="I197" t="s">
        <v>3976</v>
      </c>
      <c r="J197" t="s">
        <v>3082</v>
      </c>
      <c r="K197" t="s">
        <v>74</v>
      </c>
      <c r="L197" t="s">
        <v>74</v>
      </c>
      <c r="M197" t="s">
        <v>78</v>
      </c>
      <c r="N197" t="s">
        <v>79</v>
      </c>
      <c r="O197" t="s">
        <v>74</v>
      </c>
      <c r="P197" t="s">
        <v>74</v>
      </c>
      <c r="Q197" t="s">
        <v>74</v>
      </c>
      <c r="R197" t="s">
        <v>74</v>
      </c>
      <c r="S197" t="s">
        <v>74</v>
      </c>
      <c r="T197" t="s">
        <v>3977</v>
      </c>
      <c r="U197" t="s">
        <v>74</v>
      </c>
      <c r="V197" t="s">
        <v>3978</v>
      </c>
      <c r="W197" t="s">
        <v>3979</v>
      </c>
      <c r="X197" t="s">
        <v>84</v>
      </c>
      <c r="Y197" t="s">
        <v>3953</v>
      </c>
      <c r="Z197" t="s">
        <v>3980</v>
      </c>
      <c r="AA197" t="s">
        <v>74</v>
      </c>
      <c r="AB197" t="s">
        <v>3981</v>
      </c>
      <c r="AC197" t="s">
        <v>74</v>
      </c>
      <c r="AD197" t="s">
        <v>74</v>
      </c>
      <c r="AE197" t="s">
        <v>74</v>
      </c>
      <c r="AF197" t="s">
        <v>74</v>
      </c>
      <c r="AG197">
        <v>13</v>
      </c>
      <c r="AH197">
        <v>0</v>
      </c>
      <c r="AI197">
        <v>0</v>
      </c>
      <c r="AJ197">
        <v>0</v>
      </c>
      <c r="AK197">
        <v>0</v>
      </c>
      <c r="AL197" t="s">
        <v>1391</v>
      </c>
      <c r="AM197" t="s">
        <v>1392</v>
      </c>
      <c r="AN197" t="s">
        <v>1393</v>
      </c>
      <c r="AO197" t="s">
        <v>3090</v>
      </c>
      <c r="AP197" t="s">
        <v>3091</v>
      </c>
      <c r="AQ197" t="s">
        <v>74</v>
      </c>
      <c r="AR197" t="s">
        <v>3092</v>
      </c>
      <c r="AS197" t="s">
        <v>3093</v>
      </c>
      <c r="AT197" t="s">
        <v>2491</v>
      </c>
      <c r="AU197">
        <v>2022</v>
      </c>
      <c r="AV197">
        <v>31</v>
      </c>
      <c r="AW197">
        <v>61</v>
      </c>
      <c r="AX197" t="s">
        <v>74</v>
      </c>
      <c r="AY197" t="s">
        <v>74</v>
      </c>
      <c r="AZ197" t="s">
        <v>74</v>
      </c>
      <c r="BA197" t="s">
        <v>74</v>
      </c>
      <c r="BB197" t="s">
        <v>74</v>
      </c>
      <c r="BC197" t="s">
        <v>74</v>
      </c>
      <c r="BD197" t="s">
        <v>3982</v>
      </c>
      <c r="BE197" t="s">
        <v>3983</v>
      </c>
      <c r="BF197" t="str">
        <f>HYPERLINK("http://dx.doi.org/10.19053/01211129.v31.n61.2022.14724","http://dx.doi.org/10.19053/01211129.v31.n61.2022.14724")</f>
        <v>http://dx.doi.org/10.19053/01211129.v31.n61.2022.14724</v>
      </c>
      <c r="BG197" t="s">
        <v>74</v>
      </c>
      <c r="BH197" t="s">
        <v>74</v>
      </c>
      <c r="BI197">
        <v>21</v>
      </c>
      <c r="BJ197" t="s">
        <v>308</v>
      </c>
      <c r="BK197" t="s">
        <v>180</v>
      </c>
      <c r="BL197" t="s">
        <v>309</v>
      </c>
      <c r="BM197" t="s">
        <v>3984</v>
      </c>
      <c r="BN197" t="s">
        <v>74</v>
      </c>
      <c r="BO197" t="s">
        <v>735</v>
      </c>
      <c r="BP197" t="s">
        <v>74</v>
      </c>
      <c r="BQ197" t="s">
        <v>74</v>
      </c>
      <c r="BR197" t="s">
        <v>104</v>
      </c>
      <c r="BS197" t="s">
        <v>3985</v>
      </c>
      <c r="BT197" t="str">
        <f>HYPERLINK("https%3A%2F%2Fwww.webofscience.com%2Fwos%2Fwoscc%2Ffull-record%2FWOS:000839532300001","View Full Record in Web of Science")</f>
        <v>View Full Record in Web of Science</v>
      </c>
    </row>
    <row r="198" spans="1:72" x14ac:dyDescent="0.25">
      <c r="A198" t="s">
        <v>72</v>
      </c>
      <c r="B198" t="s">
        <v>3986</v>
      </c>
      <c r="C198" t="s">
        <v>74</v>
      </c>
      <c r="D198" t="s">
        <v>74</v>
      </c>
      <c r="E198" t="s">
        <v>74</v>
      </c>
      <c r="F198" t="s">
        <v>3987</v>
      </c>
      <c r="G198" t="s">
        <v>74</v>
      </c>
      <c r="H198" t="s">
        <v>74</v>
      </c>
      <c r="I198" t="s">
        <v>3988</v>
      </c>
      <c r="J198" t="s">
        <v>3989</v>
      </c>
      <c r="K198" t="s">
        <v>74</v>
      </c>
      <c r="L198" t="s">
        <v>74</v>
      </c>
      <c r="M198" t="s">
        <v>1234</v>
      </c>
      <c r="N198" t="s">
        <v>79</v>
      </c>
      <c r="O198" t="s">
        <v>74</v>
      </c>
      <c r="P198" t="s">
        <v>74</v>
      </c>
      <c r="Q198" t="s">
        <v>74</v>
      </c>
      <c r="R198" t="s">
        <v>74</v>
      </c>
      <c r="S198" t="s">
        <v>74</v>
      </c>
      <c r="T198" t="s">
        <v>3990</v>
      </c>
      <c r="U198" t="s">
        <v>74</v>
      </c>
      <c r="V198" t="s">
        <v>3991</v>
      </c>
      <c r="W198" t="s">
        <v>3992</v>
      </c>
      <c r="X198" t="s">
        <v>84</v>
      </c>
      <c r="Y198" t="s">
        <v>3993</v>
      </c>
      <c r="Z198" t="s">
        <v>74</v>
      </c>
      <c r="AA198" t="s">
        <v>74</v>
      </c>
      <c r="AB198" t="s">
        <v>74</v>
      </c>
      <c r="AC198" t="s">
        <v>74</v>
      </c>
      <c r="AD198" t="s">
        <v>74</v>
      </c>
      <c r="AE198" t="s">
        <v>74</v>
      </c>
      <c r="AF198" t="s">
        <v>74</v>
      </c>
      <c r="AG198">
        <v>12</v>
      </c>
      <c r="AH198">
        <v>0</v>
      </c>
      <c r="AI198">
        <v>0</v>
      </c>
      <c r="AJ198">
        <v>0</v>
      </c>
      <c r="AK198">
        <v>0</v>
      </c>
      <c r="AL198" t="s">
        <v>3994</v>
      </c>
      <c r="AM198" t="s">
        <v>1134</v>
      </c>
      <c r="AN198" t="s">
        <v>3995</v>
      </c>
      <c r="AO198" t="s">
        <v>3996</v>
      </c>
      <c r="AP198" t="s">
        <v>74</v>
      </c>
      <c r="AQ198" t="s">
        <v>74</v>
      </c>
      <c r="AR198" t="s">
        <v>3997</v>
      </c>
      <c r="AS198" t="s">
        <v>3998</v>
      </c>
      <c r="AT198" t="s">
        <v>74</v>
      </c>
      <c r="AU198">
        <v>2022</v>
      </c>
      <c r="AV198">
        <v>11</v>
      </c>
      <c r="AW198" t="s">
        <v>74</v>
      </c>
      <c r="AX198" t="s">
        <v>74</v>
      </c>
      <c r="AY198" t="s">
        <v>74</v>
      </c>
      <c r="AZ198" t="s">
        <v>74</v>
      </c>
      <c r="BA198" t="s">
        <v>74</v>
      </c>
      <c r="BB198">
        <v>478</v>
      </c>
      <c r="BC198">
        <v>488</v>
      </c>
      <c r="BD198" t="s">
        <v>74</v>
      </c>
      <c r="BE198" t="s">
        <v>74</v>
      </c>
      <c r="BF198" t="s">
        <v>74</v>
      </c>
      <c r="BG198" t="s">
        <v>74</v>
      </c>
      <c r="BH198" t="s">
        <v>74</v>
      </c>
      <c r="BI198">
        <v>11</v>
      </c>
      <c r="BJ198" t="s">
        <v>1420</v>
      </c>
      <c r="BK198" t="s">
        <v>180</v>
      </c>
      <c r="BL198" t="s">
        <v>1421</v>
      </c>
      <c r="BM198" t="s">
        <v>3999</v>
      </c>
      <c r="BN198" t="s">
        <v>74</v>
      </c>
      <c r="BO198" t="s">
        <v>74</v>
      </c>
      <c r="BP198" t="s">
        <v>74</v>
      </c>
      <c r="BQ198" t="s">
        <v>74</v>
      </c>
      <c r="BR198" t="s">
        <v>104</v>
      </c>
      <c r="BS198" t="s">
        <v>4000</v>
      </c>
      <c r="BT198" t="str">
        <f>HYPERLINK("https%3A%2F%2Fwww.webofscience.com%2Fwos%2Fwoscc%2Ffull-record%2FWOS:000836312900001","View Full Record in Web of Science")</f>
        <v>View Full Record in Web of Science</v>
      </c>
    </row>
    <row r="199" spans="1:72" x14ac:dyDescent="0.25">
      <c r="A199" t="s">
        <v>72</v>
      </c>
      <c r="B199" t="s">
        <v>4001</v>
      </c>
      <c r="C199" t="s">
        <v>74</v>
      </c>
      <c r="D199" t="s">
        <v>74</v>
      </c>
      <c r="E199" t="s">
        <v>74</v>
      </c>
      <c r="F199" t="s">
        <v>4002</v>
      </c>
      <c r="G199" t="s">
        <v>74</v>
      </c>
      <c r="H199" t="s">
        <v>74</v>
      </c>
      <c r="I199" t="s">
        <v>4003</v>
      </c>
      <c r="J199" t="s">
        <v>1587</v>
      </c>
      <c r="K199" t="s">
        <v>74</v>
      </c>
      <c r="L199" t="s">
        <v>74</v>
      </c>
      <c r="M199" t="s">
        <v>78</v>
      </c>
      <c r="N199" t="s">
        <v>79</v>
      </c>
      <c r="O199" t="s">
        <v>74</v>
      </c>
      <c r="P199" t="s">
        <v>74</v>
      </c>
      <c r="Q199" t="s">
        <v>74</v>
      </c>
      <c r="R199" t="s">
        <v>74</v>
      </c>
      <c r="S199" t="s">
        <v>74</v>
      </c>
      <c r="T199" t="s">
        <v>4004</v>
      </c>
      <c r="U199" t="s">
        <v>74</v>
      </c>
      <c r="V199" t="s">
        <v>4005</v>
      </c>
      <c r="W199" t="s">
        <v>4006</v>
      </c>
      <c r="X199" t="s">
        <v>84</v>
      </c>
      <c r="Y199" t="s">
        <v>4007</v>
      </c>
      <c r="Z199" t="s">
        <v>4008</v>
      </c>
      <c r="AA199" t="s">
        <v>74</v>
      </c>
      <c r="AB199" t="s">
        <v>4009</v>
      </c>
      <c r="AC199" t="s">
        <v>74</v>
      </c>
      <c r="AD199" t="s">
        <v>74</v>
      </c>
      <c r="AE199" t="s">
        <v>74</v>
      </c>
      <c r="AF199" t="s">
        <v>74</v>
      </c>
      <c r="AG199">
        <v>13</v>
      </c>
      <c r="AH199">
        <v>0</v>
      </c>
      <c r="AI199">
        <v>0</v>
      </c>
      <c r="AJ199">
        <v>0</v>
      </c>
      <c r="AK199">
        <v>0</v>
      </c>
      <c r="AL199" t="s">
        <v>1593</v>
      </c>
      <c r="AM199" t="s">
        <v>301</v>
      </c>
      <c r="AN199" t="s">
        <v>1594</v>
      </c>
      <c r="AO199" t="s">
        <v>1595</v>
      </c>
      <c r="AP199" t="s">
        <v>1596</v>
      </c>
      <c r="AQ199" t="s">
        <v>74</v>
      </c>
      <c r="AR199" t="s">
        <v>1597</v>
      </c>
      <c r="AS199" t="s">
        <v>1598</v>
      </c>
      <c r="AT199" t="s">
        <v>1418</v>
      </c>
      <c r="AU199">
        <v>2022</v>
      </c>
      <c r="AV199">
        <v>45</v>
      </c>
      <c r="AW199">
        <v>3</v>
      </c>
      <c r="AX199" t="s">
        <v>74</v>
      </c>
      <c r="AY199" t="s">
        <v>74</v>
      </c>
      <c r="AZ199" t="s">
        <v>74</v>
      </c>
      <c r="BA199" t="s">
        <v>74</v>
      </c>
      <c r="BB199">
        <v>402</v>
      </c>
      <c r="BC199">
        <v>413</v>
      </c>
      <c r="BD199" t="s">
        <v>74</v>
      </c>
      <c r="BE199" t="s">
        <v>4010</v>
      </c>
      <c r="BF199" t="str">
        <f>HYPERLINK("http://dx.doi.org/10.14483/23448350.19584","http://dx.doi.org/10.14483/23448350.19584")</f>
        <v>http://dx.doi.org/10.14483/23448350.19584</v>
      </c>
      <c r="BG199" t="s">
        <v>74</v>
      </c>
      <c r="BH199" t="s">
        <v>74</v>
      </c>
      <c r="BI199">
        <v>12</v>
      </c>
      <c r="BJ199" t="s">
        <v>1600</v>
      </c>
      <c r="BK199" t="s">
        <v>180</v>
      </c>
      <c r="BL199" t="s">
        <v>1601</v>
      </c>
      <c r="BM199" t="s">
        <v>4011</v>
      </c>
      <c r="BN199" t="s">
        <v>74</v>
      </c>
      <c r="BO199" t="s">
        <v>183</v>
      </c>
      <c r="BP199" t="s">
        <v>74</v>
      </c>
      <c r="BQ199" t="s">
        <v>74</v>
      </c>
      <c r="BR199" t="s">
        <v>104</v>
      </c>
      <c r="BS199" t="s">
        <v>4012</v>
      </c>
      <c r="BT199" t="str">
        <f>HYPERLINK("https%3A%2F%2Fwww.webofscience.com%2Fwos%2Fwoscc%2Ffull-record%2FWOS:000865949500009","View Full Record in Web of Science")</f>
        <v>View Full Record in Web of Science</v>
      </c>
    </row>
    <row r="200" spans="1:72" x14ac:dyDescent="0.25">
      <c r="A200" t="s">
        <v>72</v>
      </c>
      <c r="B200" t="s">
        <v>4013</v>
      </c>
      <c r="C200" t="s">
        <v>74</v>
      </c>
      <c r="D200" t="s">
        <v>74</v>
      </c>
      <c r="E200" t="s">
        <v>74</v>
      </c>
      <c r="F200" t="s">
        <v>4014</v>
      </c>
      <c r="G200" t="s">
        <v>74</v>
      </c>
      <c r="H200" t="s">
        <v>74</v>
      </c>
      <c r="I200" t="s">
        <v>4015</v>
      </c>
      <c r="J200" t="s">
        <v>4016</v>
      </c>
      <c r="K200" t="s">
        <v>74</v>
      </c>
      <c r="L200" t="s">
        <v>74</v>
      </c>
      <c r="M200" t="s">
        <v>78</v>
      </c>
      <c r="N200" t="s">
        <v>135</v>
      </c>
      <c r="O200" t="s">
        <v>74</v>
      </c>
      <c r="P200" t="s">
        <v>74</v>
      </c>
      <c r="Q200" t="s">
        <v>74</v>
      </c>
      <c r="R200" t="s">
        <v>74</v>
      </c>
      <c r="S200" t="s">
        <v>74</v>
      </c>
      <c r="T200" t="s">
        <v>4017</v>
      </c>
      <c r="U200" t="s">
        <v>4018</v>
      </c>
      <c r="V200" t="s">
        <v>4019</v>
      </c>
      <c r="W200" t="s">
        <v>4020</v>
      </c>
      <c r="X200" t="s">
        <v>4021</v>
      </c>
      <c r="Y200" t="s">
        <v>4022</v>
      </c>
      <c r="Z200" t="s">
        <v>4023</v>
      </c>
      <c r="AA200" t="s">
        <v>74</v>
      </c>
      <c r="AB200" t="s">
        <v>4024</v>
      </c>
      <c r="AC200" t="s">
        <v>4025</v>
      </c>
      <c r="AD200" t="s">
        <v>4026</v>
      </c>
      <c r="AE200" t="s">
        <v>4027</v>
      </c>
      <c r="AF200" t="s">
        <v>74</v>
      </c>
      <c r="AG200">
        <v>30</v>
      </c>
      <c r="AH200">
        <v>0</v>
      </c>
      <c r="AI200">
        <v>0</v>
      </c>
      <c r="AJ200">
        <v>0</v>
      </c>
      <c r="AK200">
        <v>0</v>
      </c>
      <c r="AL200" t="s">
        <v>3397</v>
      </c>
      <c r="AM200" t="s">
        <v>147</v>
      </c>
      <c r="AN200" t="s">
        <v>3398</v>
      </c>
      <c r="AO200" t="s">
        <v>4028</v>
      </c>
      <c r="AP200" t="s">
        <v>4029</v>
      </c>
      <c r="AQ200" t="s">
        <v>74</v>
      </c>
      <c r="AR200" t="s">
        <v>4030</v>
      </c>
      <c r="AS200" t="s">
        <v>4031</v>
      </c>
      <c r="AT200" t="s">
        <v>74</v>
      </c>
      <c r="AU200" t="s">
        <v>74</v>
      </c>
      <c r="AV200" t="s">
        <v>74</v>
      </c>
      <c r="AW200" t="s">
        <v>74</v>
      </c>
      <c r="AX200" t="s">
        <v>74</v>
      </c>
      <c r="AY200" t="s">
        <v>74</v>
      </c>
      <c r="AZ200" t="s">
        <v>74</v>
      </c>
      <c r="BA200" t="s">
        <v>74</v>
      </c>
      <c r="BB200" t="s">
        <v>74</v>
      </c>
      <c r="BC200" t="s">
        <v>74</v>
      </c>
      <c r="BD200" t="s">
        <v>4032</v>
      </c>
      <c r="BE200" t="s">
        <v>4033</v>
      </c>
      <c r="BF200" t="str">
        <f>HYPERLINK("http://dx.doi.org/10.1017/etds.2022.44","http://dx.doi.org/10.1017/etds.2022.44")</f>
        <v>http://dx.doi.org/10.1017/etds.2022.44</v>
      </c>
      <c r="BG200" t="s">
        <v>74</v>
      </c>
      <c r="BH200" t="s">
        <v>440</v>
      </c>
      <c r="BI200">
        <v>35</v>
      </c>
      <c r="BJ200" t="s">
        <v>2297</v>
      </c>
      <c r="BK200" t="s">
        <v>101</v>
      </c>
      <c r="BL200" t="s">
        <v>733</v>
      </c>
      <c r="BM200" t="s">
        <v>4034</v>
      </c>
      <c r="BN200" t="s">
        <v>74</v>
      </c>
      <c r="BO200" t="s">
        <v>1228</v>
      </c>
      <c r="BP200" t="s">
        <v>74</v>
      </c>
      <c r="BQ200" t="s">
        <v>74</v>
      </c>
      <c r="BR200" t="s">
        <v>104</v>
      </c>
      <c r="BS200" t="s">
        <v>4035</v>
      </c>
      <c r="BT200" t="str">
        <f>HYPERLINK("https%3A%2F%2Fwww.webofscience.com%2Fwos%2Fwoscc%2Ffull-record%2FWOS:000830856900001","View Full Record in Web of Science")</f>
        <v>View Full Record in Web of Science</v>
      </c>
    </row>
    <row r="201" spans="1:72" x14ac:dyDescent="0.25">
      <c r="A201" t="s">
        <v>72</v>
      </c>
      <c r="B201" t="s">
        <v>4036</v>
      </c>
      <c r="C201" t="s">
        <v>74</v>
      </c>
      <c r="D201" t="s">
        <v>74</v>
      </c>
      <c r="E201" t="s">
        <v>74</v>
      </c>
      <c r="F201" t="s">
        <v>4037</v>
      </c>
      <c r="G201" t="s">
        <v>74</v>
      </c>
      <c r="H201" t="s">
        <v>74</v>
      </c>
      <c r="I201" t="s">
        <v>4038</v>
      </c>
      <c r="J201" t="s">
        <v>4039</v>
      </c>
      <c r="K201" t="s">
        <v>74</v>
      </c>
      <c r="L201" t="s">
        <v>74</v>
      </c>
      <c r="M201" t="s">
        <v>78</v>
      </c>
      <c r="N201" t="s">
        <v>162</v>
      </c>
      <c r="O201" t="s">
        <v>74</v>
      </c>
      <c r="P201" t="s">
        <v>74</v>
      </c>
      <c r="Q201" t="s">
        <v>74</v>
      </c>
      <c r="R201" t="s">
        <v>74</v>
      </c>
      <c r="S201" t="s">
        <v>74</v>
      </c>
      <c r="T201" t="s">
        <v>4040</v>
      </c>
      <c r="U201" t="s">
        <v>74</v>
      </c>
      <c r="V201" t="s">
        <v>4041</v>
      </c>
      <c r="W201" t="s">
        <v>4042</v>
      </c>
      <c r="X201" t="s">
        <v>4043</v>
      </c>
      <c r="Y201" t="s">
        <v>4044</v>
      </c>
      <c r="Z201" t="s">
        <v>4045</v>
      </c>
      <c r="AA201" t="s">
        <v>74</v>
      </c>
      <c r="AB201" t="s">
        <v>4024</v>
      </c>
      <c r="AC201" t="s">
        <v>4046</v>
      </c>
      <c r="AD201" t="s">
        <v>4046</v>
      </c>
      <c r="AE201" t="s">
        <v>4047</v>
      </c>
      <c r="AF201" t="s">
        <v>74</v>
      </c>
      <c r="AG201">
        <v>17</v>
      </c>
      <c r="AH201">
        <v>0</v>
      </c>
      <c r="AI201">
        <v>0</v>
      </c>
      <c r="AJ201">
        <v>0</v>
      </c>
      <c r="AK201">
        <v>2</v>
      </c>
      <c r="AL201" t="s">
        <v>1859</v>
      </c>
      <c r="AM201" t="s">
        <v>486</v>
      </c>
      <c r="AN201" t="s">
        <v>1860</v>
      </c>
      <c r="AO201" t="s">
        <v>4048</v>
      </c>
      <c r="AP201" t="s">
        <v>4049</v>
      </c>
      <c r="AQ201" t="s">
        <v>74</v>
      </c>
      <c r="AR201" t="s">
        <v>4050</v>
      </c>
      <c r="AS201" t="s">
        <v>4051</v>
      </c>
      <c r="AT201" t="s">
        <v>3139</v>
      </c>
      <c r="AU201">
        <v>2022</v>
      </c>
      <c r="AV201">
        <v>158</v>
      </c>
      <c r="AW201" t="s">
        <v>74</v>
      </c>
      <c r="AX201" t="s">
        <v>74</v>
      </c>
      <c r="AY201" t="s">
        <v>74</v>
      </c>
      <c r="AZ201" t="s">
        <v>74</v>
      </c>
      <c r="BA201" t="s">
        <v>74</v>
      </c>
      <c r="BB201" t="s">
        <v>74</v>
      </c>
      <c r="BC201" t="s">
        <v>74</v>
      </c>
      <c r="BD201">
        <v>112009</v>
      </c>
      <c r="BE201" t="s">
        <v>4052</v>
      </c>
      <c r="BF201" t="str">
        <f>HYPERLINK("http://dx.doi.org/10.1016/j.chaos.2022.112009","http://dx.doi.org/10.1016/j.chaos.2022.112009")</f>
        <v>http://dx.doi.org/10.1016/j.chaos.2022.112009</v>
      </c>
      <c r="BG201" t="s">
        <v>74</v>
      </c>
      <c r="BH201" t="s">
        <v>259</v>
      </c>
      <c r="BI201">
        <v>8</v>
      </c>
      <c r="BJ201" t="s">
        <v>4053</v>
      </c>
      <c r="BK201" t="s">
        <v>101</v>
      </c>
      <c r="BL201" t="s">
        <v>4054</v>
      </c>
      <c r="BM201" t="s">
        <v>4055</v>
      </c>
      <c r="BN201" t="s">
        <v>74</v>
      </c>
      <c r="BO201" t="s">
        <v>1228</v>
      </c>
      <c r="BP201" t="s">
        <v>74</v>
      </c>
      <c r="BQ201" t="s">
        <v>74</v>
      </c>
      <c r="BR201" t="s">
        <v>104</v>
      </c>
      <c r="BS201" t="s">
        <v>4056</v>
      </c>
      <c r="BT201" t="str">
        <f>HYPERLINK("https%3A%2F%2Fwww.webofscience.com%2Fwos%2Fwoscc%2Ffull-record%2FWOS:000798778300016","View Full Record in Web of Science")</f>
        <v>View Full Record in Web of Science</v>
      </c>
    </row>
    <row r="202" spans="1:72" x14ac:dyDescent="0.25">
      <c r="A202" t="s">
        <v>72</v>
      </c>
      <c r="B202" t="s">
        <v>4057</v>
      </c>
      <c r="C202" t="s">
        <v>74</v>
      </c>
      <c r="D202" t="s">
        <v>74</v>
      </c>
      <c r="E202" t="s">
        <v>74</v>
      </c>
      <c r="F202" t="s">
        <v>4058</v>
      </c>
      <c r="G202" t="s">
        <v>74</v>
      </c>
      <c r="H202" t="s">
        <v>74</v>
      </c>
      <c r="I202" t="s">
        <v>4059</v>
      </c>
      <c r="J202" t="s">
        <v>4060</v>
      </c>
      <c r="K202" t="s">
        <v>74</v>
      </c>
      <c r="L202" t="s">
        <v>74</v>
      </c>
      <c r="M202" t="s">
        <v>78</v>
      </c>
      <c r="N202" t="s">
        <v>79</v>
      </c>
      <c r="O202" t="s">
        <v>74</v>
      </c>
      <c r="P202" t="s">
        <v>74</v>
      </c>
      <c r="Q202" t="s">
        <v>74</v>
      </c>
      <c r="R202" t="s">
        <v>74</v>
      </c>
      <c r="S202" t="s">
        <v>74</v>
      </c>
      <c r="T202" t="s">
        <v>4061</v>
      </c>
      <c r="U202" t="s">
        <v>4062</v>
      </c>
      <c r="V202" t="s">
        <v>4063</v>
      </c>
      <c r="W202" t="s">
        <v>4064</v>
      </c>
      <c r="X202" t="s">
        <v>4065</v>
      </c>
      <c r="Y202" t="s">
        <v>4066</v>
      </c>
      <c r="Z202" t="s">
        <v>4067</v>
      </c>
      <c r="AA202" t="s">
        <v>74</v>
      </c>
      <c r="AB202" t="s">
        <v>4068</v>
      </c>
      <c r="AC202" t="s">
        <v>4069</v>
      </c>
      <c r="AD202" t="s">
        <v>4070</v>
      </c>
      <c r="AE202" t="s">
        <v>4071</v>
      </c>
      <c r="AF202" t="s">
        <v>74</v>
      </c>
      <c r="AG202">
        <v>60</v>
      </c>
      <c r="AH202">
        <v>0</v>
      </c>
      <c r="AI202">
        <v>0</v>
      </c>
      <c r="AJ202">
        <v>1</v>
      </c>
      <c r="AK202">
        <v>2</v>
      </c>
      <c r="AL202" t="s">
        <v>459</v>
      </c>
      <c r="AM202" t="s">
        <v>460</v>
      </c>
      <c r="AN202" t="s">
        <v>461</v>
      </c>
      <c r="AO202" t="s">
        <v>74</v>
      </c>
      <c r="AP202" t="s">
        <v>4072</v>
      </c>
      <c r="AQ202" t="s">
        <v>74</v>
      </c>
      <c r="AR202" t="s">
        <v>4073</v>
      </c>
      <c r="AS202" t="s">
        <v>4074</v>
      </c>
      <c r="AT202" t="s">
        <v>4075</v>
      </c>
      <c r="AU202">
        <v>2022</v>
      </c>
      <c r="AV202">
        <v>23</v>
      </c>
      <c r="AW202">
        <v>1</v>
      </c>
      <c r="AX202" t="s">
        <v>74</v>
      </c>
      <c r="AY202" t="s">
        <v>74</v>
      </c>
      <c r="AZ202" t="s">
        <v>74</v>
      </c>
      <c r="BA202" t="s">
        <v>74</v>
      </c>
      <c r="BB202" t="s">
        <v>74</v>
      </c>
      <c r="BC202" t="s">
        <v>74</v>
      </c>
      <c r="BD202">
        <v>168</v>
      </c>
      <c r="BE202" t="s">
        <v>4076</v>
      </c>
      <c r="BF202" t="str">
        <f>HYPERLINK("http://dx.doi.org/10.1186/s12931-022-02086-7","http://dx.doi.org/10.1186/s12931-022-02086-7")</f>
        <v>http://dx.doi.org/10.1186/s12931-022-02086-7</v>
      </c>
      <c r="BG202" t="s">
        <v>74</v>
      </c>
      <c r="BH202" t="s">
        <v>74</v>
      </c>
      <c r="BI202">
        <v>11</v>
      </c>
      <c r="BJ202" t="s">
        <v>4077</v>
      </c>
      <c r="BK202" t="s">
        <v>101</v>
      </c>
      <c r="BL202" t="s">
        <v>4077</v>
      </c>
      <c r="BM202" t="s">
        <v>4078</v>
      </c>
      <c r="BN202">
        <v>35751068</v>
      </c>
      <c r="BO202" t="s">
        <v>129</v>
      </c>
      <c r="BP202" t="s">
        <v>74</v>
      </c>
      <c r="BQ202" t="s">
        <v>74</v>
      </c>
      <c r="BR202" t="s">
        <v>104</v>
      </c>
      <c r="BS202" t="s">
        <v>4079</v>
      </c>
      <c r="BT202" t="str">
        <f>HYPERLINK("https%3A%2F%2Fwww.webofscience.com%2Fwos%2Fwoscc%2Ffull-record%2FWOS:000815494000001","View Full Record in Web of Science")</f>
        <v>View Full Record in Web of Science</v>
      </c>
    </row>
    <row r="203" spans="1:72" x14ac:dyDescent="0.25">
      <c r="A203" t="s">
        <v>72</v>
      </c>
      <c r="B203" t="s">
        <v>4080</v>
      </c>
      <c r="C203" t="s">
        <v>74</v>
      </c>
      <c r="D203" t="s">
        <v>74</v>
      </c>
      <c r="E203" t="s">
        <v>74</v>
      </c>
      <c r="F203" t="s">
        <v>4081</v>
      </c>
      <c r="G203" t="s">
        <v>74</v>
      </c>
      <c r="H203" t="s">
        <v>74</v>
      </c>
      <c r="I203" t="s">
        <v>4082</v>
      </c>
      <c r="J203" t="s">
        <v>4083</v>
      </c>
      <c r="K203" t="s">
        <v>74</v>
      </c>
      <c r="L203" t="s">
        <v>74</v>
      </c>
      <c r="M203" t="s">
        <v>78</v>
      </c>
      <c r="N203" t="s">
        <v>79</v>
      </c>
      <c r="O203" t="s">
        <v>74</v>
      </c>
      <c r="P203" t="s">
        <v>74</v>
      </c>
      <c r="Q203" t="s">
        <v>74</v>
      </c>
      <c r="R203" t="s">
        <v>74</v>
      </c>
      <c r="S203" t="s">
        <v>74</v>
      </c>
      <c r="T203" t="s">
        <v>4084</v>
      </c>
      <c r="U203" t="s">
        <v>4085</v>
      </c>
      <c r="V203" t="s">
        <v>4086</v>
      </c>
      <c r="W203" t="s">
        <v>4087</v>
      </c>
      <c r="X203" t="s">
        <v>4088</v>
      </c>
      <c r="Y203" t="s">
        <v>4089</v>
      </c>
      <c r="Z203" t="s">
        <v>4090</v>
      </c>
      <c r="AA203" t="s">
        <v>4091</v>
      </c>
      <c r="AB203" t="s">
        <v>4092</v>
      </c>
      <c r="AC203" t="s">
        <v>4093</v>
      </c>
      <c r="AD203" t="s">
        <v>4094</v>
      </c>
      <c r="AE203" t="s">
        <v>4095</v>
      </c>
      <c r="AF203" t="s">
        <v>74</v>
      </c>
      <c r="AG203">
        <v>28</v>
      </c>
      <c r="AH203">
        <v>0</v>
      </c>
      <c r="AI203">
        <v>0</v>
      </c>
      <c r="AJ203">
        <v>3</v>
      </c>
      <c r="AK203">
        <v>5</v>
      </c>
      <c r="AL203" t="s">
        <v>1859</v>
      </c>
      <c r="AM203" t="s">
        <v>486</v>
      </c>
      <c r="AN203" t="s">
        <v>1860</v>
      </c>
      <c r="AO203" t="s">
        <v>4096</v>
      </c>
      <c r="AP203" t="s">
        <v>4097</v>
      </c>
      <c r="AQ203" t="s">
        <v>74</v>
      </c>
      <c r="AR203" t="s">
        <v>4098</v>
      </c>
      <c r="AS203" t="s">
        <v>4099</v>
      </c>
      <c r="AT203" t="s">
        <v>4100</v>
      </c>
      <c r="AU203">
        <v>2022</v>
      </c>
      <c r="AV203">
        <v>194</v>
      </c>
      <c r="AW203" t="s">
        <v>74</v>
      </c>
      <c r="AX203" t="s">
        <v>74</v>
      </c>
      <c r="AY203" t="s">
        <v>74</v>
      </c>
      <c r="AZ203" t="s">
        <v>74</v>
      </c>
      <c r="BA203" t="s">
        <v>74</v>
      </c>
      <c r="BB203" t="s">
        <v>74</v>
      </c>
      <c r="BC203" t="s">
        <v>74</v>
      </c>
      <c r="BD203">
        <v>123017</v>
      </c>
      <c r="BE203" t="s">
        <v>4101</v>
      </c>
      <c r="BF203" t="str">
        <f>HYPERLINK("http://dx.doi.org/10.1016/j.ijheatmasstransfer.2022.123017","http://dx.doi.org/10.1016/j.ijheatmasstransfer.2022.123017")</f>
        <v>http://dx.doi.org/10.1016/j.ijheatmasstransfer.2022.123017</v>
      </c>
      <c r="BG203" t="s">
        <v>74</v>
      </c>
      <c r="BH203" t="s">
        <v>1225</v>
      </c>
      <c r="BI203">
        <v>9</v>
      </c>
      <c r="BJ203" t="s">
        <v>4102</v>
      </c>
      <c r="BK203" t="s">
        <v>101</v>
      </c>
      <c r="BL203" t="s">
        <v>4103</v>
      </c>
      <c r="BM203" t="s">
        <v>4104</v>
      </c>
      <c r="BN203" t="s">
        <v>74</v>
      </c>
      <c r="BO203" t="s">
        <v>4105</v>
      </c>
      <c r="BP203" t="s">
        <v>74</v>
      </c>
      <c r="BQ203" t="s">
        <v>74</v>
      </c>
      <c r="BR203" t="s">
        <v>104</v>
      </c>
      <c r="BS203" t="s">
        <v>4106</v>
      </c>
      <c r="BT203" t="str">
        <f>HYPERLINK("https%3A%2F%2Fwww.webofscience.com%2Fwos%2Fwoscc%2Ffull-record%2FWOS:000806739300007","View Full Record in Web of Science")</f>
        <v>View Full Record in Web of Science</v>
      </c>
    </row>
    <row r="204" spans="1:72" x14ac:dyDescent="0.25">
      <c r="A204" t="s">
        <v>72</v>
      </c>
      <c r="B204" t="s">
        <v>1144</v>
      </c>
      <c r="C204" t="s">
        <v>74</v>
      </c>
      <c r="D204" t="s">
        <v>74</v>
      </c>
      <c r="E204" t="s">
        <v>74</v>
      </c>
      <c r="F204" t="s">
        <v>1145</v>
      </c>
      <c r="G204" t="s">
        <v>74</v>
      </c>
      <c r="H204" t="s">
        <v>74</v>
      </c>
      <c r="I204" t="s">
        <v>4107</v>
      </c>
      <c r="J204" t="s">
        <v>1147</v>
      </c>
      <c r="K204" t="s">
        <v>74</v>
      </c>
      <c r="L204" t="s">
        <v>74</v>
      </c>
      <c r="M204" t="s">
        <v>78</v>
      </c>
      <c r="N204" t="s">
        <v>1501</v>
      </c>
      <c r="O204" t="s">
        <v>74</v>
      </c>
      <c r="P204" t="s">
        <v>74</v>
      </c>
      <c r="Q204" t="s">
        <v>74</v>
      </c>
      <c r="R204" t="s">
        <v>74</v>
      </c>
      <c r="S204" t="s">
        <v>74</v>
      </c>
      <c r="T204" t="s">
        <v>4108</v>
      </c>
      <c r="U204" t="s">
        <v>74</v>
      </c>
      <c r="V204" t="s">
        <v>4109</v>
      </c>
      <c r="W204" t="s">
        <v>4110</v>
      </c>
      <c r="X204" t="s">
        <v>74</v>
      </c>
      <c r="Y204" t="s">
        <v>4111</v>
      </c>
      <c r="Z204" t="s">
        <v>1152</v>
      </c>
      <c r="AA204" t="s">
        <v>74</v>
      </c>
      <c r="AB204" t="s">
        <v>1153</v>
      </c>
      <c r="AC204" t="s">
        <v>74</v>
      </c>
      <c r="AD204" t="s">
        <v>74</v>
      </c>
      <c r="AE204" t="s">
        <v>74</v>
      </c>
      <c r="AF204" t="s">
        <v>74</v>
      </c>
      <c r="AG204">
        <v>8</v>
      </c>
      <c r="AH204">
        <v>0</v>
      </c>
      <c r="AI204">
        <v>0</v>
      </c>
      <c r="AJ204">
        <v>0</v>
      </c>
      <c r="AK204">
        <v>0</v>
      </c>
      <c r="AL204" t="s">
        <v>1154</v>
      </c>
      <c r="AM204" t="s">
        <v>1155</v>
      </c>
      <c r="AN204" t="s">
        <v>1156</v>
      </c>
      <c r="AO204" t="s">
        <v>74</v>
      </c>
      <c r="AP204" t="s">
        <v>1157</v>
      </c>
      <c r="AQ204" t="s">
        <v>74</v>
      </c>
      <c r="AR204" t="s">
        <v>1158</v>
      </c>
      <c r="AS204" t="s">
        <v>1159</v>
      </c>
      <c r="AT204" t="s">
        <v>281</v>
      </c>
      <c r="AU204">
        <v>2022</v>
      </c>
      <c r="AV204">
        <v>11</v>
      </c>
      <c r="AW204">
        <v>11</v>
      </c>
      <c r="AX204" t="s">
        <v>74</v>
      </c>
      <c r="AY204" t="s">
        <v>74</v>
      </c>
      <c r="AZ204" t="s">
        <v>74</v>
      </c>
      <c r="BA204" t="s">
        <v>74</v>
      </c>
      <c r="BB204">
        <v>2759</v>
      </c>
      <c r="BC204">
        <v>2761</v>
      </c>
      <c r="BD204" t="s">
        <v>74</v>
      </c>
      <c r="BE204" t="s">
        <v>1160</v>
      </c>
      <c r="BF204" t="str">
        <f>HYPERLINK("http://dx.doi.org/10.34172/ijhpm.2022.6974","http://dx.doi.org/10.34172/ijhpm.2022.6974")</f>
        <v>http://dx.doi.org/10.34172/ijhpm.2022.6974</v>
      </c>
      <c r="BG204" t="s">
        <v>74</v>
      </c>
      <c r="BH204" t="s">
        <v>74</v>
      </c>
      <c r="BI204">
        <v>3</v>
      </c>
      <c r="BJ204" t="s">
        <v>1161</v>
      </c>
      <c r="BK204" t="s">
        <v>284</v>
      </c>
      <c r="BL204" t="s">
        <v>1162</v>
      </c>
      <c r="BM204" t="s">
        <v>4112</v>
      </c>
      <c r="BN204">
        <v>35942964</v>
      </c>
      <c r="BO204" t="s">
        <v>129</v>
      </c>
      <c r="BP204" t="s">
        <v>74</v>
      </c>
      <c r="BQ204" t="s">
        <v>74</v>
      </c>
      <c r="BR204" t="s">
        <v>104</v>
      </c>
      <c r="BS204" t="s">
        <v>4113</v>
      </c>
      <c r="BT204" t="str">
        <f>HYPERLINK("https%3A%2F%2Fwww.webofscience.com%2Fwos%2Fwoscc%2Ffull-record%2FWOS:000891762600041","View Full Record in Web of Science")</f>
        <v>View Full Record in Web of Science</v>
      </c>
    </row>
    <row r="205" spans="1:72" x14ac:dyDescent="0.25">
      <c r="A205" t="s">
        <v>72</v>
      </c>
      <c r="B205" t="s">
        <v>4114</v>
      </c>
      <c r="C205" t="s">
        <v>74</v>
      </c>
      <c r="D205" t="s">
        <v>74</v>
      </c>
      <c r="E205" t="s">
        <v>74</v>
      </c>
      <c r="F205" t="s">
        <v>4115</v>
      </c>
      <c r="G205" t="s">
        <v>74</v>
      </c>
      <c r="H205" t="s">
        <v>74</v>
      </c>
      <c r="I205" t="s">
        <v>4116</v>
      </c>
      <c r="J205" t="s">
        <v>4117</v>
      </c>
      <c r="K205" t="s">
        <v>74</v>
      </c>
      <c r="L205" t="s">
        <v>74</v>
      </c>
      <c r="M205" t="s">
        <v>78</v>
      </c>
      <c r="N205" t="s">
        <v>79</v>
      </c>
      <c r="O205" t="s">
        <v>74</v>
      </c>
      <c r="P205" t="s">
        <v>74</v>
      </c>
      <c r="Q205" t="s">
        <v>74</v>
      </c>
      <c r="R205" t="s">
        <v>74</v>
      </c>
      <c r="S205" t="s">
        <v>74</v>
      </c>
      <c r="T205" t="s">
        <v>4118</v>
      </c>
      <c r="U205" t="s">
        <v>4119</v>
      </c>
      <c r="V205" t="s">
        <v>4120</v>
      </c>
      <c r="W205" t="s">
        <v>4121</v>
      </c>
      <c r="X205" t="s">
        <v>4122</v>
      </c>
      <c r="Y205" t="s">
        <v>4123</v>
      </c>
      <c r="Z205" t="s">
        <v>4124</v>
      </c>
      <c r="AA205" t="s">
        <v>4125</v>
      </c>
      <c r="AB205" t="s">
        <v>4126</v>
      </c>
      <c r="AC205" t="s">
        <v>4127</v>
      </c>
      <c r="AD205" t="s">
        <v>4128</v>
      </c>
      <c r="AE205" t="s">
        <v>4129</v>
      </c>
      <c r="AF205" t="s">
        <v>74</v>
      </c>
      <c r="AG205">
        <v>33</v>
      </c>
      <c r="AH205">
        <v>4</v>
      </c>
      <c r="AI205">
        <v>4</v>
      </c>
      <c r="AJ205">
        <v>0</v>
      </c>
      <c r="AK205">
        <v>2</v>
      </c>
      <c r="AL205" t="s">
        <v>4130</v>
      </c>
      <c r="AM205" t="s">
        <v>4131</v>
      </c>
      <c r="AN205" t="s">
        <v>4132</v>
      </c>
      <c r="AO205" t="s">
        <v>4133</v>
      </c>
      <c r="AP205" t="s">
        <v>74</v>
      </c>
      <c r="AQ205" t="s">
        <v>74</v>
      </c>
      <c r="AR205" t="s">
        <v>4134</v>
      </c>
      <c r="AS205" t="s">
        <v>4135</v>
      </c>
      <c r="AT205" t="s">
        <v>98</v>
      </c>
      <c r="AU205">
        <v>2022</v>
      </c>
      <c r="AV205">
        <v>8</v>
      </c>
      <c r="AW205">
        <v>1</v>
      </c>
      <c r="AX205" t="s">
        <v>74</v>
      </c>
      <c r="AY205" t="s">
        <v>74</v>
      </c>
      <c r="AZ205" t="s">
        <v>74</v>
      </c>
      <c r="BA205" t="s">
        <v>74</v>
      </c>
      <c r="BB205" t="s">
        <v>74</v>
      </c>
      <c r="BC205" t="s">
        <v>74</v>
      </c>
      <c r="BD205">
        <v>15004</v>
      </c>
      <c r="BE205" t="s">
        <v>4136</v>
      </c>
      <c r="BF205" t="str">
        <f>HYPERLINK("http://dx.doi.org/10.1088/2057-1976/ac35a1","http://dx.doi.org/10.1088/2057-1976/ac35a1")</f>
        <v>http://dx.doi.org/10.1088/2057-1976/ac35a1</v>
      </c>
      <c r="BG205" t="s">
        <v>74</v>
      </c>
      <c r="BH205" t="s">
        <v>74</v>
      </c>
      <c r="BI205">
        <v>8</v>
      </c>
      <c r="BJ205" t="s">
        <v>4137</v>
      </c>
      <c r="BK205" t="s">
        <v>180</v>
      </c>
      <c r="BL205" t="s">
        <v>4137</v>
      </c>
      <c r="BM205" t="s">
        <v>4138</v>
      </c>
      <c r="BN205">
        <v>34727526</v>
      </c>
      <c r="BO205" t="s">
        <v>74</v>
      </c>
      <c r="BP205" t="s">
        <v>74</v>
      </c>
      <c r="BQ205" t="s">
        <v>74</v>
      </c>
      <c r="BR205" t="s">
        <v>104</v>
      </c>
      <c r="BS205" t="s">
        <v>4139</v>
      </c>
      <c r="BT205" t="str">
        <f>HYPERLINK("https%3A%2F%2Fwww.webofscience.com%2Fwos%2Fwoscc%2Ffull-record%2FWOS:000716728500001","View Full Record in Web of Science")</f>
        <v>View Full Record in Web of Science</v>
      </c>
    </row>
    <row r="206" spans="1:72" x14ac:dyDescent="0.25">
      <c r="A206" t="s">
        <v>72</v>
      </c>
      <c r="B206" t="s">
        <v>4140</v>
      </c>
      <c r="C206" t="s">
        <v>74</v>
      </c>
      <c r="D206" t="s">
        <v>74</v>
      </c>
      <c r="E206" t="s">
        <v>74</v>
      </c>
      <c r="F206" t="s">
        <v>4141</v>
      </c>
      <c r="G206" t="s">
        <v>74</v>
      </c>
      <c r="H206" t="s">
        <v>74</v>
      </c>
      <c r="I206" t="s">
        <v>4142</v>
      </c>
      <c r="J206" t="s">
        <v>3547</v>
      </c>
      <c r="K206" t="s">
        <v>74</v>
      </c>
      <c r="L206" t="s">
        <v>74</v>
      </c>
      <c r="M206" t="s">
        <v>1234</v>
      </c>
      <c r="N206" t="s">
        <v>79</v>
      </c>
      <c r="O206" t="s">
        <v>74</v>
      </c>
      <c r="P206" t="s">
        <v>74</v>
      </c>
      <c r="Q206" t="s">
        <v>74</v>
      </c>
      <c r="R206" t="s">
        <v>74</v>
      </c>
      <c r="S206" t="s">
        <v>74</v>
      </c>
      <c r="T206" t="s">
        <v>74</v>
      </c>
      <c r="U206" t="s">
        <v>74</v>
      </c>
      <c r="V206" t="s">
        <v>4143</v>
      </c>
      <c r="W206" t="s">
        <v>4144</v>
      </c>
      <c r="X206" t="s">
        <v>4145</v>
      </c>
      <c r="Y206" t="s">
        <v>4146</v>
      </c>
      <c r="Z206" t="s">
        <v>4147</v>
      </c>
      <c r="AA206" t="s">
        <v>74</v>
      </c>
      <c r="AB206" t="s">
        <v>74</v>
      </c>
      <c r="AC206" t="s">
        <v>74</v>
      </c>
      <c r="AD206" t="s">
        <v>74</v>
      </c>
      <c r="AE206" t="s">
        <v>74</v>
      </c>
      <c r="AF206" t="s">
        <v>74</v>
      </c>
      <c r="AG206">
        <v>16</v>
      </c>
      <c r="AH206">
        <v>0</v>
      </c>
      <c r="AI206">
        <v>0</v>
      </c>
      <c r="AJ206">
        <v>3</v>
      </c>
      <c r="AK206">
        <v>3</v>
      </c>
      <c r="AL206" t="s">
        <v>3547</v>
      </c>
      <c r="AM206" t="s">
        <v>3553</v>
      </c>
      <c r="AN206" t="s">
        <v>3554</v>
      </c>
      <c r="AO206" t="s">
        <v>3555</v>
      </c>
      <c r="AP206" t="s">
        <v>74</v>
      </c>
      <c r="AQ206" t="s">
        <v>74</v>
      </c>
      <c r="AR206" t="s">
        <v>3547</v>
      </c>
      <c r="AS206" t="s">
        <v>3556</v>
      </c>
      <c r="AT206" t="s">
        <v>231</v>
      </c>
      <c r="AU206">
        <v>2022</v>
      </c>
      <c r="AV206">
        <v>47</v>
      </c>
      <c r="AW206">
        <v>7</v>
      </c>
      <c r="AX206" t="s">
        <v>74</v>
      </c>
      <c r="AY206" t="s">
        <v>74</v>
      </c>
      <c r="AZ206" t="s">
        <v>74</v>
      </c>
      <c r="BA206" t="s">
        <v>74</v>
      </c>
      <c r="BB206">
        <v>279</v>
      </c>
      <c r="BC206">
        <v>283</v>
      </c>
      <c r="BD206" t="s">
        <v>74</v>
      </c>
      <c r="BE206" t="s">
        <v>74</v>
      </c>
      <c r="BF206" t="s">
        <v>74</v>
      </c>
      <c r="BG206" t="s">
        <v>74</v>
      </c>
      <c r="BH206" t="s">
        <v>74</v>
      </c>
      <c r="BI206">
        <v>5</v>
      </c>
      <c r="BJ206" t="s">
        <v>1440</v>
      </c>
      <c r="BK206" t="s">
        <v>101</v>
      </c>
      <c r="BL206" t="s">
        <v>1441</v>
      </c>
      <c r="BM206" t="s">
        <v>4148</v>
      </c>
      <c r="BN206" t="s">
        <v>74</v>
      </c>
      <c r="BO206" t="s">
        <v>74</v>
      </c>
      <c r="BP206" t="s">
        <v>74</v>
      </c>
      <c r="BQ206" t="s">
        <v>74</v>
      </c>
      <c r="BR206" t="s">
        <v>104</v>
      </c>
      <c r="BS206" t="s">
        <v>4149</v>
      </c>
      <c r="BT206" t="str">
        <f>HYPERLINK("https%3A%2F%2Fwww.webofscience.com%2Fwos%2Fwoscc%2Ffull-record%2FWOS:000837995800005","View Full Record in Web of Science")</f>
        <v>View Full Record in Web of Science</v>
      </c>
    </row>
    <row r="207" spans="1:72" x14ac:dyDescent="0.25">
      <c r="A207" t="s">
        <v>72</v>
      </c>
      <c r="B207" t="s">
        <v>4150</v>
      </c>
      <c r="C207" t="s">
        <v>74</v>
      </c>
      <c r="D207" t="s">
        <v>74</v>
      </c>
      <c r="E207" t="s">
        <v>74</v>
      </c>
      <c r="F207" t="s">
        <v>4151</v>
      </c>
      <c r="G207" t="s">
        <v>74</v>
      </c>
      <c r="H207" t="s">
        <v>74</v>
      </c>
      <c r="I207" t="s">
        <v>4152</v>
      </c>
      <c r="J207" t="s">
        <v>2163</v>
      </c>
      <c r="K207" t="s">
        <v>74</v>
      </c>
      <c r="L207" t="s">
        <v>74</v>
      </c>
      <c r="M207" t="s">
        <v>78</v>
      </c>
      <c r="N207" t="s">
        <v>135</v>
      </c>
      <c r="O207" t="s">
        <v>74</v>
      </c>
      <c r="P207" t="s">
        <v>74</v>
      </c>
      <c r="Q207" t="s">
        <v>74</v>
      </c>
      <c r="R207" t="s">
        <v>74</v>
      </c>
      <c r="S207" t="s">
        <v>74</v>
      </c>
      <c r="T207" t="s">
        <v>4153</v>
      </c>
      <c r="U207" t="s">
        <v>4154</v>
      </c>
      <c r="V207" t="s">
        <v>4155</v>
      </c>
      <c r="W207" t="s">
        <v>4156</v>
      </c>
      <c r="X207" t="s">
        <v>4157</v>
      </c>
      <c r="Y207" t="s">
        <v>4158</v>
      </c>
      <c r="Z207" t="s">
        <v>4159</v>
      </c>
      <c r="AA207" t="s">
        <v>74</v>
      </c>
      <c r="AB207" t="s">
        <v>74</v>
      </c>
      <c r="AC207" t="s">
        <v>74</v>
      </c>
      <c r="AD207" t="s">
        <v>74</v>
      </c>
      <c r="AE207" t="s">
        <v>74</v>
      </c>
      <c r="AF207" t="s">
        <v>74</v>
      </c>
      <c r="AG207">
        <v>43</v>
      </c>
      <c r="AH207">
        <v>0</v>
      </c>
      <c r="AI207">
        <v>0</v>
      </c>
      <c r="AJ207">
        <v>0</v>
      </c>
      <c r="AK207">
        <v>0</v>
      </c>
      <c r="AL207" t="s">
        <v>2173</v>
      </c>
      <c r="AM207" t="s">
        <v>2174</v>
      </c>
      <c r="AN207" t="s">
        <v>2175</v>
      </c>
      <c r="AO207" t="s">
        <v>2176</v>
      </c>
      <c r="AP207" t="s">
        <v>2177</v>
      </c>
      <c r="AQ207" t="s">
        <v>74</v>
      </c>
      <c r="AR207" t="s">
        <v>2178</v>
      </c>
      <c r="AS207" t="s">
        <v>2179</v>
      </c>
      <c r="AT207" t="s">
        <v>74</v>
      </c>
      <c r="AU207" t="s">
        <v>74</v>
      </c>
      <c r="AV207" t="s">
        <v>74</v>
      </c>
      <c r="AW207" t="s">
        <v>74</v>
      </c>
      <c r="AX207" t="s">
        <v>74</v>
      </c>
      <c r="AY207" t="s">
        <v>74</v>
      </c>
      <c r="AZ207" t="s">
        <v>74</v>
      </c>
      <c r="BA207" t="s">
        <v>74</v>
      </c>
      <c r="BB207" t="s">
        <v>74</v>
      </c>
      <c r="BC207" t="s">
        <v>74</v>
      </c>
      <c r="BD207" t="s">
        <v>74</v>
      </c>
      <c r="BE207" t="s">
        <v>4160</v>
      </c>
      <c r="BF207" t="str">
        <f>HYPERLINK("http://dx.doi.org/10.5267/j.ijiec.2022.12.004","http://dx.doi.org/10.5267/j.ijiec.2022.12.004")</f>
        <v>http://dx.doi.org/10.5267/j.ijiec.2022.12.004</v>
      </c>
      <c r="BG207" t="s">
        <v>74</v>
      </c>
      <c r="BH207" t="s">
        <v>153</v>
      </c>
      <c r="BI207">
        <v>20</v>
      </c>
      <c r="BJ207" t="s">
        <v>2182</v>
      </c>
      <c r="BK207" t="s">
        <v>101</v>
      </c>
      <c r="BL207" t="s">
        <v>2183</v>
      </c>
      <c r="BM207" t="s">
        <v>4161</v>
      </c>
      <c r="BN207" t="s">
        <v>74</v>
      </c>
      <c r="BO207" t="s">
        <v>74</v>
      </c>
      <c r="BP207" t="s">
        <v>74</v>
      </c>
      <c r="BQ207" t="s">
        <v>74</v>
      </c>
      <c r="BR207" t="s">
        <v>104</v>
      </c>
      <c r="BS207" t="s">
        <v>4162</v>
      </c>
      <c r="BT207" t="str">
        <f>HYPERLINK("https%3A%2F%2Fwww.webofscience.com%2Fwos%2Fwoscc%2Ffull-record%2FWOS:000905369000001","View Full Record in Web of Science")</f>
        <v>View Full Record in Web of Science</v>
      </c>
    </row>
    <row r="208" spans="1:72" x14ac:dyDescent="0.25">
      <c r="A208" t="s">
        <v>72</v>
      </c>
      <c r="B208" t="s">
        <v>4163</v>
      </c>
      <c r="C208" t="s">
        <v>74</v>
      </c>
      <c r="D208" t="s">
        <v>74</v>
      </c>
      <c r="E208" t="s">
        <v>74</v>
      </c>
      <c r="F208" t="s">
        <v>4164</v>
      </c>
      <c r="G208" t="s">
        <v>74</v>
      </c>
      <c r="H208" t="s">
        <v>74</v>
      </c>
      <c r="I208" t="s">
        <v>4165</v>
      </c>
      <c r="J208" t="s">
        <v>4166</v>
      </c>
      <c r="K208" t="s">
        <v>74</v>
      </c>
      <c r="L208" t="s">
        <v>74</v>
      </c>
      <c r="M208" t="s">
        <v>78</v>
      </c>
      <c r="N208" t="s">
        <v>135</v>
      </c>
      <c r="O208" t="s">
        <v>74</v>
      </c>
      <c r="P208" t="s">
        <v>74</v>
      </c>
      <c r="Q208" t="s">
        <v>74</v>
      </c>
      <c r="R208" t="s">
        <v>74</v>
      </c>
      <c r="S208" t="s">
        <v>74</v>
      </c>
      <c r="T208" t="s">
        <v>4167</v>
      </c>
      <c r="U208" t="s">
        <v>4168</v>
      </c>
      <c r="V208" t="s">
        <v>4169</v>
      </c>
      <c r="W208" t="s">
        <v>4170</v>
      </c>
      <c r="X208" t="s">
        <v>4171</v>
      </c>
      <c r="Y208" t="s">
        <v>4172</v>
      </c>
      <c r="Z208" t="s">
        <v>4173</v>
      </c>
      <c r="AA208" t="s">
        <v>74</v>
      </c>
      <c r="AB208" t="s">
        <v>4174</v>
      </c>
      <c r="AC208" t="s">
        <v>4175</v>
      </c>
      <c r="AD208" t="s">
        <v>4176</v>
      </c>
      <c r="AE208" t="s">
        <v>4177</v>
      </c>
      <c r="AF208" t="s">
        <v>74</v>
      </c>
      <c r="AG208">
        <v>65</v>
      </c>
      <c r="AH208">
        <v>0</v>
      </c>
      <c r="AI208">
        <v>0</v>
      </c>
      <c r="AJ208">
        <v>0</v>
      </c>
      <c r="AK208">
        <v>0</v>
      </c>
      <c r="AL208" t="s">
        <v>798</v>
      </c>
      <c r="AM208" t="s">
        <v>799</v>
      </c>
      <c r="AN208" t="s">
        <v>800</v>
      </c>
      <c r="AO208" t="s">
        <v>4178</v>
      </c>
      <c r="AP208" t="s">
        <v>4179</v>
      </c>
      <c r="AQ208" t="s">
        <v>74</v>
      </c>
      <c r="AR208" t="s">
        <v>4180</v>
      </c>
      <c r="AS208" t="s">
        <v>4181</v>
      </c>
      <c r="AT208" t="s">
        <v>74</v>
      </c>
      <c r="AU208" t="s">
        <v>74</v>
      </c>
      <c r="AV208" t="s">
        <v>74</v>
      </c>
      <c r="AW208" t="s">
        <v>74</v>
      </c>
      <c r="AX208" t="s">
        <v>74</v>
      </c>
      <c r="AY208" t="s">
        <v>74</v>
      </c>
      <c r="AZ208" t="s">
        <v>74</v>
      </c>
      <c r="BA208" t="s">
        <v>74</v>
      </c>
      <c r="BB208" t="s">
        <v>74</v>
      </c>
      <c r="BC208" t="s">
        <v>74</v>
      </c>
      <c r="BD208" t="s">
        <v>74</v>
      </c>
      <c r="BE208" t="s">
        <v>4182</v>
      </c>
      <c r="BF208" t="str">
        <f>HYPERLINK("http://dx.doi.org/10.1111/mve.12633","http://dx.doi.org/10.1111/mve.12633")</f>
        <v>http://dx.doi.org/10.1111/mve.12633</v>
      </c>
      <c r="BG208" t="s">
        <v>74</v>
      </c>
      <c r="BH208" t="s">
        <v>153</v>
      </c>
      <c r="BI208">
        <v>14</v>
      </c>
      <c r="BJ208" t="s">
        <v>4183</v>
      </c>
      <c r="BK208" t="s">
        <v>101</v>
      </c>
      <c r="BL208" t="s">
        <v>4183</v>
      </c>
      <c r="BM208" t="s">
        <v>4184</v>
      </c>
      <c r="BN208">
        <v>36543747</v>
      </c>
      <c r="BO208" t="s">
        <v>74</v>
      </c>
      <c r="BP208" t="s">
        <v>74</v>
      </c>
      <c r="BQ208" t="s">
        <v>74</v>
      </c>
      <c r="BR208" t="s">
        <v>104</v>
      </c>
      <c r="BS208" t="s">
        <v>4185</v>
      </c>
      <c r="BT208" t="str">
        <f>HYPERLINK("https%3A%2F%2Fwww.webofscience.com%2Fwos%2Fwoscc%2Ffull-record%2FWOS:000901961400001","View Full Record in Web of Science")</f>
        <v>View Full Record in Web of Science</v>
      </c>
    </row>
    <row r="209" spans="1:72" x14ac:dyDescent="0.25">
      <c r="A209" t="s">
        <v>72</v>
      </c>
      <c r="B209" t="s">
        <v>4186</v>
      </c>
      <c r="C209" t="s">
        <v>74</v>
      </c>
      <c r="D209" t="s">
        <v>74</v>
      </c>
      <c r="E209" t="s">
        <v>74</v>
      </c>
      <c r="F209" t="s">
        <v>4187</v>
      </c>
      <c r="G209" t="s">
        <v>74</v>
      </c>
      <c r="H209" t="s">
        <v>74</v>
      </c>
      <c r="I209" t="s">
        <v>4188</v>
      </c>
      <c r="J209" t="s">
        <v>4189</v>
      </c>
      <c r="K209" t="s">
        <v>74</v>
      </c>
      <c r="L209" t="s">
        <v>74</v>
      </c>
      <c r="M209" t="s">
        <v>78</v>
      </c>
      <c r="N209" t="s">
        <v>79</v>
      </c>
      <c r="O209" t="s">
        <v>74</v>
      </c>
      <c r="P209" t="s">
        <v>74</v>
      </c>
      <c r="Q209" t="s">
        <v>74</v>
      </c>
      <c r="R209" t="s">
        <v>74</v>
      </c>
      <c r="S209" t="s">
        <v>74</v>
      </c>
      <c r="T209" t="s">
        <v>4190</v>
      </c>
      <c r="U209" t="s">
        <v>74</v>
      </c>
      <c r="V209" t="s">
        <v>4191</v>
      </c>
      <c r="W209" t="s">
        <v>4192</v>
      </c>
      <c r="X209" t="s">
        <v>4193</v>
      </c>
      <c r="Y209" t="s">
        <v>4194</v>
      </c>
      <c r="Z209" t="s">
        <v>74</v>
      </c>
      <c r="AA209" t="s">
        <v>74</v>
      </c>
      <c r="AB209" t="s">
        <v>4195</v>
      </c>
      <c r="AC209" t="s">
        <v>74</v>
      </c>
      <c r="AD209" t="s">
        <v>74</v>
      </c>
      <c r="AE209" t="s">
        <v>74</v>
      </c>
      <c r="AF209" t="s">
        <v>74</v>
      </c>
      <c r="AG209">
        <v>41</v>
      </c>
      <c r="AH209">
        <v>0</v>
      </c>
      <c r="AI209">
        <v>0</v>
      </c>
      <c r="AJ209">
        <v>4</v>
      </c>
      <c r="AK209">
        <v>4</v>
      </c>
      <c r="AL209" t="s">
        <v>4196</v>
      </c>
      <c r="AM209" t="s">
        <v>4197</v>
      </c>
      <c r="AN209" t="s">
        <v>4198</v>
      </c>
      <c r="AO209" t="s">
        <v>4199</v>
      </c>
      <c r="AP209" t="s">
        <v>74</v>
      </c>
      <c r="AQ209" t="s">
        <v>74</v>
      </c>
      <c r="AR209" t="s">
        <v>4200</v>
      </c>
      <c r="AS209" t="s">
        <v>4201</v>
      </c>
      <c r="AT209" t="s">
        <v>74</v>
      </c>
      <c r="AU209">
        <v>2022</v>
      </c>
      <c r="AV209">
        <v>10</v>
      </c>
      <c r="AW209" t="s">
        <v>74</v>
      </c>
      <c r="AX209" t="s">
        <v>74</v>
      </c>
      <c r="AY209" t="s">
        <v>74</v>
      </c>
      <c r="AZ209" t="s">
        <v>74</v>
      </c>
      <c r="BA209" t="s">
        <v>74</v>
      </c>
      <c r="BB209" t="s">
        <v>4202</v>
      </c>
      <c r="BC209" t="s">
        <v>4203</v>
      </c>
      <c r="BD209" t="s">
        <v>74</v>
      </c>
      <c r="BE209" t="s">
        <v>4204</v>
      </c>
      <c r="BF209" t="str">
        <f>HYPERLINK("http://dx.doi.org/10.5195/dpj.2022.468","http://dx.doi.org/10.5195/dpj.2022.468")</f>
        <v>http://dx.doi.org/10.5195/dpj.2022.468</v>
      </c>
      <c r="BG209" t="s">
        <v>74</v>
      </c>
      <c r="BH209" t="s">
        <v>74</v>
      </c>
      <c r="BI209">
        <v>21</v>
      </c>
      <c r="BJ209" t="s">
        <v>1601</v>
      </c>
      <c r="BK209" t="s">
        <v>180</v>
      </c>
      <c r="BL209" t="s">
        <v>1601</v>
      </c>
      <c r="BM209" t="s">
        <v>4205</v>
      </c>
      <c r="BN209" t="s">
        <v>74</v>
      </c>
      <c r="BO209" t="s">
        <v>183</v>
      </c>
      <c r="BP209" t="s">
        <v>74</v>
      </c>
      <c r="BQ209" t="s">
        <v>74</v>
      </c>
      <c r="BR209" t="s">
        <v>104</v>
      </c>
      <c r="BS209" t="s">
        <v>4206</v>
      </c>
      <c r="BT209" t="str">
        <f>HYPERLINK("https%3A%2F%2Fwww.webofscience.com%2Fwos%2Fwoscc%2Ffull-record%2FWOS:000791421700001","View Full Record in Web of Science")</f>
        <v>View Full Record in Web of Science</v>
      </c>
    </row>
    <row r="210" spans="1:72" x14ac:dyDescent="0.25">
      <c r="A210" t="s">
        <v>72</v>
      </c>
      <c r="B210" t="s">
        <v>4207</v>
      </c>
      <c r="C210" t="s">
        <v>74</v>
      </c>
      <c r="D210" t="s">
        <v>74</v>
      </c>
      <c r="E210" t="s">
        <v>74</v>
      </c>
      <c r="F210" t="s">
        <v>4208</v>
      </c>
      <c r="G210" t="s">
        <v>74</v>
      </c>
      <c r="H210" t="s">
        <v>74</v>
      </c>
      <c r="I210" t="s">
        <v>4209</v>
      </c>
      <c r="J210" t="s">
        <v>4210</v>
      </c>
      <c r="K210" t="s">
        <v>74</v>
      </c>
      <c r="L210" t="s">
        <v>74</v>
      </c>
      <c r="M210" t="s">
        <v>78</v>
      </c>
      <c r="N210" t="s">
        <v>79</v>
      </c>
      <c r="O210" t="s">
        <v>74</v>
      </c>
      <c r="P210" t="s">
        <v>74</v>
      </c>
      <c r="Q210" t="s">
        <v>74</v>
      </c>
      <c r="R210" t="s">
        <v>74</v>
      </c>
      <c r="S210" t="s">
        <v>74</v>
      </c>
      <c r="T210" t="s">
        <v>4211</v>
      </c>
      <c r="U210" t="s">
        <v>4212</v>
      </c>
      <c r="V210" t="s">
        <v>4213</v>
      </c>
      <c r="W210" t="s">
        <v>4214</v>
      </c>
      <c r="X210" t="s">
        <v>4215</v>
      </c>
      <c r="Y210" t="s">
        <v>4216</v>
      </c>
      <c r="Z210" t="s">
        <v>4217</v>
      </c>
      <c r="AA210" t="s">
        <v>74</v>
      </c>
      <c r="AB210" t="s">
        <v>4218</v>
      </c>
      <c r="AC210" t="s">
        <v>74</v>
      </c>
      <c r="AD210" t="s">
        <v>74</v>
      </c>
      <c r="AE210" t="s">
        <v>74</v>
      </c>
      <c r="AF210" t="s">
        <v>74</v>
      </c>
      <c r="AG210">
        <v>141</v>
      </c>
      <c r="AH210">
        <v>0</v>
      </c>
      <c r="AI210">
        <v>0</v>
      </c>
      <c r="AJ210">
        <v>2</v>
      </c>
      <c r="AK210">
        <v>2</v>
      </c>
      <c r="AL210" t="s">
        <v>4219</v>
      </c>
      <c r="AM210" t="s">
        <v>4220</v>
      </c>
      <c r="AN210" t="s">
        <v>4221</v>
      </c>
      <c r="AO210" t="s">
        <v>74</v>
      </c>
      <c r="AP210" t="s">
        <v>4222</v>
      </c>
      <c r="AQ210" t="s">
        <v>74</v>
      </c>
      <c r="AR210" t="s">
        <v>4223</v>
      </c>
      <c r="AS210" t="s">
        <v>4224</v>
      </c>
      <c r="AT210" t="s">
        <v>4225</v>
      </c>
      <c r="AU210">
        <v>2022</v>
      </c>
      <c r="AV210">
        <v>13</v>
      </c>
      <c r="AW210" t="s">
        <v>74</v>
      </c>
      <c r="AX210" t="s">
        <v>74</v>
      </c>
      <c r="AY210" t="s">
        <v>74</v>
      </c>
      <c r="AZ210" t="s">
        <v>74</v>
      </c>
      <c r="BA210" t="s">
        <v>74</v>
      </c>
      <c r="BB210" t="s">
        <v>74</v>
      </c>
      <c r="BC210" t="s">
        <v>74</v>
      </c>
      <c r="BD210">
        <v>820209</v>
      </c>
      <c r="BE210" t="s">
        <v>4226</v>
      </c>
      <c r="BF210" t="str">
        <f>HYPERLINK("http://dx.doi.org/10.3389/fgene.2022.820209","http://dx.doi.org/10.3389/fgene.2022.820209")</f>
        <v>http://dx.doi.org/10.3389/fgene.2022.820209</v>
      </c>
      <c r="BG210" t="s">
        <v>74</v>
      </c>
      <c r="BH210" t="s">
        <v>74</v>
      </c>
      <c r="BI210">
        <v>17</v>
      </c>
      <c r="BJ210" t="s">
        <v>4227</v>
      </c>
      <c r="BK210" t="s">
        <v>101</v>
      </c>
      <c r="BL210" t="s">
        <v>4227</v>
      </c>
      <c r="BM210" t="s">
        <v>4228</v>
      </c>
      <c r="BN210">
        <v>35281828</v>
      </c>
      <c r="BO210" t="s">
        <v>129</v>
      </c>
      <c r="BP210" t="s">
        <v>74</v>
      </c>
      <c r="BQ210" t="s">
        <v>74</v>
      </c>
      <c r="BR210" t="s">
        <v>104</v>
      </c>
      <c r="BS210" t="s">
        <v>4229</v>
      </c>
      <c r="BT210" t="str">
        <f>HYPERLINK("https%3A%2F%2Fwww.webofscience.com%2Fwos%2Fwoscc%2Ffull-record%2FWOS:000766894400001","View Full Record in Web of Science")</f>
        <v>View Full Record in Web of Science</v>
      </c>
    </row>
    <row r="211" spans="1:72" x14ac:dyDescent="0.25">
      <c r="A211" t="s">
        <v>72</v>
      </c>
      <c r="B211" t="s">
        <v>4230</v>
      </c>
      <c r="C211" t="s">
        <v>74</v>
      </c>
      <c r="D211" t="s">
        <v>74</v>
      </c>
      <c r="E211" t="s">
        <v>74</v>
      </c>
      <c r="F211" t="s">
        <v>4231</v>
      </c>
      <c r="G211" t="s">
        <v>74</v>
      </c>
      <c r="H211" t="s">
        <v>74</v>
      </c>
      <c r="I211" t="s">
        <v>4232</v>
      </c>
      <c r="J211" t="s">
        <v>4233</v>
      </c>
      <c r="K211" t="s">
        <v>74</v>
      </c>
      <c r="L211" t="s">
        <v>74</v>
      </c>
      <c r="M211" t="s">
        <v>78</v>
      </c>
      <c r="N211" t="s">
        <v>162</v>
      </c>
      <c r="O211" t="s">
        <v>74</v>
      </c>
      <c r="P211" t="s">
        <v>74</v>
      </c>
      <c r="Q211" t="s">
        <v>74</v>
      </c>
      <c r="R211" t="s">
        <v>74</v>
      </c>
      <c r="S211" t="s">
        <v>74</v>
      </c>
      <c r="T211" t="s">
        <v>4234</v>
      </c>
      <c r="U211" t="s">
        <v>4235</v>
      </c>
      <c r="V211" t="s">
        <v>4236</v>
      </c>
      <c r="W211" t="s">
        <v>4237</v>
      </c>
      <c r="X211" t="s">
        <v>4238</v>
      </c>
      <c r="Y211" t="s">
        <v>4239</v>
      </c>
      <c r="Z211" t="s">
        <v>4240</v>
      </c>
      <c r="AA211" t="s">
        <v>4241</v>
      </c>
      <c r="AB211" t="s">
        <v>4242</v>
      </c>
      <c r="AC211" t="s">
        <v>4243</v>
      </c>
      <c r="AD211" t="s">
        <v>4243</v>
      </c>
      <c r="AE211" t="s">
        <v>4244</v>
      </c>
      <c r="AF211" t="s">
        <v>74</v>
      </c>
      <c r="AG211">
        <v>127</v>
      </c>
      <c r="AH211">
        <v>0</v>
      </c>
      <c r="AI211">
        <v>0</v>
      </c>
      <c r="AJ211">
        <v>4</v>
      </c>
      <c r="AK211">
        <v>4</v>
      </c>
      <c r="AL211" t="s">
        <v>92</v>
      </c>
      <c r="AM211" t="s">
        <v>93</v>
      </c>
      <c r="AN211" t="s">
        <v>94</v>
      </c>
      <c r="AO211" t="s">
        <v>74</v>
      </c>
      <c r="AP211" t="s">
        <v>4245</v>
      </c>
      <c r="AQ211" t="s">
        <v>74</v>
      </c>
      <c r="AR211" t="s">
        <v>4246</v>
      </c>
      <c r="AS211" t="s">
        <v>4247</v>
      </c>
      <c r="AT211" t="s">
        <v>400</v>
      </c>
      <c r="AU211">
        <v>2022</v>
      </c>
      <c r="AV211">
        <v>11</v>
      </c>
      <c r="AW211">
        <v>15</v>
      </c>
      <c r="AX211" t="s">
        <v>74</v>
      </c>
      <c r="AY211" t="s">
        <v>74</v>
      </c>
      <c r="AZ211" t="s">
        <v>74</v>
      </c>
      <c r="BA211" t="s">
        <v>74</v>
      </c>
      <c r="BB211" t="s">
        <v>74</v>
      </c>
      <c r="BC211" t="s">
        <v>74</v>
      </c>
      <c r="BD211">
        <v>2463</v>
      </c>
      <c r="BE211" t="s">
        <v>4248</v>
      </c>
      <c r="BF211" t="str">
        <f>HYPERLINK("http://dx.doi.org/10.3390/electronics11152463","http://dx.doi.org/10.3390/electronics11152463")</f>
        <v>http://dx.doi.org/10.3390/electronics11152463</v>
      </c>
      <c r="BG211" t="s">
        <v>74</v>
      </c>
      <c r="BH211" t="s">
        <v>74</v>
      </c>
      <c r="BI211">
        <v>20</v>
      </c>
      <c r="BJ211" t="s">
        <v>4249</v>
      </c>
      <c r="BK211" t="s">
        <v>101</v>
      </c>
      <c r="BL211" t="s">
        <v>4250</v>
      </c>
      <c r="BM211" t="s">
        <v>4251</v>
      </c>
      <c r="BN211" t="s">
        <v>74</v>
      </c>
      <c r="BO211" t="s">
        <v>4252</v>
      </c>
      <c r="BP211" t="s">
        <v>74</v>
      </c>
      <c r="BQ211" t="s">
        <v>74</v>
      </c>
      <c r="BR211" t="s">
        <v>104</v>
      </c>
      <c r="BS211" t="s">
        <v>4253</v>
      </c>
      <c r="BT211" t="str">
        <f>HYPERLINK("https%3A%2F%2Fwww.webofscience.com%2Fwos%2Fwoscc%2Ffull-record%2FWOS:000839196300001","View Full Record in Web of Science")</f>
        <v>View Full Record in Web of Science</v>
      </c>
    </row>
    <row r="212" spans="1:72" x14ac:dyDescent="0.25">
      <c r="A212" t="s">
        <v>72</v>
      </c>
      <c r="B212" t="s">
        <v>4254</v>
      </c>
      <c r="C212" t="s">
        <v>74</v>
      </c>
      <c r="D212" t="s">
        <v>74</v>
      </c>
      <c r="E212" t="s">
        <v>74</v>
      </c>
      <c r="F212" t="s">
        <v>4255</v>
      </c>
      <c r="G212" t="s">
        <v>74</v>
      </c>
      <c r="H212" t="s">
        <v>74</v>
      </c>
      <c r="I212" t="s">
        <v>4256</v>
      </c>
      <c r="J212" t="s">
        <v>4257</v>
      </c>
      <c r="K212" t="s">
        <v>74</v>
      </c>
      <c r="L212" t="s">
        <v>74</v>
      </c>
      <c r="M212" t="s">
        <v>78</v>
      </c>
      <c r="N212" t="s">
        <v>79</v>
      </c>
      <c r="O212" t="s">
        <v>74</v>
      </c>
      <c r="P212" t="s">
        <v>74</v>
      </c>
      <c r="Q212" t="s">
        <v>74</v>
      </c>
      <c r="R212" t="s">
        <v>74</v>
      </c>
      <c r="S212" t="s">
        <v>74</v>
      </c>
      <c r="T212" t="s">
        <v>4258</v>
      </c>
      <c r="U212" t="s">
        <v>4259</v>
      </c>
      <c r="V212" t="s">
        <v>4260</v>
      </c>
      <c r="W212" t="s">
        <v>4261</v>
      </c>
      <c r="X212" t="s">
        <v>74</v>
      </c>
      <c r="Y212" t="s">
        <v>4262</v>
      </c>
      <c r="Z212" t="s">
        <v>4263</v>
      </c>
      <c r="AA212" t="s">
        <v>74</v>
      </c>
      <c r="AB212" t="s">
        <v>4264</v>
      </c>
      <c r="AC212" t="s">
        <v>4265</v>
      </c>
      <c r="AD212" t="s">
        <v>4266</v>
      </c>
      <c r="AE212" t="s">
        <v>4267</v>
      </c>
      <c r="AF212" t="s">
        <v>74</v>
      </c>
      <c r="AG212">
        <v>53</v>
      </c>
      <c r="AH212">
        <v>2</v>
      </c>
      <c r="AI212">
        <v>2</v>
      </c>
      <c r="AJ212">
        <v>7</v>
      </c>
      <c r="AK212">
        <v>7</v>
      </c>
      <c r="AL212" t="s">
        <v>251</v>
      </c>
      <c r="AM212" t="s">
        <v>252</v>
      </c>
      <c r="AN212" t="s">
        <v>253</v>
      </c>
      <c r="AO212" t="s">
        <v>4268</v>
      </c>
      <c r="AP212" t="s">
        <v>4269</v>
      </c>
      <c r="AQ212" t="s">
        <v>74</v>
      </c>
      <c r="AR212" t="s">
        <v>4270</v>
      </c>
      <c r="AS212" t="s">
        <v>4271</v>
      </c>
      <c r="AT212" t="s">
        <v>1001</v>
      </c>
      <c r="AU212">
        <v>2022</v>
      </c>
      <c r="AV212">
        <v>253</v>
      </c>
      <c r="AW212" t="s">
        <v>74</v>
      </c>
      <c r="AX212" t="s">
        <v>74</v>
      </c>
      <c r="AY212" t="s">
        <v>74</v>
      </c>
      <c r="AZ212" t="s">
        <v>74</v>
      </c>
      <c r="BA212" t="s">
        <v>74</v>
      </c>
      <c r="BB212" t="s">
        <v>74</v>
      </c>
      <c r="BC212" t="s">
        <v>74</v>
      </c>
      <c r="BD212">
        <v>103937</v>
      </c>
      <c r="BE212" t="s">
        <v>4272</v>
      </c>
      <c r="BF212" t="str">
        <f>HYPERLINK("http://dx.doi.org/10.1016/j.coal.2022.103937","http://dx.doi.org/10.1016/j.coal.2022.103937")</f>
        <v>http://dx.doi.org/10.1016/j.coal.2022.103937</v>
      </c>
      <c r="BG212" t="s">
        <v>74</v>
      </c>
      <c r="BH212" t="s">
        <v>233</v>
      </c>
      <c r="BI212">
        <v>17</v>
      </c>
      <c r="BJ212" t="s">
        <v>4273</v>
      </c>
      <c r="BK212" t="s">
        <v>101</v>
      </c>
      <c r="BL212" t="s">
        <v>4274</v>
      </c>
      <c r="BM212" t="s">
        <v>4275</v>
      </c>
      <c r="BN212" t="s">
        <v>74</v>
      </c>
      <c r="BO212" t="s">
        <v>74</v>
      </c>
      <c r="BP212" t="s">
        <v>74</v>
      </c>
      <c r="BQ212" t="s">
        <v>74</v>
      </c>
      <c r="BR212" t="s">
        <v>104</v>
      </c>
      <c r="BS212" t="s">
        <v>4276</v>
      </c>
      <c r="BT212" t="str">
        <f>HYPERLINK("https%3A%2F%2Fwww.webofscience.com%2Fwos%2Fwoscc%2Ffull-record%2FWOS:000820629900001","View Full Record in Web of Science")</f>
        <v>View Full Record in Web of Science</v>
      </c>
    </row>
    <row r="213" spans="1:72" x14ac:dyDescent="0.25">
      <c r="A213" t="s">
        <v>72</v>
      </c>
      <c r="B213" t="s">
        <v>4277</v>
      </c>
      <c r="C213" t="s">
        <v>74</v>
      </c>
      <c r="D213" t="s">
        <v>74</v>
      </c>
      <c r="E213" t="s">
        <v>74</v>
      </c>
      <c r="F213" t="s">
        <v>4278</v>
      </c>
      <c r="G213" t="s">
        <v>74</v>
      </c>
      <c r="H213" t="s">
        <v>74</v>
      </c>
      <c r="I213" t="s">
        <v>4279</v>
      </c>
      <c r="J213" t="s">
        <v>3082</v>
      </c>
      <c r="K213" t="s">
        <v>74</v>
      </c>
      <c r="L213" t="s">
        <v>74</v>
      </c>
      <c r="M213" t="s">
        <v>78</v>
      </c>
      <c r="N213" t="s">
        <v>79</v>
      </c>
      <c r="O213" t="s">
        <v>74</v>
      </c>
      <c r="P213" t="s">
        <v>74</v>
      </c>
      <c r="Q213" t="s">
        <v>74</v>
      </c>
      <c r="R213" t="s">
        <v>74</v>
      </c>
      <c r="S213" t="s">
        <v>74</v>
      </c>
      <c r="T213" t="s">
        <v>4280</v>
      </c>
      <c r="U213" t="s">
        <v>4281</v>
      </c>
      <c r="V213" t="s">
        <v>4282</v>
      </c>
      <c r="W213" t="s">
        <v>4283</v>
      </c>
      <c r="X213" t="s">
        <v>4284</v>
      </c>
      <c r="Y213" t="s">
        <v>4285</v>
      </c>
      <c r="Z213" t="s">
        <v>4286</v>
      </c>
      <c r="AA213" t="s">
        <v>74</v>
      </c>
      <c r="AB213" t="s">
        <v>74</v>
      </c>
      <c r="AC213" t="s">
        <v>74</v>
      </c>
      <c r="AD213" t="s">
        <v>74</v>
      </c>
      <c r="AE213" t="s">
        <v>74</v>
      </c>
      <c r="AF213" t="s">
        <v>74</v>
      </c>
      <c r="AG213">
        <v>33</v>
      </c>
      <c r="AH213">
        <v>0</v>
      </c>
      <c r="AI213">
        <v>0</v>
      </c>
      <c r="AJ213">
        <v>9</v>
      </c>
      <c r="AK213">
        <v>10</v>
      </c>
      <c r="AL213" t="s">
        <v>1391</v>
      </c>
      <c r="AM213" t="s">
        <v>1392</v>
      </c>
      <c r="AN213" t="s">
        <v>1393</v>
      </c>
      <c r="AO213" t="s">
        <v>3090</v>
      </c>
      <c r="AP213" t="s">
        <v>3091</v>
      </c>
      <c r="AQ213" t="s">
        <v>74</v>
      </c>
      <c r="AR213" t="s">
        <v>3092</v>
      </c>
      <c r="AS213" t="s">
        <v>3093</v>
      </c>
      <c r="AT213" t="s">
        <v>4287</v>
      </c>
      <c r="AU213">
        <v>2022</v>
      </c>
      <c r="AV213">
        <v>31</v>
      </c>
      <c r="AW213">
        <v>59</v>
      </c>
      <c r="AX213" t="s">
        <v>74</v>
      </c>
      <c r="AY213" t="s">
        <v>74</v>
      </c>
      <c r="AZ213" t="s">
        <v>74</v>
      </c>
      <c r="BA213" t="s">
        <v>74</v>
      </c>
      <c r="BB213" t="s">
        <v>74</v>
      </c>
      <c r="BC213" t="s">
        <v>74</v>
      </c>
      <c r="BD213" t="s">
        <v>4288</v>
      </c>
      <c r="BE213" t="s">
        <v>4289</v>
      </c>
      <c r="BF213" t="str">
        <f>HYPERLINK("http://dx.doi.org/10.19053/01211129.v30.n56.2021.14167","http://dx.doi.org/10.19053/01211129.v30.n56.2021.14167")</f>
        <v>http://dx.doi.org/10.19053/01211129.v30.n56.2021.14167</v>
      </c>
      <c r="BG213" t="s">
        <v>74</v>
      </c>
      <c r="BH213" t="s">
        <v>74</v>
      </c>
      <c r="BI213">
        <v>14</v>
      </c>
      <c r="BJ213" t="s">
        <v>308</v>
      </c>
      <c r="BK213" t="s">
        <v>180</v>
      </c>
      <c r="BL213" t="s">
        <v>309</v>
      </c>
      <c r="BM213" t="s">
        <v>4290</v>
      </c>
      <c r="BN213" t="s">
        <v>74</v>
      </c>
      <c r="BO213" t="s">
        <v>74</v>
      </c>
      <c r="BP213" t="s">
        <v>74</v>
      </c>
      <c r="BQ213" t="s">
        <v>74</v>
      </c>
      <c r="BR213" t="s">
        <v>104</v>
      </c>
      <c r="BS213" t="s">
        <v>4291</v>
      </c>
      <c r="BT213" t="str">
        <f>HYPERLINK("https%3A%2F%2Fwww.webofscience.com%2Fwos%2Fwoscc%2Ffull-record%2FWOS:000788137700001","View Full Record in Web of Science")</f>
        <v>View Full Record in Web of Science</v>
      </c>
    </row>
    <row r="214" spans="1:72" x14ac:dyDescent="0.25">
      <c r="A214" t="s">
        <v>72</v>
      </c>
      <c r="B214" t="s">
        <v>4292</v>
      </c>
      <c r="C214" t="s">
        <v>74</v>
      </c>
      <c r="D214" t="s">
        <v>74</v>
      </c>
      <c r="E214" t="s">
        <v>74</v>
      </c>
      <c r="F214" t="s">
        <v>4293</v>
      </c>
      <c r="G214" t="s">
        <v>74</v>
      </c>
      <c r="H214" t="s">
        <v>74</v>
      </c>
      <c r="I214" t="s">
        <v>4294</v>
      </c>
      <c r="J214" t="s">
        <v>4295</v>
      </c>
      <c r="K214" t="s">
        <v>74</v>
      </c>
      <c r="L214" t="s">
        <v>74</v>
      </c>
      <c r="M214" t="s">
        <v>78</v>
      </c>
      <c r="N214" t="s">
        <v>79</v>
      </c>
      <c r="O214" t="s">
        <v>74</v>
      </c>
      <c r="P214" t="s">
        <v>74</v>
      </c>
      <c r="Q214" t="s">
        <v>74</v>
      </c>
      <c r="R214" t="s">
        <v>74</v>
      </c>
      <c r="S214" t="s">
        <v>74</v>
      </c>
      <c r="T214" t="s">
        <v>4296</v>
      </c>
      <c r="U214" t="s">
        <v>4297</v>
      </c>
      <c r="V214" t="s">
        <v>4298</v>
      </c>
      <c r="W214" t="s">
        <v>4299</v>
      </c>
      <c r="X214" t="s">
        <v>4300</v>
      </c>
      <c r="Y214" t="s">
        <v>4301</v>
      </c>
      <c r="Z214" t="s">
        <v>4302</v>
      </c>
      <c r="AA214" t="s">
        <v>4303</v>
      </c>
      <c r="AB214" t="s">
        <v>4304</v>
      </c>
      <c r="AC214" t="s">
        <v>4305</v>
      </c>
      <c r="AD214" t="s">
        <v>4306</v>
      </c>
      <c r="AE214" t="s">
        <v>4307</v>
      </c>
      <c r="AF214" t="s">
        <v>74</v>
      </c>
      <c r="AG214">
        <v>79</v>
      </c>
      <c r="AH214">
        <v>3</v>
      </c>
      <c r="AI214">
        <v>3</v>
      </c>
      <c r="AJ214">
        <v>7</v>
      </c>
      <c r="AK214">
        <v>12</v>
      </c>
      <c r="AL214" t="s">
        <v>92</v>
      </c>
      <c r="AM214" t="s">
        <v>93</v>
      </c>
      <c r="AN214" t="s">
        <v>94</v>
      </c>
      <c r="AO214" t="s">
        <v>74</v>
      </c>
      <c r="AP214" t="s">
        <v>4308</v>
      </c>
      <c r="AQ214" t="s">
        <v>74</v>
      </c>
      <c r="AR214" t="s">
        <v>4309</v>
      </c>
      <c r="AS214" t="s">
        <v>4310</v>
      </c>
      <c r="AT214" t="s">
        <v>256</v>
      </c>
      <c r="AU214">
        <v>2022</v>
      </c>
      <c r="AV214">
        <v>5</v>
      </c>
      <c r="AW214">
        <v>2</v>
      </c>
      <c r="AX214" t="s">
        <v>74</v>
      </c>
      <c r="AY214" t="s">
        <v>74</v>
      </c>
      <c r="AZ214" t="s">
        <v>74</v>
      </c>
      <c r="BA214" t="s">
        <v>74</v>
      </c>
      <c r="BB214" t="s">
        <v>74</v>
      </c>
      <c r="BC214" t="s">
        <v>74</v>
      </c>
      <c r="BD214">
        <v>32</v>
      </c>
      <c r="BE214" t="s">
        <v>4311</v>
      </c>
      <c r="BF214" t="str">
        <f>HYPERLINK("http://dx.doi.org/10.3390/asi5020032","http://dx.doi.org/10.3390/asi5020032")</f>
        <v>http://dx.doi.org/10.3390/asi5020032</v>
      </c>
      <c r="BG214" t="s">
        <v>74</v>
      </c>
      <c r="BH214" t="s">
        <v>74</v>
      </c>
      <c r="BI214">
        <v>19</v>
      </c>
      <c r="BJ214" t="s">
        <v>4312</v>
      </c>
      <c r="BK214" t="s">
        <v>180</v>
      </c>
      <c r="BL214" t="s">
        <v>4313</v>
      </c>
      <c r="BM214" t="s">
        <v>4314</v>
      </c>
      <c r="BN214" t="s">
        <v>74</v>
      </c>
      <c r="BO214" t="s">
        <v>183</v>
      </c>
      <c r="BP214" t="s">
        <v>74</v>
      </c>
      <c r="BQ214" t="s">
        <v>74</v>
      </c>
      <c r="BR214" t="s">
        <v>104</v>
      </c>
      <c r="BS214" t="s">
        <v>4315</v>
      </c>
      <c r="BT214" t="str">
        <f>HYPERLINK("https%3A%2F%2Fwww.webofscience.com%2Fwos%2Fwoscc%2Ffull-record%2FWOS:000785664100001","View Full Record in Web of Science")</f>
        <v>View Full Record in Web of Science</v>
      </c>
    </row>
    <row r="215" spans="1:72" x14ac:dyDescent="0.25">
      <c r="A215" t="s">
        <v>72</v>
      </c>
      <c r="B215" t="s">
        <v>4316</v>
      </c>
      <c r="C215" t="s">
        <v>74</v>
      </c>
      <c r="D215" t="s">
        <v>74</v>
      </c>
      <c r="E215" t="s">
        <v>74</v>
      </c>
      <c r="F215" t="s">
        <v>4317</v>
      </c>
      <c r="G215" t="s">
        <v>74</v>
      </c>
      <c r="H215" t="s">
        <v>74</v>
      </c>
      <c r="I215" t="s">
        <v>4318</v>
      </c>
      <c r="J215" t="s">
        <v>1587</v>
      </c>
      <c r="K215" t="s">
        <v>74</v>
      </c>
      <c r="L215" t="s">
        <v>74</v>
      </c>
      <c r="M215" t="s">
        <v>78</v>
      </c>
      <c r="N215" t="s">
        <v>79</v>
      </c>
      <c r="O215" t="s">
        <v>74</v>
      </c>
      <c r="P215" t="s">
        <v>74</v>
      </c>
      <c r="Q215" t="s">
        <v>74</v>
      </c>
      <c r="R215" t="s">
        <v>74</v>
      </c>
      <c r="S215" t="s">
        <v>74</v>
      </c>
      <c r="T215" t="s">
        <v>4319</v>
      </c>
      <c r="U215" t="s">
        <v>4320</v>
      </c>
      <c r="V215" t="s">
        <v>4321</v>
      </c>
      <c r="W215" t="s">
        <v>4322</v>
      </c>
      <c r="X215" t="s">
        <v>4323</v>
      </c>
      <c r="Y215" t="s">
        <v>4324</v>
      </c>
      <c r="Z215" t="s">
        <v>4325</v>
      </c>
      <c r="AA215" t="s">
        <v>74</v>
      </c>
      <c r="AB215" t="s">
        <v>4326</v>
      </c>
      <c r="AC215" t="s">
        <v>74</v>
      </c>
      <c r="AD215" t="s">
        <v>74</v>
      </c>
      <c r="AE215" t="s">
        <v>74</v>
      </c>
      <c r="AF215" t="s">
        <v>74</v>
      </c>
      <c r="AG215">
        <v>39</v>
      </c>
      <c r="AH215">
        <v>0</v>
      </c>
      <c r="AI215">
        <v>0</v>
      </c>
      <c r="AJ215">
        <v>0</v>
      </c>
      <c r="AK215">
        <v>1</v>
      </c>
      <c r="AL215" t="s">
        <v>1593</v>
      </c>
      <c r="AM215" t="s">
        <v>301</v>
      </c>
      <c r="AN215" t="s">
        <v>1594</v>
      </c>
      <c r="AO215" t="s">
        <v>1595</v>
      </c>
      <c r="AP215" t="s">
        <v>1596</v>
      </c>
      <c r="AQ215" t="s">
        <v>74</v>
      </c>
      <c r="AR215" t="s">
        <v>1597</v>
      </c>
      <c r="AS215" t="s">
        <v>1598</v>
      </c>
      <c r="AT215" t="s">
        <v>1336</v>
      </c>
      <c r="AU215">
        <v>2022</v>
      </c>
      <c r="AV215">
        <v>44</v>
      </c>
      <c r="AW215">
        <v>2</v>
      </c>
      <c r="AX215" t="s">
        <v>74</v>
      </c>
      <c r="AY215" t="s">
        <v>74</v>
      </c>
      <c r="AZ215" t="s">
        <v>74</v>
      </c>
      <c r="BA215" t="s">
        <v>74</v>
      </c>
      <c r="BB215">
        <v>272</v>
      </c>
      <c r="BC215">
        <v>281</v>
      </c>
      <c r="BD215" t="s">
        <v>74</v>
      </c>
      <c r="BE215" t="s">
        <v>4327</v>
      </c>
      <c r="BF215" t="str">
        <f>HYPERLINK("http://dx.doi.org/10.14483/23448350.18500","http://dx.doi.org/10.14483/23448350.18500")</f>
        <v>http://dx.doi.org/10.14483/23448350.18500</v>
      </c>
      <c r="BG215" t="s">
        <v>74</v>
      </c>
      <c r="BH215" t="s">
        <v>74</v>
      </c>
      <c r="BI215">
        <v>10</v>
      </c>
      <c r="BJ215" t="s">
        <v>1600</v>
      </c>
      <c r="BK215" t="s">
        <v>180</v>
      </c>
      <c r="BL215" t="s">
        <v>1601</v>
      </c>
      <c r="BM215" t="s">
        <v>4328</v>
      </c>
      <c r="BN215" t="s">
        <v>74</v>
      </c>
      <c r="BO215" t="s">
        <v>183</v>
      </c>
      <c r="BP215" t="s">
        <v>74</v>
      </c>
      <c r="BQ215" t="s">
        <v>74</v>
      </c>
      <c r="BR215" t="s">
        <v>104</v>
      </c>
      <c r="BS215" t="s">
        <v>4329</v>
      </c>
      <c r="BT215" t="str">
        <f>HYPERLINK("https%3A%2F%2Fwww.webofscience.com%2Fwos%2Fwoscc%2Ffull-record%2FWOS:000800621400009","View Full Record in Web of Science")</f>
        <v>View Full Record in Web of Science</v>
      </c>
    </row>
    <row r="216" spans="1:72" x14ac:dyDescent="0.25">
      <c r="A216" t="s">
        <v>72</v>
      </c>
      <c r="B216" t="s">
        <v>4330</v>
      </c>
      <c r="C216" t="s">
        <v>74</v>
      </c>
      <c r="D216" t="s">
        <v>74</v>
      </c>
      <c r="E216" t="s">
        <v>74</v>
      </c>
      <c r="F216" t="s">
        <v>4331</v>
      </c>
      <c r="G216" t="s">
        <v>74</v>
      </c>
      <c r="H216" t="s">
        <v>74</v>
      </c>
      <c r="I216" t="s">
        <v>4332</v>
      </c>
      <c r="J216" t="s">
        <v>986</v>
      </c>
      <c r="K216" t="s">
        <v>74</v>
      </c>
      <c r="L216" t="s">
        <v>74</v>
      </c>
      <c r="M216" t="s">
        <v>78</v>
      </c>
      <c r="N216" t="s">
        <v>79</v>
      </c>
      <c r="O216" t="s">
        <v>74</v>
      </c>
      <c r="P216" t="s">
        <v>74</v>
      </c>
      <c r="Q216" t="s">
        <v>74</v>
      </c>
      <c r="R216" t="s">
        <v>74</v>
      </c>
      <c r="S216" t="s">
        <v>74</v>
      </c>
      <c r="T216" t="s">
        <v>4333</v>
      </c>
      <c r="U216" t="s">
        <v>4334</v>
      </c>
      <c r="V216" t="s">
        <v>4335</v>
      </c>
      <c r="W216" t="s">
        <v>4336</v>
      </c>
      <c r="X216" t="s">
        <v>4337</v>
      </c>
      <c r="Y216" t="s">
        <v>4338</v>
      </c>
      <c r="Z216" t="s">
        <v>4339</v>
      </c>
      <c r="AA216" t="s">
        <v>74</v>
      </c>
      <c r="AB216" t="s">
        <v>4340</v>
      </c>
      <c r="AC216" t="s">
        <v>4341</v>
      </c>
      <c r="AD216" t="s">
        <v>4342</v>
      </c>
      <c r="AE216" t="s">
        <v>4343</v>
      </c>
      <c r="AF216" t="s">
        <v>74</v>
      </c>
      <c r="AG216">
        <v>32</v>
      </c>
      <c r="AH216">
        <v>0</v>
      </c>
      <c r="AI216">
        <v>0</v>
      </c>
      <c r="AJ216">
        <v>2</v>
      </c>
      <c r="AK216">
        <v>2</v>
      </c>
      <c r="AL216" t="s">
        <v>824</v>
      </c>
      <c r="AM216" t="s">
        <v>825</v>
      </c>
      <c r="AN216" t="s">
        <v>826</v>
      </c>
      <c r="AO216" t="s">
        <v>999</v>
      </c>
      <c r="AP216" t="s">
        <v>74</v>
      </c>
      <c r="AQ216" t="s">
        <v>74</v>
      </c>
      <c r="AR216" t="s">
        <v>986</v>
      </c>
      <c r="AS216" t="s">
        <v>1000</v>
      </c>
      <c r="AT216" t="s">
        <v>4344</v>
      </c>
      <c r="AU216">
        <v>2022</v>
      </c>
      <c r="AV216">
        <v>7</v>
      </c>
      <c r="AW216">
        <v>27</v>
      </c>
      <c r="AX216" t="s">
        <v>74</v>
      </c>
      <c r="AY216" t="s">
        <v>74</v>
      </c>
      <c r="AZ216" t="s">
        <v>74</v>
      </c>
      <c r="BA216" t="s">
        <v>74</v>
      </c>
      <c r="BB216" t="s">
        <v>74</v>
      </c>
      <c r="BC216" t="s">
        <v>74</v>
      </c>
      <c r="BD216" t="s">
        <v>4345</v>
      </c>
      <c r="BE216" t="s">
        <v>4346</v>
      </c>
      <c r="BF216" t="str">
        <f>HYPERLINK("http://dx.doi.org/10.1002/slct.202201336","http://dx.doi.org/10.1002/slct.202201336")</f>
        <v>http://dx.doi.org/10.1002/slct.202201336</v>
      </c>
      <c r="BG216" t="s">
        <v>74</v>
      </c>
      <c r="BH216" t="s">
        <v>74</v>
      </c>
      <c r="BI216">
        <v>7</v>
      </c>
      <c r="BJ216" t="s">
        <v>205</v>
      </c>
      <c r="BK216" t="s">
        <v>101</v>
      </c>
      <c r="BL216" t="s">
        <v>206</v>
      </c>
      <c r="BM216" t="s">
        <v>4347</v>
      </c>
      <c r="BN216" t="s">
        <v>74</v>
      </c>
      <c r="BO216" t="s">
        <v>74</v>
      </c>
      <c r="BP216" t="s">
        <v>74</v>
      </c>
      <c r="BQ216" t="s">
        <v>74</v>
      </c>
      <c r="BR216" t="s">
        <v>104</v>
      </c>
      <c r="BS216" t="s">
        <v>4348</v>
      </c>
      <c r="BT216" t="str">
        <f>HYPERLINK("https%3A%2F%2Fwww.webofscience.com%2Fwos%2Fwoscc%2Ffull-record%2FWOS:000827612000001","View Full Record in Web of Science")</f>
        <v>View Full Record in Web of Science</v>
      </c>
    </row>
    <row r="217" spans="1:72" x14ac:dyDescent="0.25">
      <c r="A217" t="s">
        <v>72</v>
      </c>
      <c r="B217" t="s">
        <v>4349</v>
      </c>
      <c r="C217" t="s">
        <v>74</v>
      </c>
      <c r="D217" t="s">
        <v>74</v>
      </c>
      <c r="E217" t="s">
        <v>74</v>
      </c>
      <c r="F217" t="s">
        <v>4350</v>
      </c>
      <c r="G217" t="s">
        <v>74</v>
      </c>
      <c r="H217" t="s">
        <v>74</v>
      </c>
      <c r="I217" t="s">
        <v>4351</v>
      </c>
      <c r="J217" t="s">
        <v>4352</v>
      </c>
      <c r="K217" t="s">
        <v>74</v>
      </c>
      <c r="L217" t="s">
        <v>74</v>
      </c>
      <c r="M217" t="s">
        <v>78</v>
      </c>
      <c r="N217" t="s">
        <v>79</v>
      </c>
      <c r="O217" t="s">
        <v>74</v>
      </c>
      <c r="P217" t="s">
        <v>74</v>
      </c>
      <c r="Q217" t="s">
        <v>74</v>
      </c>
      <c r="R217" t="s">
        <v>74</v>
      </c>
      <c r="S217" t="s">
        <v>74</v>
      </c>
      <c r="T217" t="s">
        <v>4353</v>
      </c>
      <c r="U217" t="s">
        <v>4354</v>
      </c>
      <c r="V217" t="s">
        <v>4355</v>
      </c>
      <c r="W217" t="s">
        <v>4356</v>
      </c>
      <c r="X217" t="s">
        <v>4357</v>
      </c>
      <c r="Y217" t="s">
        <v>4358</v>
      </c>
      <c r="Z217" t="s">
        <v>4359</v>
      </c>
      <c r="AA217" t="s">
        <v>4360</v>
      </c>
      <c r="AB217" t="s">
        <v>4361</v>
      </c>
      <c r="AC217" t="s">
        <v>4362</v>
      </c>
      <c r="AD217" t="s">
        <v>4363</v>
      </c>
      <c r="AE217" t="s">
        <v>4364</v>
      </c>
      <c r="AF217" t="s">
        <v>74</v>
      </c>
      <c r="AG217">
        <v>65</v>
      </c>
      <c r="AH217">
        <v>0</v>
      </c>
      <c r="AI217">
        <v>0</v>
      </c>
      <c r="AJ217">
        <v>6</v>
      </c>
      <c r="AK217">
        <v>7</v>
      </c>
      <c r="AL217" t="s">
        <v>798</v>
      </c>
      <c r="AM217" t="s">
        <v>799</v>
      </c>
      <c r="AN217" t="s">
        <v>800</v>
      </c>
      <c r="AO217" t="s">
        <v>4365</v>
      </c>
      <c r="AP217" t="s">
        <v>4366</v>
      </c>
      <c r="AQ217" t="s">
        <v>74</v>
      </c>
      <c r="AR217" t="s">
        <v>4367</v>
      </c>
      <c r="AS217" t="s">
        <v>4368</v>
      </c>
      <c r="AT217" t="s">
        <v>281</v>
      </c>
      <c r="AU217">
        <v>2022</v>
      </c>
      <c r="AV217">
        <v>91</v>
      </c>
      <c r="AW217">
        <v>11</v>
      </c>
      <c r="AX217" t="s">
        <v>74</v>
      </c>
      <c r="AY217" t="s">
        <v>74</v>
      </c>
      <c r="AZ217" t="s">
        <v>74</v>
      </c>
      <c r="BA217" t="s">
        <v>74</v>
      </c>
      <c r="BB217">
        <v>2171</v>
      </c>
      <c r="BC217">
        <v>2180</v>
      </c>
      <c r="BD217" t="s">
        <v>74</v>
      </c>
      <c r="BE217" t="s">
        <v>4369</v>
      </c>
      <c r="BF217" t="str">
        <f>HYPERLINK("http://dx.doi.org/10.1111/1365-2656.13746","http://dx.doi.org/10.1111/1365-2656.13746")</f>
        <v>http://dx.doi.org/10.1111/1365-2656.13746</v>
      </c>
      <c r="BG217" t="s">
        <v>74</v>
      </c>
      <c r="BH217" t="s">
        <v>1225</v>
      </c>
      <c r="BI217">
        <v>10</v>
      </c>
      <c r="BJ217" t="s">
        <v>4370</v>
      </c>
      <c r="BK217" t="s">
        <v>101</v>
      </c>
      <c r="BL217" t="s">
        <v>4371</v>
      </c>
      <c r="BM217" t="s">
        <v>4372</v>
      </c>
      <c r="BN217">
        <v>35596605</v>
      </c>
      <c r="BO217" t="s">
        <v>74</v>
      </c>
      <c r="BP217" t="s">
        <v>74</v>
      </c>
      <c r="BQ217" t="s">
        <v>74</v>
      </c>
      <c r="BR217" t="s">
        <v>104</v>
      </c>
      <c r="BS217" t="s">
        <v>4373</v>
      </c>
      <c r="BT217" t="str">
        <f>HYPERLINK("https%3A%2F%2Fwww.webofscience.com%2Fwos%2Fwoscc%2Ffull-record%2FWOS:000802077100001","View Full Record in Web of Science")</f>
        <v>View Full Record in Web of Science</v>
      </c>
    </row>
    <row r="218" spans="1:72" x14ac:dyDescent="0.25">
      <c r="A218" t="s">
        <v>72</v>
      </c>
      <c r="B218" t="s">
        <v>4374</v>
      </c>
      <c r="C218" t="s">
        <v>74</v>
      </c>
      <c r="D218" t="s">
        <v>74</v>
      </c>
      <c r="E218" t="s">
        <v>74</v>
      </c>
      <c r="F218" t="s">
        <v>4375</v>
      </c>
      <c r="G218" t="s">
        <v>74</v>
      </c>
      <c r="H218" t="s">
        <v>74</v>
      </c>
      <c r="I218" t="s">
        <v>4376</v>
      </c>
      <c r="J218" t="s">
        <v>4377</v>
      </c>
      <c r="K218" t="s">
        <v>74</v>
      </c>
      <c r="L218" t="s">
        <v>74</v>
      </c>
      <c r="M218" t="s">
        <v>78</v>
      </c>
      <c r="N218" t="s">
        <v>79</v>
      </c>
      <c r="O218" t="s">
        <v>74</v>
      </c>
      <c r="P218" t="s">
        <v>74</v>
      </c>
      <c r="Q218" t="s">
        <v>74</v>
      </c>
      <c r="R218" t="s">
        <v>74</v>
      </c>
      <c r="S218" t="s">
        <v>74</v>
      </c>
      <c r="T218" t="s">
        <v>4378</v>
      </c>
      <c r="U218" t="s">
        <v>4379</v>
      </c>
      <c r="V218" t="s">
        <v>4380</v>
      </c>
      <c r="W218" t="s">
        <v>4381</v>
      </c>
      <c r="X218" t="s">
        <v>4382</v>
      </c>
      <c r="Y218" t="s">
        <v>4383</v>
      </c>
      <c r="Z218" t="s">
        <v>4384</v>
      </c>
      <c r="AA218" t="s">
        <v>74</v>
      </c>
      <c r="AB218" t="s">
        <v>74</v>
      </c>
      <c r="AC218" t="s">
        <v>4385</v>
      </c>
      <c r="AD218" t="s">
        <v>4385</v>
      </c>
      <c r="AE218" t="s">
        <v>4386</v>
      </c>
      <c r="AF218" t="s">
        <v>74</v>
      </c>
      <c r="AG218">
        <v>25</v>
      </c>
      <c r="AH218">
        <v>0</v>
      </c>
      <c r="AI218">
        <v>0</v>
      </c>
      <c r="AJ218">
        <v>0</v>
      </c>
      <c r="AK218">
        <v>0</v>
      </c>
      <c r="AL218" t="s">
        <v>4387</v>
      </c>
      <c r="AM218" t="s">
        <v>374</v>
      </c>
      <c r="AN218" t="s">
        <v>4388</v>
      </c>
      <c r="AO218" t="s">
        <v>4389</v>
      </c>
      <c r="AP218" t="s">
        <v>4390</v>
      </c>
      <c r="AQ218" t="s">
        <v>74</v>
      </c>
      <c r="AR218" t="s">
        <v>4391</v>
      </c>
      <c r="AS218" t="s">
        <v>4392</v>
      </c>
      <c r="AT218" t="s">
        <v>1987</v>
      </c>
      <c r="AU218">
        <v>2022</v>
      </c>
      <c r="AV218">
        <v>35</v>
      </c>
      <c r="AW218">
        <v>1</v>
      </c>
      <c r="AX218" t="s">
        <v>74</v>
      </c>
      <c r="AY218" t="s">
        <v>74</v>
      </c>
      <c r="AZ218" t="s">
        <v>74</v>
      </c>
      <c r="BA218" t="s">
        <v>74</v>
      </c>
      <c r="BB218">
        <v>3</v>
      </c>
      <c r="BC218">
        <v>13</v>
      </c>
      <c r="BD218" t="s">
        <v>74</v>
      </c>
      <c r="BE218" t="s">
        <v>4393</v>
      </c>
      <c r="BF218" t="str">
        <f>HYPERLINK("http://dx.doi.org/10.17533/udea.rccp.v35n1a01","http://dx.doi.org/10.17533/udea.rccp.v35n1a01")</f>
        <v>http://dx.doi.org/10.17533/udea.rccp.v35n1a01</v>
      </c>
      <c r="BG218" t="s">
        <v>74</v>
      </c>
      <c r="BH218" t="s">
        <v>74</v>
      </c>
      <c r="BI218">
        <v>11</v>
      </c>
      <c r="BJ218" t="s">
        <v>1989</v>
      </c>
      <c r="BK218" t="s">
        <v>101</v>
      </c>
      <c r="BL218" t="s">
        <v>155</v>
      </c>
      <c r="BM218" t="s">
        <v>4394</v>
      </c>
      <c r="BN218" t="s">
        <v>74</v>
      </c>
      <c r="BO218" t="s">
        <v>103</v>
      </c>
      <c r="BP218" t="s">
        <v>74</v>
      </c>
      <c r="BQ218" t="s">
        <v>74</v>
      </c>
      <c r="BR218" t="s">
        <v>104</v>
      </c>
      <c r="BS218" t="s">
        <v>4395</v>
      </c>
      <c r="BT218" t="str">
        <f>HYPERLINK("https%3A%2F%2Fwww.webofscience.com%2Fwos%2Fwoscc%2Ffull-record%2FWOS:000819848200001","View Full Record in Web of Science")</f>
        <v>View Full Record in Web of Science</v>
      </c>
    </row>
    <row r="219" spans="1:72" x14ac:dyDescent="0.25">
      <c r="A219" t="s">
        <v>72</v>
      </c>
      <c r="B219" t="s">
        <v>4396</v>
      </c>
      <c r="C219" t="s">
        <v>74</v>
      </c>
      <c r="D219" t="s">
        <v>74</v>
      </c>
      <c r="E219" t="s">
        <v>74</v>
      </c>
      <c r="F219" t="s">
        <v>4397</v>
      </c>
      <c r="G219" t="s">
        <v>74</v>
      </c>
      <c r="H219" t="s">
        <v>74</v>
      </c>
      <c r="I219" t="s">
        <v>4398</v>
      </c>
      <c r="J219" t="s">
        <v>4399</v>
      </c>
      <c r="K219" t="s">
        <v>74</v>
      </c>
      <c r="L219" t="s">
        <v>74</v>
      </c>
      <c r="M219" t="s">
        <v>78</v>
      </c>
      <c r="N219" t="s">
        <v>79</v>
      </c>
      <c r="O219" t="s">
        <v>74</v>
      </c>
      <c r="P219" t="s">
        <v>74</v>
      </c>
      <c r="Q219" t="s">
        <v>74</v>
      </c>
      <c r="R219" t="s">
        <v>74</v>
      </c>
      <c r="S219" t="s">
        <v>74</v>
      </c>
      <c r="T219" t="s">
        <v>4400</v>
      </c>
      <c r="U219" t="s">
        <v>4401</v>
      </c>
      <c r="V219" t="s">
        <v>4402</v>
      </c>
      <c r="W219" t="s">
        <v>4403</v>
      </c>
      <c r="X219" t="s">
        <v>4404</v>
      </c>
      <c r="Y219" t="s">
        <v>4405</v>
      </c>
      <c r="Z219" t="s">
        <v>4406</v>
      </c>
      <c r="AA219" t="s">
        <v>4407</v>
      </c>
      <c r="AB219" t="s">
        <v>4408</v>
      </c>
      <c r="AC219" t="s">
        <v>74</v>
      </c>
      <c r="AD219" t="s">
        <v>74</v>
      </c>
      <c r="AE219" t="s">
        <v>74</v>
      </c>
      <c r="AF219" t="s">
        <v>74</v>
      </c>
      <c r="AG219">
        <v>114</v>
      </c>
      <c r="AH219">
        <v>0</v>
      </c>
      <c r="AI219">
        <v>0</v>
      </c>
      <c r="AJ219">
        <v>5</v>
      </c>
      <c r="AK219">
        <v>5</v>
      </c>
      <c r="AL219" t="s">
        <v>4219</v>
      </c>
      <c r="AM219" t="s">
        <v>4220</v>
      </c>
      <c r="AN219" t="s">
        <v>4221</v>
      </c>
      <c r="AO219" t="s">
        <v>4409</v>
      </c>
      <c r="AP219" t="s">
        <v>74</v>
      </c>
      <c r="AQ219" t="s">
        <v>74</v>
      </c>
      <c r="AR219" t="s">
        <v>4410</v>
      </c>
      <c r="AS219" t="s">
        <v>4411</v>
      </c>
      <c r="AT219" t="s">
        <v>4412</v>
      </c>
      <c r="AU219">
        <v>2022</v>
      </c>
      <c r="AV219">
        <v>13</v>
      </c>
      <c r="AW219" t="s">
        <v>74</v>
      </c>
      <c r="AX219" t="s">
        <v>74</v>
      </c>
      <c r="AY219" t="s">
        <v>74</v>
      </c>
      <c r="AZ219" t="s">
        <v>74</v>
      </c>
      <c r="BA219" t="s">
        <v>74</v>
      </c>
      <c r="BB219" t="s">
        <v>74</v>
      </c>
      <c r="BC219" t="s">
        <v>74</v>
      </c>
      <c r="BD219">
        <v>974133</v>
      </c>
      <c r="BE219" t="s">
        <v>4413</v>
      </c>
      <c r="BF219" t="str">
        <f>HYPERLINK("http://dx.doi.org/10.3389/fpsyg.2022.974133","http://dx.doi.org/10.3389/fpsyg.2022.974133")</f>
        <v>http://dx.doi.org/10.3389/fpsyg.2022.974133</v>
      </c>
      <c r="BG219" t="s">
        <v>74</v>
      </c>
      <c r="BH219" t="s">
        <v>74</v>
      </c>
      <c r="BI219">
        <v>24</v>
      </c>
      <c r="BJ219" t="s">
        <v>1542</v>
      </c>
      <c r="BK219" t="s">
        <v>3791</v>
      </c>
      <c r="BL219" t="s">
        <v>1543</v>
      </c>
      <c r="BM219" t="s">
        <v>4414</v>
      </c>
      <c r="BN219">
        <v>36186323</v>
      </c>
      <c r="BO219" t="s">
        <v>103</v>
      </c>
      <c r="BP219" t="s">
        <v>74</v>
      </c>
      <c r="BQ219" t="s">
        <v>74</v>
      </c>
      <c r="BR219" t="s">
        <v>104</v>
      </c>
      <c r="BS219" t="s">
        <v>4415</v>
      </c>
      <c r="BT219" t="str">
        <f>HYPERLINK("https%3A%2F%2Fwww.webofscience.com%2Fwos%2Fwoscc%2Ffull-record%2FWOS:000862669000001","View Full Record in Web of Science")</f>
        <v>View Full Record in Web of Science</v>
      </c>
    </row>
    <row r="220" spans="1:72" x14ac:dyDescent="0.25">
      <c r="A220" t="s">
        <v>72</v>
      </c>
      <c r="B220" t="s">
        <v>4416</v>
      </c>
      <c r="C220" t="s">
        <v>74</v>
      </c>
      <c r="D220" t="s">
        <v>74</v>
      </c>
      <c r="E220" t="s">
        <v>74</v>
      </c>
      <c r="F220" t="s">
        <v>4417</v>
      </c>
      <c r="G220" t="s">
        <v>74</v>
      </c>
      <c r="H220" t="s">
        <v>74</v>
      </c>
      <c r="I220" t="s">
        <v>4418</v>
      </c>
      <c r="J220" t="s">
        <v>4419</v>
      </c>
      <c r="K220" t="s">
        <v>74</v>
      </c>
      <c r="L220" t="s">
        <v>74</v>
      </c>
      <c r="M220" t="s">
        <v>78</v>
      </c>
      <c r="N220" t="s">
        <v>79</v>
      </c>
      <c r="O220" t="s">
        <v>74</v>
      </c>
      <c r="P220" t="s">
        <v>74</v>
      </c>
      <c r="Q220" t="s">
        <v>74</v>
      </c>
      <c r="R220" t="s">
        <v>74</v>
      </c>
      <c r="S220" t="s">
        <v>74</v>
      </c>
      <c r="T220" t="s">
        <v>4420</v>
      </c>
      <c r="U220" t="s">
        <v>4421</v>
      </c>
      <c r="V220" t="s">
        <v>4422</v>
      </c>
      <c r="W220" t="s">
        <v>4423</v>
      </c>
      <c r="X220" t="s">
        <v>4424</v>
      </c>
      <c r="Y220" t="s">
        <v>4425</v>
      </c>
      <c r="Z220" t="s">
        <v>4426</v>
      </c>
      <c r="AA220" t="s">
        <v>74</v>
      </c>
      <c r="AB220" t="s">
        <v>4427</v>
      </c>
      <c r="AC220" t="s">
        <v>4428</v>
      </c>
      <c r="AD220" t="s">
        <v>4429</v>
      </c>
      <c r="AE220" t="s">
        <v>4430</v>
      </c>
      <c r="AF220" t="s">
        <v>74</v>
      </c>
      <c r="AG220">
        <v>80</v>
      </c>
      <c r="AH220">
        <v>0</v>
      </c>
      <c r="AI220">
        <v>0</v>
      </c>
      <c r="AJ220">
        <v>8</v>
      </c>
      <c r="AK220">
        <v>8</v>
      </c>
      <c r="AL220" t="s">
        <v>485</v>
      </c>
      <c r="AM220" t="s">
        <v>486</v>
      </c>
      <c r="AN220" t="s">
        <v>487</v>
      </c>
      <c r="AO220" t="s">
        <v>4431</v>
      </c>
      <c r="AP220" t="s">
        <v>4432</v>
      </c>
      <c r="AQ220" t="s">
        <v>74</v>
      </c>
      <c r="AR220" t="s">
        <v>4433</v>
      </c>
      <c r="AS220" t="s">
        <v>4434</v>
      </c>
      <c r="AT220" t="s">
        <v>416</v>
      </c>
      <c r="AU220">
        <v>2022</v>
      </c>
      <c r="AV220">
        <v>180</v>
      </c>
      <c r="AW220" t="s">
        <v>74</v>
      </c>
      <c r="AX220" t="s">
        <v>74</v>
      </c>
      <c r="AY220" t="s">
        <v>74</v>
      </c>
      <c r="AZ220" t="s">
        <v>74</v>
      </c>
      <c r="BA220" t="s">
        <v>74</v>
      </c>
      <c r="BB220" t="s">
        <v>74</v>
      </c>
      <c r="BC220" t="s">
        <v>74</v>
      </c>
      <c r="BD220">
        <v>105696</v>
      </c>
      <c r="BE220" t="s">
        <v>4435</v>
      </c>
      <c r="BF220" t="str">
        <f>HYPERLINK("http://dx.doi.org/10.1016/j.marenvres.2022.105696","http://dx.doi.org/10.1016/j.marenvres.2022.105696")</f>
        <v>http://dx.doi.org/10.1016/j.marenvres.2022.105696</v>
      </c>
      <c r="BG220" t="s">
        <v>74</v>
      </c>
      <c r="BH220" t="s">
        <v>932</v>
      </c>
      <c r="BI220">
        <v>9</v>
      </c>
      <c r="BJ220" t="s">
        <v>4436</v>
      </c>
      <c r="BK220" t="s">
        <v>101</v>
      </c>
      <c r="BL220" t="s">
        <v>4437</v>
      </c>
      <c r="BM220" t="s">
        <v>4438</v>
      </c>
      <c r="BN220">
        <v>35932509</v>
      </c>
      <c r="BO220" t="s">
        <v>74</v>
      </c>
      <c r="BP220" t="s">
        <v>74</v>
      </c>
      <c r="BQ220" t="s">
        <v>74</v>
      </c>
      <c r="BR220" t="s">
        <v>104</v>
      </c>
      <c r="BS220" t="s">
        <v>4439</v>
      </c>
      <c r="BT220" t="str">
        <f>HYPERLINK("https%3A%2F%2Fwww.webofscience.com%2Fwos%2Fwoscc%2Ffull-record%2FWOS:000856571600001","View Full Record in Web of Science")</f>
        <v>View Full Record in Web of Science</v>
      </c>
    </row>
    <row r="221" spans="1:72" x14ac:dyDescent="0.25">
      <c r="A221" t="s">
        <v>72</v>
      </c>
      <c r="B221" t="s">
        <v>4440</v>
      </c>
      <c r="C221" t="s">
        <v>74</v>
      </c>
      <c r="D221" t="s">
        <v>74</v>
      </c>
      <c r="E221" t="s">
        <v>74</v>
      </c>
      <c r="F221" t="s">
        <v>4441</v>
      </c>
      <c r="G221" t="s">
        <v>74</v>
      </c>
      <c r="H221" t="s">
        <v>74</v>
      </c>
      <c r="I221" t="s">
        <v>4442</v>
      </c>
      <c r="J221" t="s">
        <v>4443</v>
      </c>
      <c r="K221" t="s">
        <v>74</v>
      </c>
      <c r="L221" t="s">
        <v>74</v>
      </c>
      <c r="M221" t="s">
        <v>78</v>
      </c>
      <c r="N221" t="s">
        <v>135</v>
      </c>
      <c r="O221" t="s">
        <v>74</v>
      </c>
      <c r="P221" t="s">
        <v>74</v>
      </c>
      <c r="Q221" t="s">
        <v>74</v>
      </c>
      <c r="R221" t="s">
        <v>74</v>
      </c>
      <c r="S221" t="s">
        <v>74</v>
      </c>
      <c r="T221" t="s">
        <v>4444</v>
      </c>
      <c r="U221" t="s">
        <v>4445</v>
      </c>
      <c r="V221" t="s">
        <v>4446</v>
      </c>
      <c r="W221" t="s">
        <v>4447</v>
      </c>
      <c r="X221" t="s">
        <v>4448</v>
      </c>
      <c r="Y221" t="s">
        <v>4449</v>
      </c>
      <c r="Z221" t="s">
        <v>4406</v>
      </c>
      <c r="AA221" t="s">
        <v>4450</v>
      </c>
      <c r="AB221" t="s">
        <v>4451</v>
      </c>
      <c r="AC221" t="s">
        <v>74</v>
      </c>
      <c r="AD221" t="s">
        <v>74</v>
      </c>
      <c r="AE221" t="s">
        <v>74</v>
      </c>
      <c r="AF221" t="s">
        <v>74</v>
      </c>
      <c r="AG221">
        <v>135</v>
      </c>
      <c r="AH221">
        <v>0</v>
      </c>
      <c r="AI221">
        <v>0</v>
      </c>
      <c r="AJ221">
        <v>6</v>
      </c>
      <c r="AK221">
        <v>6</v>
      </c>
      <c r="AL221" t="s">
        <v>146</v>
      </c>
      <c r="AM221" t="s">
        <v>147</v>
      </c>
      <c r="AN221" t="s">
        <v>148</v>
      </c>
      <c r="AO221" t="s">
        <v>4452</v>
      </c>
      <c r="AP221" t="s">
        <v>4453</v>
      </c>
      <c r="AQ221" t="s">
        <v>74</v>
      </c>
      <c r="AR221" t="s">
        <v>4454</v>
      </c>
      <c r="AS221" t="s">
        <v>4455</v>
      </c>
      <c r="AT221" t="s">
        <v>74</v>
      </c>
      <c r="AU221" t="s">
        <v>74</v>
      </c>
      <c r="AV221" t="s">
        <v>74</v>
      </c>
      <c r="AW221" t="s">
        <v>74</v>
      </c>
      <c r="AX221" t="s">
        <v>74</v>
      </c>
      <c r="AY221" t="s">
        <v>74</v>
      </c>
      <c r="AZ221" t="s">
        <v>74</v>
      </c>
      <c r="BA221" t="s">
        <v>74</v>
      </c>
      <c r="BB221" t="s">
        <v>74</v>
      </c>
      <c r="BC221" t="s">
        <v>74</v>
      </c>
      <c r="BD221" t="s">
        <v>74</v>
      </c>
      <c r="BE221" t="s">
        <v>4456</v>
      </c>
      <c r="BF221" t="str">
        <f>HYPERLINK("http://dx.doi.org/10.1007/s12144-022-03465-5","http://dx.doi.org/10.1007/s12144-022-03465-5")</f>
        <v>http://dx.doi.org/10.1007/s12144-022-03465-5</v>
      </c>
      <c r="BG221" t="s">
        <v>74</v>
      </c>
      <c r="BH221" t="s">
        <v>440</v>
      </c>
      <c r="BI221">
        <v>16</v>
      </c>
      <c r="BJ221" t="s">
        <v>1542</v>
      </c>
      <c r="BK221" t="s">
        <v>3791</v>
      </c>
      <c r="BL221" t="s">
        <v>1543</v>
      </c>
      <c r="BM221" t="s">
        <v>4457</v>
      </c>
      <c r="BN221">
        <v>35915774</v>
      </c>
      <c r="BO221" t="s">
        <v>4458</v>
      </c>
      <c r="BP221" t="s">
        <v>74</v>
      </c>
      <c r="BQ221" t="s">
        <v>74</v>
      </c>
      <c r="BR221" t="s">
        <v>104</v>
      </c>
      <c r="BS221" t="s">
        <v>4459</v>
      </c>
      <c r="BT221" t="str">
        <f>HYPERLINK("https%3A%2F%2Fwww.webofscience.com%2Fwos%2Fwoscc%2Ffull-record%2FWOS:000830976700002","View Full Record in Web of Science")</f>
        <v>View Full Record in Web of Science</v>
      </c>
    </row>
    <row r="222" spans="1:72" x14ac:dyDescent="0.25">
      <c r="A222" t="s">
        <v>72</v>
      </c>
      <c r="B222" t="s">
        <v>4460</v>
      </c>
      <c r="C222" t="s">
        <v>74</v>
      </c>
      <c r="D222" t="s">
        <v>74</v>
      </c>
      <c r="E222" t="s">
        <v>74</v>
      </c>
      <c r="F222" t="s">
        <v>4461</v>
      </c>
      <c r="G222" t="s">
        <v>74</v>
      </c>
      <c r="H222" t="s">
        <v>74</v>
      </c>
      <c r="I222" t="s">
        <v>4462</v>
      </c>
      <c r="J222" t="s">
        <v>1528</v>
      </c>
      <c r="K222" t="s">
        <v>74</v>
      </c>
      <c r="L222" t="s">
        <v>74</v>
      </c>
      <c r="M222" t="s">
        <v>1234</v>
      </c>
      <c r="N222" t="s">
        <v>79</v>
      </c>
      <c r="O222" t="s">
        <v>74</v>
      </c>
      <c r="P222" t="s">
        <v>74</v>
      </c>
      <c r="Q222" t="s">
        <v>74</v>
      </c>
      <c r="R222" t="s">
        <v>74</v>
      </c>
      <c r="S222" t="s">
        <v>74</v>
      </c>
      <c r="T222" t="s">
        <v>4463</v>
      </c>
      <c r="U222" t="s">
        <v>4464</v>
      </c>
      <c r="V222" t="s">
        <v>4465</v>
      </c>
      <c r="W222" t="s">
        <v>4466</v>
      </c>
      <c r="X222" t="s">
        <v>4467</v>
      </c>
      <c r="Y222" t="s">
        <v>4468</v>
      </c>
      <c r="Z222" t="s">
        <v>4469</v>
      </c>
      <c r="AA222" t="s">
        <v>4470</v>
      </c>
      <c r="AB222" t="s">
        <v>4471</v>
      </c>
      <c r="AC222" t="s">
        <v>74</v>
      </c>
      <c r="AD222" t="s">
        <v>74</v>
      </c>
      <c r="AE222" t="s">
        <v>74</v>
      </c>
      <c r="AF222" t="s">
        <v>74</v>
      </c>
      <c r="AG222">
        <v>32</v>
      </c>
      <c r="AH222">
        <v>0</v>
      </c>
      <c r="AI222">
        <v>0</v>
      </c>
      <c r="AJ222">
        <v>3</v>
      </c>
      <c r="AK222">
        <v>4</v>
      </c>
      <c r="AL222" t="s">
        <v>1534</v>
      </c>
      <c r="AM222" t="s">
        <v>1535</v>
      </c>
      <c r="AN222" t="s">
        <v>1536</v>
      </c>
      <c r="AO222" t="s">
        <v>1537</v>
      </c>
      <c r="AP222" t="s">
        <v>1538</v>
      </c>
      <c r="AQ222" t="s">
        <v>74</v>
      </c>
      <c r="AR222" t="s">
        <v>1539</v>
      </c>
      <c r="AS222" t="s">
        <v>1540</v>
      </c>
      <c r="AT222" t="s">
        <v>74</v>
      </c>
      <c r="AU222">
        <v>2022</v>
      </c>
      <c r="AV222">
        <v>40</v>
      </c>
      <c r="AW222">
        <v>1</v>
      </c>
      <c r="AX222" t="s">
        <v>74</v>
      </c>
      <c r="AY222" t="s">
        <v>74</v>
      </c>
      <c r="AZ222" t="s">
        <v>74</v>
      </c>
      <c r="BA222" t="s">
        <v>74</v>
      </c>
      <c r="BB222">
        <v>119</v>
      </c>
      <c r="BC222">
        <v>154</v>
      </c>
      <c r="BD222" t="s">
        <v>74</v>
      </c>
      <c r="BE222" t="s">
        <v>4472</v>
      </c>
      <c r="BF222" t="str">
        <f>HYPERLINK("http://dx.doi.org/10.18800/psico.202201.005","http://dx.doi.org/10.18800/psico.202201.005")</f>
        <v>http://dx.doi.org/10.18800/psico.202201.005</v>
      </c>
      <c r="BG222" t="s">
        <v>74</v>
      </c>
      <c r="BH222" t="s">
        <v>74</v>
      </c>
      <c r="BI222">
        <v>36</v>
      </c>
      <c r="BJ222" t="s">
        <v>1542</v>
      </c>
      <c r="BK222" t="s">
        <v>180</v>
      </c>
      <c r="BL222" t="s">
        <v>1543</v>
      </c>
      <c r="BM222" t="s">
        <v>1544</v>
      </c>
      <c r="BN222" t="s">
        <v>74</v>
      </c>
      <c r="BO222" t="s">
        <v>383</v>
      </c>
      <c r="BP222" t="s">
        <v>74</v>
      </c>
      <c r="BQ222" t="s">
        <v>74</v>
      </c>
      <c r="BR222" t="s">
        <v>104</v>
      </c>
      <c r="BS222" t="s">
        <v>4473</v>
      </c>
      <c r="BT222" t="str">
        <f>HYPERLINK("https%3A%2F%2Fwww.webofscience.com%2Fwos%2Fwoscc%2Ffull-record%2FWOS:000731882000006","View Full Record in Web of Science")</f>
        <v>View Full Record in Web of Science</v>
      </c>
    </row>
    <row r="223" spans="1:72" x14ac:dyDescent="0.25">
      <c r="A223" t="s">
        <v>72</v>
      </c>
      <c r="B223" t="s">
        <v>4474</v>
      </c>
      <c r="C223" t="s">
        <v>74</v>
      </c>
      <c r="D223" t="s">
        <v>74</v>
      </c>
      <c r="E223" t="s">
        <v>74</v>
      </c>
      <c r="F223" t="s">
        <v>4475</v>
      </c>
      <c r="G223" t="s">
        <v>74</v>
      </c>
      <c r="H223" t="s">
        <v>74</v>
      </c>
      <c r="I223" t="s">
        <v>4476</v>
      </c>
      <c r="J223" t="s">
        <v>4477</v>
      </c>
      <c r="K223" t="s">
        <v>74</v>
      </c>
      <c r="L223" t="s">
        <v>74</v>
      </c>
      <c r="M223" t="s">
        <v>78</v>
      </c>
      <c r="N223" t="s">
        <v>79</v>
      </c>
      <c r="O223" t="s">
        <v>74</v>
      </c>
      <c r="P223" t="s">
        <v>74</v>
      </c>
      <c r="Q223" t="s">
        <v>74</v>
      </c>
      <c r="R223" t="s">
        <v>74</v>
      </c>
      <c r="S223" t="s">
        <v>74</v>
      </c>
      <c r="T223" t="s">
        <v>4478</v>
      </c>
      <c r="U223" t="s">
        <v>4479</v>
      </c>
      <c r="V223" t="s">
        <v>4480</v>
      </c>
      <c r="W223" t="s">
        <v>4481</v>
      </c>
      <c r="X223" t="s">
        <v>4482</v>
      </c>
      <c r="Y223" t="s">
        <v>4483</v>
      </c>
      <c r="Z223" t="s">
        <v>4484</v>
      </c>
      <c r="AA223" t="s">
        <v>74</v>
      </c>
      <c r="AB223" t="s">
        <v>74</v>
      </c>
      <c r="AC223" t="s">
        <v>4485</v>
      </c>
      <c r="AD223" t="s">
        <v>4486</v>
      </c>
      <c r="AE223" t="s">
        <v>4487</v>
      </c>
      <c r="AF223" t="s">
        <v>74</v>
      </c>
      <c r="AG223">
        <v>62</v>
      </c>
      <c r="AH223">
        <v>0</v>
      </c>
      <c r="AI223">
        <v>0</v>
      </c>
      <c r="AJ223">
        <v>8</v>
      </c>
      <c r="AK223">
        <v>8</v>
      </c>
      <c r="AL223" t="s">
        <v>251</v>
      </c>
      <c r="AM223" t="s">
        <v>252</v>
      </c>
      <c r="AN223" t="s">
        <v>253</v>
      </c>
      <c r="AO223" t="s">
        <v>4488</v>
      </c>
      <c r="AP223" t="s">
        <v>4489</v>
      </c>
      <c r="AQ223" t="s">
        <v>74</v>
      </c>
      <c r="AR223" t="s">
        <v>4490</v>
      </c>
      <c r="AS223" t="s">
        <v>4491</v>
      </c>
      <c r="AT223" t="s">
        <v>4492</v>
      </c>
      <c r="AU223">
        <v>2022</v>
      </c>
      <c r="AV223">
        <v>846</v>
      </c>
      <c r="AW223" t="s">
        <v>74</v>
      </c>
      <c r="AX223" t="s">
        <v>74</v>
      </c>
      <c r="AY223" t="s">
        <v>74</v>
      </c>
      <c r="AZ223" t="s">
        <v>74</v>
      </c>
      <c r="BA223" t="s">
        <v>74</v>
      </c>
      <c r="BB223" t="s">
        <v>74</v>
      </c>
      <c r="BC223" t="s">
        <v>74</v>
      </c>
      <c r="BD223">
        <v>157475</v>
      </c>
      <c r="BE223" t="s">
        <v>4493</v>
      </c>
      <c r="BF223" t="str">
        <f>HYPERLINK("http://dx.doi.org/10.1016/j.scitotenv.2022.157475","http://dx.doi.org/10.1016/j.scitotenv.2022.157475")</f>
        <v>http://dx.doi.org/10.1016/j.scitotenv.2022.157475</v>
      </c>
      <c r="BG223" t="s">
        <v>74</v>
      </c>
      <c r="BH223" t="s">
        <v>440</v>
      </c>
      <c r="BI223">
        <v>13</v>
      </c>
      <c r="BJ223" t="s">
        <v>2964</v>
      </c>
      <c r="BK223" t="s">
        <v>101</v>
      </c>
      <c r="BL223" t="s">
        <v>1441</v>
      </c>
      <c r="BM223" t="s">
        <v>4494</v>
      </c>
      <c r="BN223">
        <v>35868394</v>
      </c>
      <c r="BO223" t="s">
        <v>74</v>
      </c>
      <c r="BP223" t="s">
        <v>74</v>
      </c>
      <c r="BQ223" t="s">
        <v>74</v>
      </c>
      <c r="BR223" t="s">
        <v>104</v>
      </c>
      <c r="BS223" t="s">
        <v>4495</v>
      </c>
      <c r="BT223" t="str">
        <f>HYPERLINK("https%3A%2F%2Fwww.webofscience.com%2Fwos%2Fwoscc%2Ffull-record%2FWOS:000841995700004","View Full Record in Web of Science")</f>
        <v>View Full Record in Web of Science</v>
      </c>
    </row>
    <row r="224" spans="1:72" x14ac:dyDescent="0.25">
      <c r="A224" t="s">
        <v>72</v>
      </c>
      <c r="B224" t="s">
        <v>4496</v>
      </c>
      <c r="C224" t="s">
        <v>74</v>
      </c>
      <c r="D224" t="s">
        <v>74</v>
      </c>
      <c r="E224" t="s">
        <v>74</v>
      </c>
      <c r="F224" t="s">
        <v>4497</v>
      </c>
      <c r="G224" t="s">
        <v>74</v>
      </c>
      <c r="H224" t="s">
        <v>74</v>
      </c>
      <c r="I224" t="s">
        <v>4498</v>
      </c>
      <c r="J224" t="s">
        <v>4499</v>
      </c>
      <c r="K224" t="s">
        <v>74</v>
      </c>
      <c r="L224" t="s">
        <v>74</v>
      </c>
      <c r="M224" t="s">
        <v>78</v>
      </c>
      <c r="N224" t="s">
        <v>135</v>
      </c>
      <c r="O224" t="s">
        <v>74</v>
      </c>
      <c r="P224" t="s">
        <v>74</v>
      </c>
      <c r="Q224" t="s">
        <v>74</v>
      </c>
      <c r="R224" t="s">
        <v>74</v>
      </c>
      <c r="S224" t="s">
        <v>74</v>
      </c>
      <c r="T224" t="s">
        <v>4500</v>
      </c>
      <c r="U224" t="s">
        <v>4501</v>
      </c>
      <c r="V224" t="s">
        <v>4502</v>
      </c>
      <c r="W224" t="s">
        <v>4503</v>
      </c>
      <c r="X224" t="s">
        <v>4504</v>
      </c>
      <c r="Y224" t="s">
        <v>4505</v>
      </c>
      <c r="Z224" t="s">
        <v>4506</v>
      </c>
      <c r="AA224" t="s">
        <v>4507</v>
      </c>
      <c r="AB224" t="s">
        <v>4508</v>
      </c>
      <c r="AC224" t="s">
        <v>4509</v>
      </c>
      <c r="AD224" t="s">
        <v>4510</v>
      </c>
      <c r="AE224" t="s">
        <v>4511</v>
      </c>
      <c r="AF224" t="s">
        <v>74</v>
      </c>
      <c r="AG224">
        <v>47</v>
      </c>
      <c r="AH224">
        <v>1</v>
      </c>
      <c r="AI224">
        <v>1</v>
      </c>
      <c r="AJ224">
        <v>15</v>
      </c>
      <c r="AK224">
        <v>15</v>
      </c>
      <c r="AL224" t="s">
        <v>4512</v>
      </c>
      <c r="AM224" t="s">
        <v>4513</v>
      </c>
      <c r="AN224" t="s">
        <v>4514</v>
      </c>
      <c r="AO224" t="s">
        <v>4515</v>
      </c>
      <c r="AP224" t="s">
        <v>4516</v>
      </c>
      <c r="AQ224" t="s">
        <v>74</v>
      </c>
      <c r="AR224" t="s">
        <v>4517</v>
      </c>
      <c r="AS224" t="s">
        <v>4518</v>
      </c>
      <c r="AT224" t="s">
        <v>74</v>
      </c>
      <c r="AU224" t="s">
        <v>74</v>
      </c>
      <c r="AV224" t="s">
        <v>74</v>
      </c>
      <c r="AW224" t="s">
        <v>74</v>
      </c>
      <c r="AX224" t="s">
        <v>74</v>
      </c>
      <c r="AY224" t="s">
        <v>74</v>
      </c>
      <c r="AZ224" t="s">
        <v>74</v>
      </c>
      <c r="BA224" t="s">
        <v>74</v>
      </c>
      <c r="BB224" t="s">
        <v>74</v>
      </c>
      <c r="BC224" t="s">
        <v>74</v>
      </c>
      <c r="BD224" t="s">
        <v>74</v>
      </c>
      <c r="BE224" t="s">
        <v>4519</v>
      </c>
      <c r="BF224" t="str">
        <f>HYPERLINK("http://dx.doi.org/10.1177/19485506221101767","http://dx.doi.org/10.1177/19485506221101767")</f>
        <v>http://dx.doi.org/10.1177/19485506221101767</v>
      </c>
      <c r="BG224" t="s">
        <v>74</v>
      </c>
      <c r="BH224" t="s">
        <v>440</v>
      </c>
      <c r="BI224">
        <v>14</v>
      </c>
      <c r="BJ224" t="s">
        <v>4520</v>
      </c>
      <c r="BK224" t="s">
        <v>3791</v>
      </c>
      <c r="BL224" t="s">
        <v>1543</v>
      </c>
      <c r="BM224" t="s">
        <v>4521</v>
      </c>
      <c r="BN224" t="s">
        <v>74</v>
      </c>
      <c r="BO224" t="s">
        <v>4522</v>
      </c>
      <c r="BP224" t="s">
        <v>74</v>
      </c>
      <c r="BQ224" t="s">
        <v>74</v>
      </c>
      <c r="BR224" t="s">
        <v>104</v>
      </c>
      <c r="BS224" t="s">
        <v>4523</v>
      </c>
      <c r="BT224" t="str">
        <f>HYPERLINK("https%3A%2F%2Fwww.webofscience.com%2Fwos%2Fwoscc%2Ffull-record%2FWOS:000824794000001","View Full Record in Web of Science")</f>
        <v>View Full Record in Web of Science</v>
      </c>
    </row>
    <row r="225" spans="1:72" x14ac:dyDescent="0.25">
      <c r="A225" t="s">
        <v>72</v>
      </c>
      <c r="B225" t="s">
        <v>4524</v>
      </c>
      <c r="C225" t="s">
        <v>74</v>
      </c>
      <c r="D225" t="s">
        <v>74</v>
      </c>
      <c r="E225" t="s">
        <v>74</v>
      </c>
      <c r="F225" t="s">
        <v>4525</v>
      </c>
      <c r="G225" t="s">
        <v>74</v>
      </c>
      <c r="H225" t="s">
        <v>74</v>
      </c>
      <c r="I225" t="s">
        <v>4526</v>
      </c>
      <c r="J225" t="s">
        <v>4527</v>
      </c>
      <c r="K225" t="s">
        <v>74</v>
      </c>
      <c r="L225" t="s">
        <v>74</v>
      </c>
      <c r="M225" t="s">
        <v>78</v>
      </c>
      <c r="N225" t="s">
        <v>79</v>
      </c>
      <c r="O225" t="s">
        <v>74</v>
      </c>
      <c r="P225" t="s">
        <v>74</v>
      </c>
      <c r="Q225" t="s">
        <v>74</v>
      </c>
      <c r="R225" t="s">
        <v>74</v>
      </c>
      <c r="S225" t="s">
        <v>74</v>
      </c>
      <c r="T225" t="s">
        <v>74</v>
      </c>
      <c r="U225" t="s">
        <v>4528</v>
      </c>
      <c r="V225" t="s">
        <v>4529</v>
      </c>
      <c r="W225" t="s">
        <v>4530</v>
      </c>
      <c r="X225" t="s">
        <v>4531</v>
      </c>
      <c r="Y225" t="s">
        <v>4532</v>
      </c>
      <c r="Z225" t="s">
        <v>4533</v>
      </c>
      <c r="AA225" t="s">
        <v>4534</v>
      </c>
      <c r="AB225" t="s">
        <v>4535</v>
      </c>
      <c r="AC225" t="s">
        <v>4536</v>
      </c>
      <c r="AD225" t="s">
        <v>4537</v>
      </c>
      <c r="AE225" t="s">
        <v>4538</v>
      </c>
      <c r="AF225" t="s">
        <v>74</v>
      </c>
      <c r="AG225">
        <v>71</v>
      </c>
      <c r="AH225">
        <v>10</v>
      </c>
      <c r="AI225">
        <v>10</v>
      </c>
      <c r="AJ225">
        <v>31</v>
      </c>
      <c r="AK225">
        <v>67</v>
      </c>
      <c r="AL225" t="s">
        <v>898</v>
      </c>
      <c r="AM225" t="s">
        <v>899</v>
      </c>
      <c r="AN225" t="s">
        <v>900</v>
      </c>
      <c r="AO225" t="s">
        <v>4539</v>
      </c>
      <c r="AP225" t="s">
        <v>4540</v>
      </c>
      <c r="AQ225" t="s">
        <v>74</v>
      </c>
      <c r="AR225" t="s">
        <v>4541</v>
      </c>
      <c r="AS225" t="s">
        <v>4542</v>
      </c>
      <c r="AT225" t="s">
        <v>256</v>
      </c>
      <c r="AU225">
        <v>2022</v>
      </c>
      <c r="AV225">
        <v>15</v>
      </c>
      <c r="AW225">
        <v>4</v>
      </c>
      <c r="AX225" t="s">
        <v>74</v>
      </c>
      <c r="AY225" t="s">
        <v>74</v>
      </c>
      <c r="AZ225" t="s">
        <v>74</v>
      </c>
      <c r="BA225" t="s">
        <v>74</v>
      </c>
      <c r="BB225">
        <v>269</v>
      </c>
      <c r="BC225" t="s">
        <v>4543</v>
      </c>
      <c r="BD225" t="s">
        <v>74</v>
      </c>
      <c r="BE225" t="s">
        <v>4544</v>
      </c>
      <c r="BF225" t="str">
        <f>HYPERLINK("http://dx.doi.org/10.1038/s41561-022-00911-8","http://dx.doi.org/10.1038/s41561-022-00911-8")</f>
        <v>http://dx.doi.org/10.1038/s41561-022-00911-8</v>
      </c>
      <c r="BG225" t="s">
        <v>74</v>
      </c>
      <c r="BH225" t="s">
        <v>233</v>
      </c>
      <c r="BI225">
        <v>21</v>
      </c>
      <c r="BJ225" t="s">
        <v>3541</v>
      </c>
      <c r="BK225" t="s">
        <v>101</v>
      </c>
      <c r="BL225" t="s">
        <v>1621</v>
      </c>
      <c r="BM225" t="s">
        <v>4545</v>
      </c>
      <c r="BN225" t="s">
        <v>74</v>
      </c>
      <c r="BO225" t="s">
        <v>4546</v>
      </c>
      <c r="BP225" t="s">
        <v>74</v>
      </c>
      <c r="BQ225" t="s">
        <v>74</v>
      </c>
      <c r="BR225" t="s">
        <v>104</v>
      </c>
      <c r="BS225" t="s">
        <v>4547</v>
      </c>
      <c r="BT225" t="str">
        <f>HYPERLINK("https%3A%2F%2Fwww.webofscience.com%2Fwos%2Fwoscc%2Ffull-record%2FWOS:000777374800001","View Full Record in Web of Science")</f>
        <v>View Full Record in Web of Science</v>
      </c>
    </row>
    <row r="226" spans="1:72" x14ac:dyDescent="0.25">
      <c r="A226" t="s">
        <v>72</v>
      </c>
      <c r="B226" t="s">
        <v>4548</v>
      </c>
      <c r="C226" t="s">
        <v>74</v>
      </c>
      <c r="D226" t="s">
        <v>74</v>
      </c>
      <c r="E226" t="s">
        <v>74</v>
      </c>
      <c r="F226" t="s">
        <v>4549</v>
      </c>
      <c r="G226" t="s">
        <v>74</v>
      </c>
      <c r="H226" t="s">
        <v>74</v>
      </c>
      <c r="I226" t="s">
        <v>4550</v>
      </c>
      <c r="J226" t="s">
        <v>4551</v>
      </c>
      <c r="K226" t="s">
        <v>74</v>
      </c>
      <c r="L226" t="s">
        <v>74</v>
      </c>
      <c r="M226" t="s">
        <v>78</v>
      </c>
      <c r="N226" t="s">
        <v>79</v>
      </c>
      <c r="O226" t="s">
        <v>74</v>
      </c>
      <c r="P226" t="s">
        <v>74</v>
      </c>
      <c r="Q226" t="s">
        <v>74</v>
      </c>
      <c r="R226" t="s">
        <v>74</v>
      </c>
      <c r="S226" t="s">
        <v>74</v>
      </c>
      <c r="T226" t="s">
        <v>74</v>
      </c>
      <c r="U226" t="s">
        <v>4552</v>
      </c>
      <c r="V226" t="s">
        <v>4553</v>
      </c>
      <c r="W226" t="s">
        <v>4554</v>
      </c>
      <c r="X226" t="s">
        <v>4555</v>
      </c>
      <c r="Y226" t="s">
        <v>4556</v>
      </c>
      <c r="Z226" t="s">
        <v>4557</v>
      </c>
      <c r="AA226" t="s">
        <v>4558</v>
      </c>
      <c r="AB226" t="s">
        <v>4559</v>
      </c>
      <c r="AC226" t="s">
        <v>4560</v>
      </c>
      <c r="AD226" t="s">
        <v>4561</v>
      </c>
      <c r="AE226" t="s">
        <v>4562</v>
      </c>
      <c r="AF226" t="s">
        <v>74</v>
      </c>
      <c r="AG226">
        <v>84</v>
      </c>
      <c r="AH226">
        <v>3</v>
      </c>
      <c r="AI226">
        <v>3</v>
      </c>
      <c r="AJ226">
        <v>15</v>
      </c>
      <c r="AK226">
        <v>17</v>
      </c>
      <c r="AL226" t="s">
        <v>4563</v>
      </c>
      <c r="AM226" t="s">
        <v>1023</v>
      </c>
      <c r="AN226" t="s">
        <v>4564</v>
      </c>
      <c r="AO226" t="s">
        <v>4565</v>
      </c>
      <c r="AP226" t="s">
        <v>74</v>
      </c>
      <c r="AQ226" t="s">
        <v>74</v>
      </c>
      <c r="AR226" t="s">
        <v>4566</v>
      </c>
      <c r="AS226" t="s">
        <v>4567</v>
      </c>
      <c r="AT226" t="s">
        <v>4568</v>
      </c>
      <c r="AU226">
        <v>2022</v>
      </c>
      <c r="AV226">
        <v>8</v>
      </c>
      <c r="AW226">
        <v>26</v>
      </c>
      <c r="AX226" t="s">
        <v>74</v>
      </c>
      <c r="AY226" t="s">
        <v>74</v>
      </c>
      <c r="AZ226" t="s">
        <v>74</v>
      </c>
      <c r="BA226" t="s">
        <v>74</v>
      </c>
      <c r="BB226" t="s">
        <v>74</v>
      </c>
      <c r="BC226" t="s">
        <v>74</v>
      </c>
      <c r="BD226" t="s">
        <v>4569</v>
      </c>
      <c r="BE226" t="s">
        <v>4570</v>
      </c>
      <c r="BF226" t="str">
        <f>HYPERLINK("http://dx.doi.org/10.1126/sciadv.abn1767","http://dx.doi.org/10.1126/sciadv.abn1767")</f>
        <v>http://dx.doi.org/10.1126/sciadv.abn1767</v>
      </c>
      <c r="BG226" t="s">
        <v>74</v>
      </c>
      <c r="BH226" t="s">
        <v>74</v>
      </c>
      <c r="BI226">
        <v>12</v>
      </c>
      <c r="BJ226" t="s">
        <v>493</v>
      </c>
      <c r="BK226" t="s">
        <v>101</v>
      </c>
      <c r="BL226" t="s">
        <v>494</v>
      </c>
      <c r="BM226" t="s">
        <v>4571</v>
      </c>
      <c r="BN226">
        <v>35776785</v>
      </c>
      <c r="BO226" t="s">
        <v>103</v>
      </c>
      <c r="BP226" t="s">
        <v>74</v>
      </c>
      <c r="BQ226" t="s">
        <v>74</v>
      </c>
      <c r="BR226" t="s">
        <v>104</v>
      </c>
      <c r="BS226" t="s">
        <v>4572</v>
      </c>
      <c r="BT226" t="str">
        <f>HYPERLINK("https%3A%2F%2Fwww.webofscience.com%2Fwos%2Fwoscc%2Ffull-record%2FWOS:000823432200006","View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469"/>
  <sheetViews>
    <sheetView topLeftCell="AA157" workbookViewId="0">
      <selection activeCell="AE170" sqref="AE170"/>
    </sheetView>
  </sheetViews>
  <sheetFormatPr baseColWidth="10" defaultRowHeight="13.2" x14ac:dyDescent="0.25"/>
  <cols>
    <col min="1" max="3" width="81.109375" bestFit="1" customWidth="1"/>
    <col min="4" max="4" width="45.6640625" bestFit="1" customWidth="1"/>
    <col min="5" max="5" width="81.109375" bestFit="1" customWidth="1"/>
    <col min="6" max="6" width="44.5546875" bestFit="1" customWidth="1"/>
    <col min="7" max="7" width="81.109375" bestFit="1" customWidth="1"/>
    <col min="8" max="8" width="41.33203125" bestFit="1" customWidth="1"/>
    <col min="9" max="9" width="10.5546875" bestFit="1" customWidth="1"/>
    <col min="10" max="10" width="9" bestFit="1" customWidth="1"/>
    <col min="11" max="11" width="10.44140625" bestFit="1" customWidth="1"/>
    <col min="12" max="12" width="12.44140625" bestFit="1" customWidth="1"/>
    <col min="13" max="13" width="45" bestFit="1" customWidth="1"/>
    <col min="14" max="19" width="81.109375" bestFit="1" customWidth="1"/>
    <col min="20" max="20" width="26.5546875" bestFit="1" customWidth="1"/>
    <col min="21" max="28" width="81.109375" bestFit="1" customWidth="1"/>
    <col min="29" max="33" width="13.33203125" bestFit="1" customWidth="1"/>
    <col min="34" max="34" width="14.33203125" bestFit="1" customWidth="1"/>
    <col min="35" max="40" width="81.109375" bestFit="1" customWidth="1"/>
    <col min="41" max="41" width="38.5546875" bestFit="1" customWidth="1"/>
    <col min="42" max="42" width="17.44140625" bestFit="1" customWidth="1"/>
    <col min="43" max="43" width="14.88671875" bestFit="1" customWidth="1"/>
    <col min="44" max="44" width="9" bestFit="1" customWidth="1"/>
    <col min="45" max="45" width="28.5546875" bestFit="1" customWidth="1"/>
    <col min="46" max="46" width="8" bestFit="1" customWidth="1"/>
    <col min="47" max="47" width="10.109375" bestFit="1" customWidth="1"/>
    <col min="48" max="48" width="33" bestFit="1" customWidth="1"/>
    <col min="49" max="49" width="81.109375" bestFit="1" customWidth="1"/>
    <col min="50" max="50" width="15.6640625" bestFit="1" customWidth="1"/>
    <col min="51" max="51" width="15.5546875" bestFit="1" customWidth="1"/>
    <col min="52" max="52" width="32.5546875" bestFit="1" customWidth="1"/>
    <col min="53" max="53" width="7.33203125" bestFit="1" customWidth="1"/>
    <col min="54" max="54" width="17.88671875" bestFit="1" customWidth="1"/>
  </cols>
  <sheetData>
    <row r="1" spans="1:54" x14ac:dyDescent="0.25">
      <c r="A1" t="s">
        <v>1</v>
      </c>
      <c r="B1" t="s">
        <v>10652</v>
      </c>
      <c r="C1" t="s">
        <v>4622</v>
      </c>
      <c r="D1" t="s">
        <v>4623</v>
      </c>
      <c r="E1" t="s">
        <v>10653</v>
      </c>
      <c r="F1" t="s">
        <v>47</v>
      </c>
      <c r="G1" t="s">
        <v>48</v>
      </c>
      <c r="H1" t="s">
        <v>10654</v>
      </c>
      <c r="I1" t="s">
        <v>10655</v>
      </c>
      <c r="J1" t="s">
        <v>10656</v>
      </c>
      <c r="K1" t="s">
        <v>10657</v>
      </c>
      <c r="L1" t="s">
        <v>10658</v>
      </c>
      <c r="M1" t="s">
        <v>56</v>
      </c>
      <c r="N1" t="s">
        <v>4625</v>
      </c>
      <c r="O1" t="s">
        <v>23</v>
      </c>
      <c r="P1" t="s">
        <v>10659</v>
      </c>
      <c r="Q1" t="s">
        <v>21</v>
      </c>
      <c r="R1" t="s">
        <v>19</v>
      </c>
      <c r="S1" t="s">
        <v>10660</v>
      </c>
      <c r="T1" t="s">
        <v>10661</v>
      </c>
      <c r="U1" t="s">
        <v>4626</v>
      </c>
      <c r="V1" t="s">
        <v>4627</v>
      </c>
      <c r="W1" t="s">
        <v>4628</v>
      </c>
      <c r="X1" t="s">
        <v>10662</v>
      </c>
      <c r="Y1" t="s">
        <v>10663</v>
      </c>
      <c r="Z1" t="s">
        <v>10664</v>
      </c>
      <c r="AA1" t="s">
        <v>10665</v>
      </c>
      <c r="AB1" t="s">
        <v>10666</v>
      </c>
      <c r="AC1" t="s">
        <v>10667</v>
      </c>
      <c r="AD1" t="s">
        <v>10668</v>
      </c>
      <c r="AE1" t="s">
        <v>10669</v>
      </c>
      <c r="AF1" t="s">
        <v>10670</v>
      </c>
      <c r="AG1" t="s">
        <v>10671</v>
      </c>
      <c r="AH1" t="s">
        <v>10672</v>
      </c>
      <c r="AI1" t="s">
        <v>4629</v>
      </c>
      <c r="AJ1" t="s">
        <v>10673</v>
      </c>
      <c r="AK1" t="s">
        <v>4630</v>
      </c>
      <c r="AL1" t="s">
        <v>4631</v>
      </c>
      <c r="AM1" t="s">
        <v>37</v>
      </c>
      <c r="AN1" t="s">
        <v>10674</v>
      </c>
      <c r="AO1" t="s">
        <v>10675</v>
      </c>
      <c r="AP1" t="s">
        <v>10676</v>
      </c>
      <c r="AQ1" t="s">
        <v>10677</v>
      </c>
      <c r="AR1" t="s">
        <v>40</v>
      </c>
      <c r="AS1" t="s">
        <v>42</v>
      </c>
      <c r="AT1" t="s">
        <v>4632</v>
      </c>
      <c r="AU1" t="s">
        <v>10678</v>
      </c>
      <c r="AV1" t="s">
        <v>10679</v>
      </c>
      <c r="AW1" t="s">
        <v>10680</v>
      </c>
      <c r="AX1" t="s">
        <v>13</v>
      </c>
      <c r="AY1" t="s">
        <v>10681</v>
      </c>
      <c r="AZ1" t="s">
        <v>10682</v>
      </c>
      <c r="BA1" t="s">
        <v>4624</v>
      </c>
      <c r="BB1" t="s">
        <v>4633</v>
      </c>
    </row>
    <row r="2" spans="1:54" x14ac:dyDescent="0.25">
      <c r="A2" t="s">
        <v>4636</v>
      </c>
      <c r="B2" t="s">
        <v>4637</v>
      </c>
      <c r="C2" t="s">
        <v>1058</v>
      </c>
      <c r="D2">
        <v>2023</v>
      </c>
      <c r="E2" t="s">
        <v>4638</v>
      </c>
      <c r="F2">
        <v>1274</v>
      </c>
      <c r="H2">
        <v>134414</v>
      </c>
      <c r="M2" t="s">
        <v>1069</v>
      </c>
      <c r="N2" t="s">
        <v>4639</v>
      </c>
      <c r="O2" t="s">
        <v>4640</v>
      </c>
      <c r="P2" t="s">
        <v>4641</v>
      </c>
      <c r="Q2" t="s">
        <v>4642</v>
      </c>
      <c r="R2" t="s">
        <v>4643</v>
      </c>
      <c r="S2" t="s">
        <v>4644</v>
      </c>
      <c r="X2" t="s">
        <v>4645</v>
      </c>
      <c r="Y2" t="s">
        <v>4646</v>
      </c>
      <c r="Z2" t="s">
        <v>4647</v>
      </c>
      <c r="AI2" t="s">
        <v>4648</v>
      </c>
      <c r="AJ2" t="s">
        <v>4649</v>
      </c>
      <c r="AM2" t="s">
        <v>4650</v>
      </c>
      <c r="AR2">
        <v>222860</v>
      </c>
      <c r="AT2" t="s">
        <v>4651</v>
      </c>
      <c r="AV2" t="s">
        <v>78</v>
      </c>
      <c r="AW2" t="s">
        <v>597</v>
      </c>
      <c r="AX2" t="s">
        <v>79</v>
      </c>
      <c r="AY2" t="s">
        <v>4620</v>
      </c>
      <c r="BA2" t="s">
        <v>4584</v>
      </c>
      <c r="BB2" t="s">
        <v>4652</v>
      </c>
    </row>
    <row r="3" spans="1:54" x14ac:dyDescent="0.25">
      <c r="A3" t="s">
        <v>4654</v>
      </c>
      <c r="B3" t="s">
        <v>4655</v>
      </c>
      <c r="C3" t="s">
        <v>2274</v>
      </c>
      <c r="D3">
        <v>2023</v>
      </c>
      <c r="E3" t="s">
        <v>4656</v>
      </c>
      <c r="F3">
        <v>518</v>
      </c>
      <c r="G3">
        <v>1</v>
      </c>
      <c r="H3">
        <v>126674</v>
      </c>
      <c r="M3" t="s">
        <v>2296</v>
      </c>
      <c r="N3" t="s">
        <v>4657</v>
      </c>
      <c r="O3" t="s">
        <v>4658</v>
      </c>
      <c r="P3" t="s">
        <v>4659</v>
      </c>
      <c r="Q3" t="s">
        <v>4660</v>
      </c>
      <c r="R3" t="s">
        <v>4661</v>
      </c>
      <c r="X3" t="s">
        <v>4662</v>
      </c>
      <c r="Y3" t="s">
        <v>4663</v>
      </c>
      <c r="AI3" t="s">
        <v>4664</v>
      </c>
      <c r="AJ3" t="s">
        <v>4665</v>
      </c>
      <c r="AM3" t="s">
        <v>4666</v>
      </c>
      <c r="AR3" t="s">
        <v>4667</v>
      </c>
      <c r="AV3" t="s">
        <v>78</v>
      </c>
      <c r="AW3" t="s">
        <v>2294</v>
      </c>
      <c r="AX3" t="s">
        <v>79</v>
      </c>
      <c r="AY3" t="s">
        <v>4620</v>
      </c>
      <c r="BA3" t="s">
        <v>4584</v>
      </c>
      <c r="BB3" t="s">
        <v>4668</v>
      </c>
    </row>
    <row r="4" spans="1:54" x14ac:dyDescent="0.25">
      <c r="A4" t="s">
        <v>4675</v>
      </c>
      <c r="B4" t="s">
        <v>4676</v>
      </c>
      <c r="C4" t="s">
        <v>4677</v>
      </c>
      <c r="D4">
        <v>2023</v>
      </c>
      <c r="E4" t="s">
        <v>4678</v>
      </c>
      <c r="F4">
        <v>62</v>
      </c>
      <c r="G4">
        <v>1</v>
      </c>
      <c r="I4">
        <v>50</v>
      </c>
      <c r="J4">
        <v>70</v>
      </c>
      <c r="M4" t="s">
        <v>1140</v>
      </c>
      <c r="N4" t="s">
        <v>4679</v>
      </c>
      <c r="O4" t="s">
        <v>4680</v>
      </c>
      <c r="P4" t="s">
        <v>4681</v>
      </c>
      <c r="Q4" t="s">
        <v>4682</v>
      </c>
      <c r="R4" t="s">
        <v>4683</v>
      </c>
      <c r="Y4" t="s">
        <v>4684</v>
      </c>
      <c r="AI4" t="s">
        <v>4685</v>
      </c>
      <c r="AJ4" t="s">
        <v>4686</v>
      </c>
      <c r="AM4" t="s">
        <v>4687</v>
      </c>
      <c r="AR4">
        <v>2105462</v>
      </c>
      <c r="AV4" t="s">
        <v>78</v>
      </c>
      <c r="AW4" t="s">
        <v>1139</v>
      </c>
      <c r="AX4" t="s">
        <v>79</v>
      </c>
      <c r="AY4" t="s">
        <v>4620</v>
      </c>
      <c r="AZ4" t="s">
        <v>4688</v>
      </c>
      <c r="BA4" t="s">
        <v>4584</v>
      </c>
      <c r="BB4" t="s">
        <v>4689</v>
      </c>
    </row>
    <row r="5" spans="1:54" x14ac:dyDescent="0.25">
      <c r="A5" t="s">
        <v>4699</v>
      </c>
      <c r="B5" t="s">
        <v>4700</v>
      </c>
      <c r="C5" t="s">
        <v>4701</v>
      </c>
      <c r="D5">
        <v>2023</v>
      </c>
      <c r="E5" t="s">
        <v>4702</v>
      </c>
      <c r="F5">
        <v>84</v>
      </c>
      <c r="H5">
        <v>101148</v>
      </c>
      <c r="M5" t="s">
        <v>4703</v>
      </c>
      <c r="N5" t="s">
        <v>4704</v>
      </c>
      <c r="O5" t="s">
        <v>4705</v>
      </c>
      <c r="P5" t="s">
        <v>4706</v>
      </c>
      <c r="Q5" t="s">
        <v>4707</v>
      </c>
      <c r="R5" t="s">
        <v>4708</v>
      </c>
      <c r="S5" t="s">
        <v>4709</v>
      </c>
      <c r="Y5" t="s">
        <v>4710</v>
      </c>
      <c r="AI5" t="s">
        <v>4711</v>
      </c>
      <c r="AJ5" t="s">
        <v>4712</v>
      </c>
      <c r="AM5" t="s">
        <v>4635</v>
      </c>
      <c r="AR5" t="s">
        <v>4713</v>
      </c>
      <c r="AT5" t="s">
        <v>4714</v>
      </c>
      <c r="AV5" t="s">
        <v>78</v>
      </c>
      <c r="AW5" t="s">
        <v>4715</v>
      </c>
      <c r="AX5" t="s">
        <v>162</v>
      </c>
      <c r="AY5" t="s">
        <v>4620</v>
      </c>
      <c r="BA5" t="s">
        <v>4584</v>
      </c>
      <c r="BB5" t="s">
        <v>4716</v>
      </c>
    </row>
    <row r="6" spans="1:54" x14ac:dyDescent="0.25">
      <c r="A6" t="s">
        <v>4717</v>
      </c>
      <c r="B6" t="s">
        <v>4718</v>
      </c>
      <c r="C6" t="s">
        <v>4719</v>
      </c>
      <c r="D6">
        <v>2023</v>
      </c>
      <c r="E6" t="s">
        <v>4720</v>
      </c>
      <c r="F6">
        <v>53</v>
      </c>
      <c r="G6">
        <v>7</v>
      </c>
      <c r="H6" t="s">
        <v>4721</v>
      </c>
      <c r="M6" t="s">
        <v>4722</v>
      </c>
      <c r="N6" t="s">
        <v>4723</v>
      </c>
      <c r="O6" t="s">
        <v>4724</v>
      </c>
      <c r="P6" t="s">
        <v>4725</v>
      </c>
      <c r="Q6" t="s">
        <v>4726</v>
      </c>
      <c r="R6" t="s">
        <v>4727</v>
      </c>
      <c r="X6" t="s">
        <v>4728</v>
      </c>
      <c r="Y6" t="s">
        <v>4729</v>
      </c>
      <c r="AI6" t="s">
        <v>4730</v>
      </c>
      <c r="AJ6" t="s">
        <v>4731</v>
      </c>
      <c r="AM6" t="s">
        <v>4732</v>
      </c>
      <c r="AR6">
        <v>1038478</v>
      </c>
      <c r="AV6" t="s">
        <v>78</v>
      </c>
      <c r="AW6" t="s">
        <v>4733</v>
      </c>
      <c r="AX6" t="s">
        <v>79</v>
      </c>
      <c r="AY6" t="s">
        <v>4620</v>
      </c>
      <c r="AZ6" t="s">
        <v>4672</v>
      </c>
      <c r="BA6" t="s">
        <v>4584</v>
      </c>
      <c r="BB6" t="s">
        <v>4734</v>
      </c>
    </row>
    <row r="7" spans="1:54" x14ac:dyDescent="0.25">
      <c r="A7" t="s">
        <v>4735</v>
      </c>
      <c r="B7" t="s">
        <v>4736</v>
      </c>
      <c r="C7" t="s">
        <v>4737</v>
      </c>
      <c r="D7">
        <v>2023</v>
      </c>
      <c r="E7" t="s">
        <v>4738</v>
      </c>
      <c r="F7">
        <v>448</v>
      </c>
      <c r="I7">
        <v>409</v>
      </c>
      <c r="J7">
        <v>417</v>
      </c>
      <c r="M7" t="s">
        <v>4739</v>
      </c>
      <c r="N7" t="s">
        <v>4740</v>
      </c>
      <c r="O7" t="s">
        <v>4741</v>
      </c>
      <c r="P7" t="s">
        <v>4742</v>
      </c>
      <c r="Q7" t="s">
        <v>4743</v>
      </c>
      <c r="R7" t="s">
        <v>4744</v>
      </c>
      <c r="AI7" t="s">
        <v>4745</v>
      </c>
      <c r="AJ7" t="s">
        <v>4746</v>
      </c>
      <c r="AK7" t="s">
        <v>4747</v>
      </c>
      <c r="AM7" t="s">
        <v>4748</v>
      </c>
      <c r="AN7" t="s">
        <v>4749</v>
      </c>
      <c r="AO7" t="s">
        <v>4750</v>
      </c>
      <c r="AQ7">
        <v>280489</v>
      </c>
      <c r="AR7">
        <v>23673370</v>
      </c>
      <c r="AS7">
        <v>9789811916090</v>
      </c>
      <c r="AV7" t="s">
        <v>78</v>
      </c>
      <c r="AW7" t="s">
        <v>4751</v>
      </c>
      <c r="AX7" t="s">
        <v>10683</v>
      </c>
      <c r="AY7" t="s">
        <v>4620</v>
      </c>
      <c r="BA7" t="s">
        <v>4584</v>
      </c>
      <c r="BB7" t="s">
        <v>4752</v>
      </c>
    </row>
    <row r="8" spans="1:54" x14ac:dyDescent="0.25">
      <c r="A8" t="s">
        <v>4753</v>
      </c>
      <c r="B8" t="s">
        <v>4754</v>
      </c>
      <c r="C8" t="s">
        <v>4755</v>
      </c>
      <c r="D8">
        <v>2023</v>
      </c>
      <c r="E8" t="s">
        <v>4756</v>
      </c>
      <c r="F8">
        <v>26</v>
      </c>
      <c r="G8">
        <v>1</v>
      </c>
      <c r="I8">
        <v>111</v>
      </c>
      <c r="J8">
        <v>125</v>
      </c>
      <c r="M8" t="s">
        <v>4757</v>
      </c>
      <c r="N8" t="s">
        <v>4758</v>
      </c>
      <c r="O8" t="s">
        <v>4759</v>
      </c>
      <c r="P8" t="s">
        <v>4760</v>
      </c>
      <c r="Q8" t="s">
        <v>4761</v>
      </c>
      <c r="R8" t="s">
        <v>4762</v>
      </c>
      <c r="AI8" t="s">
        <v>4763</v>
      </c>
      <c r="AJ8" t="s">
        <v>4764</v>
      </c>
      <c r="AM8" t="s">
        <v>4765</v>
      </c>
      <c r="AR8">
        <v>13645579</v>
      </c>
      <c r="AV8" t="s">
        <v>78</v>
      </c>
      <c r="AW8" t="s">
        <v>4766</v>
      </c>
      <c r="AX8" t="s">
        <v>79</v>
      </c>
      <c r="AY8" t="s">
        <v>4620</v>
      </c>
      <c r="BA8" t="s">
        <v>4584</v>
      </c>
      <c r="BB8" t="s">
        <v>4767</v>
      </c>
    </row>
    <row r="9" spans="1:54" x14ac:dyDescent="0.25">
      <c r="A9" t="s">
        <v>4776</v>
      </c>
      <c r="B9" t="s">
        <v>4777</v>
      </c>
      <c r="C9" t="s">
        <v>4778</v>
      </c>
      <c r="D9">
        <v>2022</v>
      </c>
      <c r="E9" t="s">
        <v>4779</v>
      </c>
      <c r="F9">
        <v>23</v>
      </c>
      <c r="G9">
        <v>23</v>
      </c>
      <c r="H9">
        <v>14807</v>
      </c>
      <c r="M9" t="s">
        <v>4780</v>
      </c>
      <c r="N9" t="s">
        <v>4781</v>
      </c>
      <c r="O9" t="s">
        <v>4782</v>
      </c>
      <c r="P9" t="s">
        <v>4783</v>
      </c>
      <c r="Q9" t="s">
        <v>4784</v>
      </c>
      <c r="R9" t="s">
        <v>4785</v>
      </c>
      <c r="X9" t="s">
        <v>4786</v>
      </c>
      <c r="Y9" t="s">
        <v>4787</v>
      </c>
      <c r="AI9" t="s">
        <v>4788</v>
      </c>
      <c r="AJ9" t="s">
        <v>4789</v>
      </c>
      <c r="AM9" t="s">
        <v>92</v>
      </c>
      <c r="AR9">
        <v>16616596</v>
      </c>
      <c r="AV9" t="s">
        <v>78</v>
      </c>
      <c r="AW9" t="s">
        <v>4790</v>
      </c>
      <c r="AX9" t="s">
        <v>79</v>
      </c>
      <c r="AY9" t="s">
        <v>4620</v>
      </c>
      <c r="AZ9" t="s">
        <v>4688</v>
      </c>
      <c r="BA9" t="s">
        <v>4584</v>
      </c>
      <c r="BB9" t="s">
        <v>4791</v>
      </c>
    </row>
    <row r="10" spans="1:54" x14ac:dyDescent="0.25">
      <c r="A10" t="s">
        <v>4792</v>
      </c>
      <c r="B10" t="s">
        <v>4793</v>
      </c>
      <c r="C10" t="s">
        <v>4794</v>
      </c>
      <c r="D10">
        <v>2022</v>
      </c>
      <c r="E10" t="s">
        <v>4795</v>
      </c>
      <c r="F10">
        <v>185</v>
      </c>
      <c r="H10">
        <v>114357</v>
      </c>
      <c r="M10" t="s">
        <v>4796</v>
      </c>
      <c r="N10" t="s">
        <v>4797</v>
      </c>
      <c r="O10" t="s">
        <v>4798</v>
      </c>
      <c r="P10" t="s">
        <v>4799</v>
      </c>
      <c r="Q10" t="s">
        <v>4800</v>
      </c>
      <c r="R10" t="s">
        <v>4801</v>
      </c>
      <c r="S10" t="s">
        <v>4802</v>
      </c>
      <c r="U10" t="s">
        <v>4803</v>
      </c>
      <c r="X10" t="s">
        <v>4804</v>
      </c>
      <c r="Y10" t="s">
        <v>4805</v>
      </c>
      <c r="AI10" t="s">
        <v>4806</v>
      </c>
      <c r="AJ10" t="s">
        <v>4807</v>
      </c>
      <c r="AM10" t="s">
        <v>4635</v>
      </c>
      <c r="AR10" t="s">
        <v>4808</v>
      </c>
      <c r="AT10" t="s">
        <v>4809</v>
      </c>
      <c r="AU10">
        <v>36427376</v>
      </c>
      <c r="AV10" t="s">
        <v>78</v>
      </c>
      <c r="AW10" t="s">
        <v>4810</v>
      </c>
      <c r="AX10" t="s">
        <v>79</v>
      </c>
      <c r="AY10" t="s">
        <v>4620</v>
      </c>
      <c r="BA10" t="s">
        <v>4584</v>
      </c>
      <c r="BB10" t="s">
        <v>4811</v>
      </c>
    </row>
    <row r="11" spans="1:54" x14ac:dyDescent="0.25">
      <c r="A11" t="s">
        <v>4812</v>
      </c>
      <c r="B11" t="s">
        <v>4813</v>
      </c>
      <c r="C11" t="s">
        <v>4814</v>
      </c>
      <c r="D11">
        <v>2022</v>
      </c>
      <c r="E11" t="s">
        <v>4815</v>
      </c>
      <c r="F11">
        <v>9</v>
      </c>
      <c r="H11">
        <v>100628</v>
      </c>
      <c r="M11" t="s">
        <v>4816</v>
      </c>
      <c r="N11" t="s">
        <v>4817</v>
      </c>
      <c r="O11" t="s">
        <v>4818</v>
      </c>
      <c r="P11" t="s">
        <v>4819</v>
      </c>
      <c r="Q11" t="s">
        <v>4820</v>
      </c>
      <c r="R11" t="s">
        <v>4821</v>
      </c>
      <c r="X11" t="s">
        <v>4822</v>
      </c>
      <c r="Y11" t="s">
        <v>4823</v>
      </c>
      <c r="AI11" t="s">
        <v>4824</v>
      </c>
      <c r="AJ11" t="s">
        <v>4825</v>
      </c>
      <c r="AM11" t="s">
        <v>4650</v>
      </c>
      <c r="AR11">
        <v>26670100</v>
      </c>
      <c r="AV11" t="s">
        <v>78</v>
      </c>
      <c r="AW11" t="s">
        <v>4826</v>
      </c>
      <c r="AX11" t="s">
        <v>79</v>
      </c>
      <c r="AY11" t="s">
        <v>4620</v>
      </c>
      <c r="AZ11" t="s">
        <v>4672</v>
      </c>
      <c r="BA11" t="s">
        <v>4584</v>
      </c>
      <c r="BB11" t="s">
        <v>4827</v>
      </c>
    </row>
    <row r="12" spans="1:54" x14ac:dyDescent="0.25">
      <c r="A12" t="s">
        <v>4828</v>
      </c>
      <c r="B12" t="s">
        <v>4829</v>
      </c>
      <c r="C12" t="s">
        <v>887</v>
      </c>
      <c r="D12">
        <v>2022</v>
      </c>
      <c r="E12" t="s">
        <v>4773</v>
      </c>
      <c r="F12">
        <v>12</v>
      </c>
      <c r="G12">
        <v>1</v>
      </c>
      <c r="H12">
        <v>16402</v>
      </c>
      <c r="M12" t="s">
        <v>905</v>
      </c>
      <c r="N12" t="s">
        <v>4830</v>
      </c>
      <c r="O12" t="s">
        <v>4831</v>
      </c>
      <c r="P12" t="s">
        <v>4832</v>
      </c>
      <c r="Q12" t="s">
        <v>4833</v>
      </c>
      <c r="S12" t="s">
        <v>4834</v>
      </c>
      <c r="X12" t="s">
        <v>4835</v>
      </c>
      <c r="Y12" t="s">
        <v>4836</v>
      </c>
      <c r="AI12" t="s">
        <v>4837</v>
      </c>
      <c r="AJ12" t="s">
        <v>4838</v>
      </c>
      <c r="AM12" t="s">
        <v>4774</v>
      </c>
      <c r="AR12">
        <v>20452322</v>
      </c>
      <c r="AU12">
        <v>36180534</v>
      </c>
      <c r="AV12" t="s">
        <v>78</v>
      </c>
      <c r="AW12" t="s">
        <v>4775</v>
      </c>
      <c r="AX12" t="s">
        <v>79</v>
      </c>
      <c r="AY12" t="s">
        <v>4620</v>
      </c>
      <c r="AZ12" t="s">
        <v>4688</v>
      </c>
      <c r="BA12" t="s">
        <v>4584</v>
      </c>
      <c r="BB12" t="s">
        <v>4839</v>
      </c>
    </row>
    <row r="13" spans="1:54" x14ac:dyDescent="0.25">
      <c r="A13" t="s">
        <v>4840</v>
      </c>
      <c r="B13" t="s">
        <v>4841</v>
      </c>
      <c r="C13" t="s">
        <v>447</v>
      </c>
      <c r="D13">
        <v>2022</v>
      </c>
      <c r="E13" t="s">
        <v>4842</v>
      </c>
      <c r="F13">
        <v>18</v>
      </c>
      <c r="G13">
        <v>1</v>
      </c>
      <c r="H13">
        <v>59</v>
      </c>
      <c r="M13" t="s">
        <v>466</v>
      </c>
      <c r="N13" t="s">
        <v>4843</v>
      </c>
      <c r="O13" t="s">
        <v>4844</v>
      </c>
      <c r="P13" t="s">
        <v>4845</v>
      </c>
      <c r="Q13" t="s">
        <v>4846</v>
      </c>
      <c r="R13" t="s">
        <v>4847</v>
      </c>
      <c r="S13" t="s">
        <v>4848</v>
      </c>
      <c r="X13" t="s">
        <v>4835</v>
      </c>
      <c r="Y13" t="s">
        <v>4849</v>
      </c>
      <c r="Z13" t="s">
        <v>4849</v>
      </c>
      <c r="AI13" t="s">
        <v>4850</v>
      </c>
      <c r="AJ13" t="s">
        <v>4851</v>
      </c>
      <c r="AM13" t="s">
        <v>4852</v>
      </c>
      <c r="AR13">
        <v>17464269</v>
      </c>
      <c r="AU13">
        <v>36117158</v>
      </c>
      <c r="AV13" t="s">
        <v>78</v>
      </c>
      <c r="AW13" t="s">
        <v>4853</v>
      </c>
      <c r="AX13" t="s">
        <v>79</v>
      </c>
      <c r="AY13" t="s">
        <v>4620</v>
      </c>
      <c r="AZ13" t="s">
        <v>4688</v>
      </c>
      <c r="BA13" t="s">
        <v>4584</v>
      </c>
      <c r="BB13" t="s">
        <v>4854</v>
      </c>
    </row>
    <row r="14" spans="1:54" x14ac:dyDescent="0.25">
      <c r="A14" t="s">
        <v>4855</v>
      </c>
      <c r="B14" t="s">
        <v>4856</v>
      </c>
      <c r="C14" t="s">
        <v>4857</v>
      </c>
      <c r="D14">
        <v>2022</v>
      </c>
      <c r="E14" t="s">
        <v>4858</v>
      </c>
      <c r="F14">
        <v>18</v>
      </c>
      <c r="G14">
        <v>4</v>
      </c>
      <c r="I14">
        <v>1707</v>
      </c>
      <c r="J14">
        <v>1737</v>
      </c>
      <c r="M14" t="s">
        <v>4859</v>
      </c>
      <c r="N14" t="s">
        <v>4860</v>
      </c>
      <c r="O14" t="s">
        <v>4861</v>
      </c>
      <c r="P14" t="s">
        <v>4862</v>
      </c>
      <c r="Q14" t="s">
        <v>4863</v>
      </c>
      <c r="R14" t="s">
        <v>4864</v>
      </c>
      <c r="X14" t="s">
        <v>4865</v>
      </c>
      <c r="AI14" t="s">
        <v>4866</v>
      </c>
      <c r="AJ14" t="s">
        <v>4867</v>
      </c>
      <c r="AM14" t="s">
        <v>4592</v>
      </c>
      <c r="AR14">
        <v>15547191</v>
      </c>
      <c r="AV14" t="s">
        <v>78</v>
      </c>
      <c r="AW14" t="s">
        <v>4868</v>
      </c>
      <c r="AX14" t="s">
        <v>79</v>
      </c>
      <c r="AY14" t="s">
        <v>4620</v>
      </c>
      <c r="AZ14" t="s">
        <v>4769</v>
      </c>
      <c r="BA14" t="s">
        <v>4584</v>
      </c>
      <c r="BB14" t="s">
        <v>4869</v>
      </c>
    </row>
    <row r="15" spans="1:54" x14ac:dyDescent="0.25">
      <c r="A15" t="s">
        <v>4870</v>
      </c>
      <c r="B15" t="s">
        <v>4871</v>
      </c>
      <c r="C15" t="s">
        <v>4059</v>
      </c>
      <c r="D15">
        <v>2022</v>
      </c>
      <c r="E15" t="s">
        <v>4872</v>
      </c>
      <c r="F15">
        <v>23</v>
      </c>
      <c r="G15">
        <v>1</v>
      </c>
      <c r="H15">
        <v>168</v>
      </c>
      <c r="M15" t="s">
        <v>4076</v>
      </c>
      <c r="N15" t="s">
        <v>4873</v>
      </c>
      <c r="O15" t="s">
        <v>4874</v>
      </c>
      <c r="P15" t="s">
        <v>4875</v>
      </c>
      <c r="Q15" t="s">
        <v>4876</v>
      </c>
      <c r="R15" t="s">
        <v>4877</v>
      </c>
      <c r="S15" t="s">
        <v>4878</v>
      </c>
      <c r="U15" t="s">
        <v>4879</v>
      </c>
      <c r="X15" t="s">
        <v>4880</v>
      </c>
      <c r="Y15" t="s">
        <v>4881</v>
      </c>
      <c r="Z15" t="s">
        <v>4071</v>
      </c>
      <c r="AI15" t="s">
        <v>4882</v>
      </c>
      <c r="AJ15" t="s">
        <v>4883</v>
      </c>
      <c r="AM15" t="s">
        <v>4852</v>
      </c>
      <c r="AR15">
        <v>14659921</v>
      </c>
      <c r="AT15" t="s">
        <v>4884</v>
      </c>
      <c r="AU15">
        <v>35751068</v>
      </c>
      <c r="AV15" t="s">
        <v>78</v>
      </c>
      <c r="AW15" t="s">
        <v>4074</v>
      </c>
      <c r="AX15" t="s">
        <v>79</v>
      </c>
      <c r="AY15" t="s">
        <v>4620</v>
      </c>
      <c r="AZ15" t="s">
        <v>4688</v>
      </c>
      <c r="BA15" t="s">
        <v>4584</v>
      </c>
      <c r="BB15" t="s">
        <v>4885</v>
      </c>
    </row>
    <row r="16" spans="1:54" x14ac:dyDescent="0.25">
      <c r="A16" t="s">
        <v>4886</v>
      </c>
      <c r="B16" t="s">
        <v>4887</v>
      </c>
      <c r="C16" t="s">
        <v>2162</v>
      </c>
      <c r="D16">
        <v>2022</v>
      </c>
      <c r="E16" t="s">
        <v>4888</v>
      </c>
      <c r="F16">
        <v>13</v>
      </c>
      <c r="G16">
        <v>1</v>
      </c>
      <c r="I16">
        <v>135</v>
      </c>
      <c r="J16">
        <v>150</v>
      </c>
      <c r="L16">
        <v>2</v>
      </c>
      <c r="M16" t="s">
        <v>2181</v>
      </c>
      <c r="N16" t="s">
        <v>4889</v>
      </c>
      <c r="O16" t="s">
        <v>4890</v>
      </c>
      <c r="P16" t="s">
        <v>4891</v>
      </c>
      <c r="Q16" t="s">
        <v>4892</v>
      </c>
      <c r="R16" t="s">
        <v>4893</v>
      </c>
      <c r="AI16" t="s">
        <v>4894</v>
      </c>
      <c r="AJ16" t="s">
        <v>4895</v>
      </c>
      <c r="AM16" t="s">
        <v>4896</v>
      </c>
      <c r="AR16">
        <v>19232926</v>
      </c>
      <c r="AV16" t="s">
        <v>78</v>
      </c>
      <c r="AW16" t="s">
        <v>2179</v>
      </c>
      <c r="AX16" t="s">
        <v>79</v>
      </c>
      <c r="AY16" t="s">
        <v>4620</v>
      </c>
      <c r="BA16" t="s">
        <v>4584</v>
      </c>
      <c r="BB16" t="s">
        <v>4897</v>
      </c>
    </row>
    <row r="17" spans="1:54" x14ac:dyDescent="0.25">
      <c r="A17" t="s">
        <v>4898</v>
      </c>
      <c r="B17" t="s">
        <v>4899</v>
      </c>
      <c r="C17" t="s">
        <v>4900</v>
      </c>
      <c r="D17">
        <v>2022</v>
      </c>
      <c r="E17" t="s">
        <v>4669</v>
      </c>
      <c r="F17">
        <v>27</v>
      </c>
      <c r="G17">
        <v>8</v>
      </c>
      <c r="I17">
        <v>1009</v>
      </c>
      <c r="J17">
        <v>1023</v>
      </c>
      <c r="M17" t="s">
        <v>4901</v>
      </c>
      <c r="N17" t="s">
        <v>4902</v>
      </c>
      <c r="O17" t="s">
        <v>4903</v>
      </c>
      <c r="P17" t="s">
        <v>4904</v>
      </c>
      <c r="Q17" t="s">
        <v>4905</v>
      </c>
      <c r="R17" t="s">
        <v>4906</v>
      </c>
      <c r="AI17" t="s">
        <v>4907</v>
      </c>
      <c r="AM17" t="s">
        <v>4670</v>
      </c>
      <c r="AR17">
        <v>13159984</v>
      </c>
      <c r="AV17" t="s">
        <v>1234</v>
      </c>
      <c r="AW17" t="s">
        <v>4671</v>
      </c>
      <c r="AX17" t="s">
        <v>79</v>
      </c>
      <c r="AY17" t="s">
        <v>4620</v>
      </c>
      <c r="AZ17" t="s">
        <v>4688</v>
      </c>
      <c r="BA17" t="s">
        <v>4584</v>
      </c>
      <c r="BB17" t="s">
        <v>4908</v>
      </c>
    </row>
    <row r="18" spans="1:54" x14ac:dyDescent="0.25">
      <c r="A18" t="s">
        <v>4909</v>
      </c>
      <c r="B18" t="s">
        <v>4910</v>
      </c>
      <c r="C18" t="s">
        <v>4911</v>
      </c>
      <c r="D18">
        <v>2022</v>
      </c>
      <c r="E18" t="s">
        <v>4912</v>
      </c>
      <c r="F18">
        <v>6</v>
      </c>
      <c r="H18">
        <v>919885</v>
      </c>
      <c r="M18" t="s">
        <v>4913</v>
      </c>
      <c r="N18" t="s">
        <v>4914</v>
      </c>
      <c r="O18" t="s">
        <v>4915</v>
      </c>
      <c r="P18" t="s">
        <v>4916</v>
      </c>
      <c r="Q18" t="s">
        <v>4917</v>
      </c>
      <c r="R18" t="s">
        <v>4918</v>
      </c>
      <c r="X18" t="s">
        <v>4690</v>
      </c>
      <c r="Y18" t="s">
        <v>4919</v>
      </c>
      <c r="AI18" t="s">
        <v>4920</v>
      </c>
      <c r="AJ18" t="s">
        <v>4921</v>
      </c>
      <c r="AM18" t="s">
        <v>4922</v>
      </c>
      <c r="AR18" t="s">
        <v>4923</v>
      </c>
      <c r="AV18" t="s">
        <v>78</v>
      </c>
      <c r="AW18" t="s">
        <v>4924</v>
      </c>
      <c r="AX18" t="s">
        <v>79</v>
      </c>
      <c r="AY18" t="s">
        <v>4620</v>
      </c>
      <c r="AZ18" t="s">
        <v>4672</v>
      </c>
      <c r="BA18" t="s">
        <v>4584</v>
      </c>
      <c r="BB18" t="s">
        <v>4925</v>
      </c>
    </row>
    <row r="19" spans="1:54" x14ac:dyDescent="0.25">
      <c r="A19" t="s">
        <v>4926</v>
      </c>
      <c r="B19" t="s">
        <v>4927</v>
      </c>
      <c r="C19" t="s">
        <v>4928</v>
      </c>
      <c r="D19">
        <v>2022</v>
      </c>
      <c r="E19" t="s">
        <v>4929</v>
      </c>
      <c r="F19">
        <v>13</v>
      </c>
      <c r="H19">
        <v>960666</v>
      </c>
      <c r="M19" t="s">
        <v>4930</v>
      </c>
      <c r="N19" t="s">
        <v>4931</v>
      </c>
      <c r="O19" t="s">
        <v>4932</v>
      </c>
      <c r="P19" t="s">
        <v>4933</v>
      </c>
      <c r="Q19" t="s">
        <v>4934</v>
      </c>
      <c r="R19" t="s">
        <v>4935</v>
      </c>
      <c r="AI19" t="s">
        <v>4936</v>
      </c>
      <c r="AJ19" t="s">
        <v>4937</v>
      </c>
    </row>
    <row r="20" spans="1:54" x14ac:dyDescent="0.25">
      <c r="A20" t="s">
        <v>4938</v>
      </c>
      <c r="B20" t="s">
        <v>10684</v>
      </c>
      <c r="C20" t="s">
        <v>10685</v>
      </c>
    </row>
    <row r="21" spans="1:54" x14ac:dyDescent="0.25">
      <c r="A21" t="s">
        <v>4939</v>
      </c>
      <c r="B21" t="s">
        <v>10686</v>
      </c>
      <c r="C21" t="s">
        <v>10687</v>
      </c>
    </row>
    <row r="22" spans="1:54" x14ac:dyDescent="0.25">
      <c r="A22" t="s">
        <v>4940</v>
      </c>
      <c r="B22" t="s">
        <v>10688</v>
      </c>
      <c r="C22" t="s">
        <v>10689</v>
      </c>
    </row>
    <row r="23" spans="1:54" x14ac:dyDescent="0.25">
      <c r="A23" t="s">
        <v>4941</v>
      </c>
      <c r="B23" t="s">
        <v>10686</v>
      </c>
      <c r="C23" t="s">
        <v>10690</v>
      </c>
      <c r="F23" t="s">
        <v>4922</v>
      </c>
      <c r="K23">
        <v>16641078</v>
      </c>
      <c r="O23" t="s">
        <v>78</v>
      </c>
      <c r="P23" t="s">
        <v>4411</v>
      </c>
      <c r="Q23" t="s">
        <v>79</v>
      </c>
      <c r="R23" t="s">
        <v>4620</v>
      </c>
      <c r="S23" t="s">
        <v>4688</v>
      </c>
      <c r="T23" t="s">
        <v>4584</v>
      </c>
      <c r="U23" t="s">
        <v>4942</v>
      </c>
    </row>
    <row r="24" spans="1:54" x14ac:dyDescent="0.25">
      <c r="A24" t="s">
        <v>4943</v>
      </c>
      <c r="B24" t="s">
        <v>4944</v>
      </c>
      <c r="C24" t="s">
        <v>4945</v>
      </c>
      <c r="D24">
        <v>2022</v>
      </c>
      <c r="E24" t="s">
        <v>4638</v>
      </c>
      <c r="F24">
        <v>1268</v>
      </c>
      <c r="H24">
        <v>133713</v>
      </c>
      <c r="L24">
        <v>1</v>
      </c>
      <c r="M24" t="s">
        <v>599</v>
      </c>
      <c r="N24" t="s">
        <v>4946</v>
      </c>
      <c r="O24" t="s">
        <v>4947</v>
      </c>
      <c r="P24" t="s">
        <v>4948</v>
      </c>
      <c r="Q24" t="s">
        <v>4949</v>
      </c>
      <c r="R24" t="s">
        <v>4950</v>
      </c>
      <c r="S24" t="s">
        <v>4951</v>
      </c>
      <c r="X24" t="s">
        <v>4952</v>
      </c>
      <c r="Y24" t="s">
        <v>4953</v>
      </c>
      <c r="Z24" t="s">
        <v>4954</v>
      </c>
      <c r="AI24" t="s">
        <v>4955</v>
      </c>
      <c r="AJ24" t="s">
        <v>4649</v>
      </c>
      <c r="AM24" t="s">
        <v>4650</v>
      </c>
      <c r="AR24">
        <v>222860</v>
      </c>
      <c r="AT24" t="s">
        <v>4651</v>
      </c>
      <c r="AV24" t="s">
        <v>78</v>
      </c>
      <c r="AW24" t="s">
        <v>597</v>
      </c>
      <c r="AX24" t="s">
        <v>79</v>
      </c>
      <c r="AY24" t="s">
        <v>4620</v>
      </c>
      <c r="BA24" t="s">
        <v>4584</v>
      </c>
      <c r="BB24" t="s">
        <v>4956</v>
      </c>
    </row>
    <row r="25" spans="1:54" x14ac:dyDescent="0.25">
      <c r="A25" t="s">
        <v>4957</v>
      </c>
      <c r="B25" t="s">
        <v>4958</v>
      </c>
      <c r="C25" t="s">
        <v>4959</v>
      </c>
      <c r="D25">
        <v>2022</v>
      </c>
      <c r="E25" t="s">
        <v>4960</v>
      </c>
      <c r="F25">
        <v>2652</v>
      </c>
      <c r="H25">
        <v>50010</v>
      </c>
      <c r="M25" t="s">
        <v>4961</v>
      </c>
      <c r="N25" t="s">
        <v>4962</v>
      </c>
      <c r="O25" t="s">
        <v>4963</v>
      </c>
      <c r="P25" t="s">
        <v>4964</v>
      </c>
      <c r="Q25" t="s">
        <v>4965</v>
      </c>
      <c r="Y25" t="s">
        <v>4966</v>
      </c>
      <c r="AI25" t="s">
        <v>4967</v>
      </c>
      <c r="AJ25" t="s">
        <v>4968</v>
      </c>
      <c r="AK25" t="s">
        <v>4969</v>
      </c>
      <c r="AM25" t="s">
        <v>4970</v>
      </c>
      <c r="AN25" t="s">
        <v>4971</v>
      </c>
      <c r="AO25" t="s">
        <v>4972</v>
      </c>
      <c r="AQ25">
        <v>184347</v>
      </c>
      <c r="AR25" t="s">
        <v>4973</v>
      </c>
      <c r="AS25">
        <v>9780735442641</v>
      </c>
      <c r="AV25" t="s">
        <v>78</v>
      </c>
      <c r="AW25" t="s">
        <v>4974</v>
      </c>
      <c r="AX25" t="s">
        <v>10683</v>
      </c>
      <c r="AY25" t="s">
        <v>4620</v>
      </c>
      <c r="BA25" t="s">
        <v>4584</v>
      </c>
      <c r="BB25" t="s">
        <v>4975</v>
      </c>
    </row>
    <row r="26" spans="1:54" x14ac:dyDescent="0.25">
      <c r="A26" t="s">
        <v>4976</v>
      </c>
      <c r="B26" t="s">
        <v>4977</v>
      </c>
      <c r="C26" t="s">
        <v>4978</v>
      </c>
      <c r="D26">
        <v>2022</v>
      </c>
      <c r="E26" t="s">
        <v>4960</v>
      </c>
      <c r="F26">
        <v>2652</v>
      </c>
      <c r="H26">
        <v>50007</v>
      </c>
      <c r="M26" t="s">
        <v>4979</v>
      </c>
      <c r="N26" t="s">
        <v>4980</v>
      </c>
      <c r="O26" t="s">
        <v>4981</v>
      </c>
      <c r="P26" t="s">
        <v>4982</v>
      </c>
      <c r="Q26" t="s">
        <v>4983</v>
      </c>
      <c r="Y26" t="s">
        <v>4984</v>
      </c>
      <c r="AI26" t="s">
        <v>4985</v>
      </c>
      <c r="AJ26" t="s">
        <v>4986</v>
      </c>
      <c r="AK26" t="s">
        <v>4969</v>
      </c>
      <c r="AM26" t="s">
        <v>4970</v>
      </c>
      <c r="AN26" t="s">
        <v>4971</v>
      </c>
      <c r="AO26" t="s">
        <v>4972</v>
      </c>
      <c r="AQ26">
        <v>184347</v>
      </c>
      <c r="AR26" t="s">
        <v>4973</v>
      </c>
      <c r="AS26">
        <v>9780735442641</v>
      </c>
      <c r="AV26" t="s">
        <v>78</v>
      </c>
      <c r="AW26" t="s">
        <v>4974</v>
      </c>
      <c r="AX26" t="s">
        <v>10683</v>
      </c>
      <c r="AY26" t="s">
        <v>4620</v>
      </c>
      <c r="BA26" t="s">
        <v>4584</v>
      </c>
      <c r="BB26" t="s">
        <v>4987</v>
      </c>
    </row>
    <row r="27" spans="1:54" x14ac:dyDescent="0.25">
      <c r="A27" t="s">
        <v>4988</v>
      </c>
      <c r="B27" t="s">
        <v>4989</v>
      </c>
      <c r="C27" t="s">
        <v>4990</v>
      </c>
      <c r="D27">
        <v>2022</v>
      </c>
      <c r="E27" t="s">
        <v>4991</v>
      </c>
      <c r="F27">
        <v>846</v>
      </c>
      <c r="H27">
        <v>157475</v>
      </c>
      <c r="M27" t="s">
        <v>4493</v>
      </c>
      <c r="N27" t="s">
        <v>4992</v>
      </c>
      <c r="O27" t="s">
        <v>4993</v>
      </c>
      <c r="P27" t="s">
        <v>4994</v>
      </c>
      <c r="Q27" t="s">
        <v>4995</v>
      </c>
      <c r="R27" t="s">
        <v>4996</v>
      </c>
      <c r="S27" t="s">
        <v>10691</v>
      </c>
      <c r="U27" t="s">
        <v>10692</v>
      </c>
      <c r="X27" t="s">
        <v>4997</v>
      </c>
      <c r="Y27" t="s">
        <v>4998</v>
      </c>
      <c r="AI27" t="s">
        <v>4999</v>
      </c>
      <c r="AJ27" t="s">
        <v>5000</v>
      </c>
      <c r="AM27" t="s">
        <v>4650</v>
      </c>
      <c r="AR27">
        <v>489697</v>
      </c>
      <c r="AT27" t="s">
        <v>5001</v>
      </c>
      <c r="AU27">
        <v>35868394</v>
      </c>
      <c r="AV27" t="s">
        <v>78</v>
      </c>
      <c r="AW27" t="s">
        <v>4491</v>
      </c>
      <c r="AX27" t="s">
        <v>79</v>
      </c>
      <c r="AY27" t="s">
        <v>4620</v>
      </c>
      <c r="BA27" t="s">
        <v>4584</v>
      </c>
      <c r="BB27" t="s">
        <v>5002</v>
      </c>
    </row>
    <row r="28" spans="1:54" x14ac:dyDescent="0.25">
      <c r="A28" t="s">
        <v>5005</v>
      </c>
      <c r="B28" t="s">
        <v>5006</v>
      </c>
      <c r="C28" t="s">
        <v>5007</v>
      </c>
      <c r="D28">
        <v>2022</v>
      </c>
      <c r="E28" t="s">
        <v>5008</v>
      </c>
      <c r="F28">
        <v>14</v>
      </c>
      <c r="G28">
        <v>6</v>
      </c>
      <c r="I28">
        <v>236</v>
      </c>
      <c r="J28">
        <v>245</v>
      </c>
      <c r="N28" t="s">
        <v>5009</v>
      </c>
      <c r="O28" t="s">
        <v>5010</v>
      </c>
      <c r="P28" t="s">
        <v>5011</v>
      </c>
      <c r="Q28" t="s">
        <v>5012</v>
      </c>
      <c r="R28" t="s">
        <v>5013</v>
      </c>
      <c r="AI28" t="s">
        <v>5014</v>
      </c>
      <c r="AM28" t="s">
        <v>5015</v>
      </c>
      <c r="AR28">
        <v>24152897</v>
      </c>
      <c r="AV28" t="s">
        <v>1234</v>
      </c>
      <c r="AW28" t="s">
        <v>5016</v>
      </c>
      <c r="AX28" t="s">
        <v>79</v>
      </c>
      <c r="AY28" t="s">
        <v>4620</v>
      </c>
      <c r="BA28" t="s">
        <v>4584</v>
      </c>
      <c r="BB28" t="s">
        <v>5017</v>
      </c>
    </row>
    <row r="29" spans="1:54" x14ac:dyDescent="0.25">
      <c r="A29" t="s">
        <v>5018</v>
      </c>
      <c r="B29" t="s">
        <v>5019</v>
      </c>
      <c r="C29" t="s">
        <v>5020</v>
      </c>
      <c r="D29">
        <v>2022</v>
      </c>
      <c r="E29" t="s">
        <v>5021</v>
      </c>
      <c r="F29">
        <v>14</v>
      </c>
      <c r="G29">
        <v>22</v>
      </c>
      <c r="H29">
        <v>14892</v>
      </c>
      <c r="M29" t="s">
        <v>5022</v>
      </c>
      <c r="N29" t="s">
        <v>5023</v>
      </c>
      <c r="O29" t="s">
        <v>5024</v>
      </c>
      <c r="P29" t="s">
        <v>5025</v>
      </c>
      <c r="Q29" t="s">
        <v>5026</v>
      </c>
      <c r="R29" t="s">
        <v>5027</v>
      </c>
      <c r="S29" t="s">
        <v>5028</v>
      </c>
      <c r="AI29" t="s">
        <v>5029</v>
      </c>
      <c r="AJ29" t="s">
        <v>5030</v>
      </c>
    </row>
    <row r="30" spans="1:54" x14ac:dyDescent="0.25">
      <c r="A30" t="s">
        <v>5031</v>
      </c>
      <c r="B30" t="s">
        <v>10693</v>
      </c>
      <c r="C30" t="s">
        <v>10694</v>
      </c>
      <c r="F30" t="s">
        <v>92</v>
      </c>
      <c r="K30">
        <v>20711050</v>
      </c>
      <c r="O30" t="s">
        <v>78</v>
      </c>
      <c r="P30" t="s">
        <v>280</v>
      </c>
      <c r="Q30" t="s">
        <v>79</v>
      </c>
      <c r="R30" t="s">
        <v>4620</v>
      </c>
      <c r="S30" t="s">
        <v>4672</v>
      </c>
      <c r="T30" t="s">
        <v>4584</v>
      </c>
      <c r="U30" t="s">
        <v>5032</v>
      </c>
    </row>
    <row r="31" spans="1:54" x14ac:dyDescent="0.25">
      <c r="A31" t="s">
        <v>5033</v>
      </c>
      <c r="B31" t="s">
        <v>5034</v>
      </c>
      <c r="C31" t="s">
        <v>266</v>
      </c>
      <c r="D31">
        <v>2022</v>
      </c>
      <c r="E31" t="s">
        <v>5021</v>
      </c>
      <c r="F31">
        <v>14</v>
      </c>
      <c r="G31">
        <v>22</v>
      </c>
      <c r="H31">
        <v>14683</v>
      </c>
      <c r="M31" t="s">
        <v>282</v>
      </c>
      <c r="N31" t="s">
        <v>5035</v>
      </c>
      <c r="O31" t="s">
        <v>5036</v>
      </c>
      <c r="P31" t="s">
        <v>5037</v>
      </c>
      <c r="Q31" t="s">
        <v>5038</v>
      </c>
      <c r="R31" t="s">
        <v>5039</v>
      </c>
      <c r="S31" t="s">
        <v>5040</v>
      </c>
      <c r="X31" t="s">
        <v>5041</v>
      </c>
      <c r="Y31" t="s">
        <v>5042</v>
      </c>
      <c r="AI31" t="s">
        <v>5043</v>
      </c>
      <c r="AJ31" t="s">
        <v>5044</v>
      </c>
      <c r="AM31" t="s">
        <v>92</v>
      </c>
      <c r="AR31">
        <v>20711050</v>
      </c>
      <c r="AV31" t="s">
        <v>78</v>
      </c>
      <c r="AW31" t="s">
        <v>280</v>
      </c>
      <c r="AX31" t="s">
        <v>79</v>
      </c>
      <c r="AY31" t="s">
        <v>4620</v>
      </c>
      <c r="AZ31" t="s">
        <v>4672</v>
      </c>
      <c r="BA31" t="s">
        <v>4584</v>
      </c>
      <c r="BB31" t="s">
        <v>5045</v>
      </c>
    </row>
    <row r="32" spans="1:54" x14ac:dyDescent="0.25">
      <c r="A32" t="s">
        <v>5046</v>
      </c>
      <c r="B32" t="s">
        <v>5047</v>
      </c>
      <c r="C32" t="s">
        <v>5048</v>
      </c>
      <c r="D32">
        <v>2022</v>
      </c>
      <c r="E32" t="s">
        <v>5049</v>
      </c>
      <c r="F32">
        <v>11</v>
      </c>
      <c r="G32">
        <v>11</v>
      </c>
      <c r="I32">
        <v>2759</v>
      </c>
      <c r="J32">
        <v>2761</v>
      </c>
      <c r="M32" t="s">
        <v>1160</v>
      </c>
      <c r="N32" t="s">
        <v>5050</v>
      </c>
      <c r="O32" t="s">
        <v>5051</v>
      </c>
      <c r="P32" t="s">
        <v>5052</v>
      </c>
      <c r="Q32" t="s">
        <v>5053</v>
      </c>
      <c r="R32" t="s">
        <v>5054</v>
      </c>
      <c r="AI32" t="s">
        <v>5055</v>
      </c>
      <c r="AJ32" t="s">
        <v>5056</v>
      </c>
      <c r="AM32" t="s">
        <v>5057</v>
      </c>
      <c r="AR32">
        <v>23225939</v>
      </c>
      <c r="AV32" t="s">
        <v>78</v>
      </c>
      <c r="AW32" t="s">
        <v>5058</v>
      </c>
      <c r="AX32" t="s">
        <v>5004</v>
      </c>
      <c r="AY32" t="s">
        <v>4620</v>
      </c>
      <c r="AZ32" t="s">
        <v>4672</v>
      </c>
      <c r="BA32" t="s">
        <v>4584</v>
      </c>
      <c r="BB32" t="s">
        <v>5059</v>
      </c>
    </row>
    <row r="33" spans="1:54" x14ac:dyDescent="0.25">
      <c r="A33" t="s">
        <v>5060</v>
      </c>
      <c r="B33" t="s">
        <v>5061</v>
      </c>
      <c r="C33" t="s">
        <v>5062</v>
      </c>
      <c r="D33">
        <v>2022</v>
      </c>
      <c r="E33" t="s">
        <v>5063</v>
      </c>
      <c r="F33">
        <v>136</v>
      </c>
      <c r="I33">
        <v>194</v>
      </c>
      <c r="J33">
        <v>210</v>
      </c>
      <c r="M33" t="s">
        <v>5064</v>
      </c>
      <c r="N33" t="s">
        <v>5065</v>
      </c>
      <c r="O33" t="s">
        <v>5066</v>
      </c>
      <c r="P33" t="s">
        <v>5067</v>
      </c>
      <c r="Q33" t="s">
        <v>5068</v>
      </c>
      <c r="R33" t="s">
        <v>5069</v>
      </c>
      <c r="S33" t="s">
        <v>5070</v>
      </c>
      <c r="X33" t="s">
        <v>5071</v>
      </c>
      <c r="Y33" t="s">
        <v>5072</v>
      </c>
      <c r="AI33" t="s">
        <v>5073</v>
      </c>
      <c r="AJ33" t="s">
        <v>5074</v>
      </c>
      <c r="AM33" t="s">
        <v>4635</v>
      </c>
      <c r="AR33">
        <v>167185</v>
      </c>
      <c r="AV33" t="s">
        <v>78</v>
      </c>
      <c r="AW33" t="s">
        <v>5063</v>
      </c>
      <c r="AX33" t="s">
        <v>79</v>
      </c>
      <c r="AY33" t="s">
        <v>4620</v>
      </c>
      <c r="BA33" t="s">
        <v>4584</v>
      </c>
      <c r="BB33" t="s">
        <v>5075</v>
      </c>
    </row>
    <row r="34" spans="1:54" x14ac:dyDescent="0.25">
      <c r="A34" t="s">
        <v>5076</v>
      </c>
      <c r="B34" t="s">
        <v>5077</v>
      </c>
      <c r="C34" t="s">
        <v>5078</v>
      </c>
      <c r="D34">
        <v>2022</v>
      </c>
      <c r="E34" t="s">
        <v>5079</v>
      </c>
      <c r="F34">
        <v>441</v>
      </c>
      <c r="H34">
        <v>106274</v>
      </c>
      <c r="M34" t="s">
        <v>5080</v>
      </c>
      <c r="N34" t="s">
        <v>5081</v>
      </c>
      <c r="O34" t="s">
        <v>5082</v>
      </c>
      <c r="P34" t="s">
        <v>5083</v>
      </c>
      <c r="Q34" t="s">
        <v>5084</v>
      </c>
      <c r="R34" t="s">
        <v>5085</v>
      </c>
      <c r="S34" t="s">
        <v>5086</v>
      </c>
      <c r="X34" t="s">
        <v>5087</v>
      </c>
      <c r="Y34" t="s">
        <v>5088</v>
      </c>
      <c r="Z34" t="s">
        <v>5089</v>
      </c>
      <c r="AI34" t="s">
        <v>5090</v>
      </c>
      <c r="AJ34" t="s">
        <v>5091</v>
      </c>
      <c r="AM34" t="s">
        <v>4650</v>
      </c>
      <c r="AR34">
        <v>370738</v>
      </c>
      <c r="AV34" t="s">
        <v>78</v>
      </c>
      <c r="AW34" t="s">
        <v>5092</v>
      </c>
      <c r="AX34" t="s">
        <v>79</v>
      </c>
      <c r="AY34" t="s">
        <v>4620</v>
      </c>
      <c r="BA34" t="s">
        <v>4584</v>
      </c>
      <c r="BB34" t="s">
        <v>5093</v>
      </c>
    </row>
    <row r="35" spans="1:54" x14ac:dyDescent="0.25">
      <c r="A35" t="s">
        <v>5094</v>
      </c>
      <c r="B35" t="s">
        <v>5095</v>
      </c>
      <c r="C35" t="s">
        <v>5096</v>
      </c>
      <c r="D35">
        <v>2022</v>
      </c>
      <c r="E35" t="s">
        <v>5097</v>
      </c>
      <c r="F35">
        <v>57</v>
      </c>
      <c r="G35">
        <v>11</v>
      </c>
      <c r="I35">
        <v>7379</v>
      </c>
      <c r="J35">
        <v>7390</v>
      </c>
      <c r="M35" t="s">
        <v>806</v>
      </c>
      <c r="N35" t="s">
        <v>5098</v>
      </c>
      <c r="O35" t="s">
        <v>5099</v>
      </c>
      <c r="P35" t="s">
        <v>5100</v>
      </c>
      <c r="Q35" t="s">
        <v>5101</v>
      </c>
      <c r="R35" t="s">
        <v>788</v>
      </c>
      <c r="S35" t="s">
        <v>5102</v>
      </c>
      <c r="X35" t="s">
        <v>5103</v>
      </c>
      <c r="Y35" t="s">
        <v>5104</v>
      </c>
      <c r="Z35" t="s">
        <v>5105</v>
      </c>
      <c r="AI35" t="s">
        <v>5106</v>
      </c>
      <c r="AJ35" t="s">
        <v>5107</v>
      </c>
    </row>
    <row r="36" spans="1:54" x14ac:dyDescent="0.25">
      <c r="A36" t="s">
        <v>5108</v>
      </c>
      <c r="B36" t="s">
        <v>10695</v>
      </c>
      <c r="C36" t="s">
        <v>10696</v>
      </c>
      <c r="D36" t="s">
        <v>10697</v>
      </c>
      <c r="G36" t="s">
        <v>5109</v>
      </c>
      <c r="L36">
        <v>9505423</v>
      </c>
      <c r="P36" t="s">
        <v>78</v>
      </c>
      <c r="Q36" t="s">
        <v>804</v>
      </c>
      <c r="R36" t="s">
        <v>79</v>
      </c>
      <c r="S36" t="s">
        <v>4620</v>
      </c>
      <c r="U36" t="s">
        <v>4584</v>
      </c>
      <c r="V36" t="s">
        <v>5110</v>
      </c>
    </row>
    <row r="37" spans="1:54" x14ac:dyDescent="0.25">
      <c r="A37" t="s">
        <v>5111</v>
      </c>
      <c r="B37" t="s">
        <v>5112</v>
      </c>
      <c r="C37" t="s">
        <v>1851</v>
      </c>
      <c r="D37">
        <v>2022</v>
      </c>
      <c r="E37" t="s">
        <v>5113</v>
      </c>
      <c r="F37">
        <v>165</v>
      </c>
      <c r="I37">
        <v>172</v>
      </c>
      <c r="J37">
        <v>185</v>
      </c>
      <c r="L37">
        <v>1</v>
      </c>
      <c r="M37" t="s">
        <v>1865</v>
      </c>
      <c r="N37" t="s">
        <v>5114</v>
      </c>
      <c r="O37" t="s">
        <v>5115</v>
      </c>
      <c r="P37" t="s">
        <v>5116</v>
      </c>
      <c r="Q37" t="s">
        <v>5117</v>
      </c>
      <c r="R37" t="s">
        <v>5118</v>
      </c>
      <c r="S37" t="s">
        <v>5119</v>
      </c>
      <c r="AI37" t="s">
        <v>5120</v>
      </c>
      <c r="AJ37" t="s">
        <v>5121</v>
      </c>
      <c r="AM37" t="s">
        <v>4635</v>
      </c>
      <c r="AR37">
        <v>9658564</v>
      </c>
      <c r="AV37" t="s">
        <v>78</v>
      </c>
      <c r="AW37" t="s">
        <v>5122</v>
      </c>
      <c r="AX37" t="s">
        <v>79</v>
      </c>
      <c r="AY37" t="s">
        <v>4620</v>
      </c>
      <c r="BA37" t="s">
        <v>4584</v>
      </c>
      <c r="BB37" t="s">
        <v>5123</v>
      </c>
    </row>
    <row r="38" spans="1:54" x14ac:dyDescent="0.25">
      <c r="A38" t="s">
        <v>5124</v>
      </c>
      <c r="B38" t="s">
        <v>5125</v>
      </c>
      <c r="C38" t="s">
        <v>1254</v>
      </c>
      <c r="D38">
        <v>2022</v>
      </c>
      <c r="E38" t="s">
        <v>1272</v>
      </c>
      <c r="F38">
        <v>63</v>
      </c>
      <c r="G38">
        <v>6</v>
      </c>
      <c r="I38">
        <v>611</v>
      </c>
      <c r="J38">
        <v>625</v>
      </c>
      <c r="M38" t="s">
        <v>1273</v>
      </c>
      <c r="N38" t="s">
        <v>5126</v>
      </c>
      <c r="O38" t="s">
        <v>5127</v>
      </c>
      <c r="P38" t="s">
        <v>5128</v>
      </c>
      <c r="Q38" t="s">
        <v>5129</v>
      </c>
      <c r="R38" t="s">
        <v>5130</v>
      </c>
      <c r="S38" t="s">
        <v>5131</v>
      </c>
      <c r="U38" t="s">
        <v>5132</v>
      </c>
      <c r="X38" t="s">
        <v>5133</v>
      </c>
      <c r="Y38" t="s">
        <v>5134</v>
      </c>
      <c r="AI38" t="s">
        <v>5135</v>
      </c>
      <c r="AJ38" t="s">
        <v>5136</v>
      </c>
    </row>
    <row r="39" spans="1:54" x14ac:dyDescent="0.25">
      <c r="A39" t="s">
        <v>4590</v>
      </c>
      <c r="B39" t="s">
        <v>10698</v>
      </c>
      <c r="C39" t="s">
        <v>10699</v>
      </c>
      <c r="D39" t="s">
        <v>10700</v>
      </c>
      <c r="G39" t="s">
        <v>4592</v>
      </c>
      <c r="L39">
        <v>328332</v>
      </c>
      <c r="O39">
        <v>36114442</v>
      </c>
      <c r="P39" t="s">
        <v>78</v>
      </c>
      <c r="Q39" t="s">
        <v>1272</v>
      </c>
      <c r="R39" t="s">
        <v>79</v>
      </c>
      <c r="S39" t="s">
        <v>4620</v>
      </c>
      <c r="T39" t="s">
        <v>4771</v>
      </c>
      <c r="U39" t="s">
        <v>4584</v>
      </c>
      <c r="V39" t="s">
        <v>5137</v>
      </c>
    </row>
    <row r="40" spans="1:54" x14ac:dyDescent="0.25">
      <c r="A40" t="s">
        <v>5138</v>
      </c>
      <c r="B40" t="s">
        <v>5139</v>
      </c>
      <c r="C40" t="s">
        <v>4351</v>
      </c>
      <c r="D40">
        <v>2022</v>
      </c>
      <c r="E40" t="s">
        <v>5140</v>
      </c>
      <c r="F40">
        <v>91</v>
      </c>
      <c r="G40">
        <v>11</v>
      </c>
      <c r="I40">
        <v>2171</v>
      </c>
      <c r="J40">
        <v>2180</v>
      </c>
      <c r="L40">
        <v>1</v>
      </c>
      <c r="M40" t="s">
        <v>4369</v>
      </c>
      <c r="N40" t="s">
        <v>5141</v>
      </c>
      <c r="O40" t="s">
        <v>5142</v>
      </c>
      <c r="P40" t="s">
        <v>5143</v>
      </c>
      <c r="Q40" t="s">
        <v>5144</v>
      </c>
      <c r="R40" t="s">
        <v>4353</v>
      </c>
      <c r="S40" t="s">
        <v>5145</v>
      </c>
      <c r="X40" t="s">
        <v>5146</v>
      </c>
      <c r="Y40" t="s">
        <v>5147</v>
      </c>
      <c r="Z40" t="s">
        <v>5148</v>
      </c>
      <c r="AI40" t="s">
        <v>5149</v>
      </c>
      <c r="AJ40" t="s">
        <v>5150</v>
      </c>
      <c r="AM40" t="s">
        <v>5109</v>
      </c>
      <c r="AR40">
        <v>218790</v>
      </c>
      <c r="AT40" t="s">
        <v>5151</v>
      </c>
      <c r="AU40">
        <v>35596605</v>
      </c>
      <c r="AV40" t="s">
        <v>78</v>
      </c>
      <c r="AW40" t="s">
        <v>4368</v>
      </c>
      <c r="AX40" t="s">
        <v>79</v>
      </c>
      <c r="AY40" t="s">
        <v>4620</v>
      </c>
      <c r="BA40" t="s">
        <v>4584</v>
      </c>
      <c r="BB40" t="s">
        <v>5152</v>
      </c>
    </row>
    <row r="41" spans="1:54" x14ac:dyDescent="0.25">
      <c r="A41" t="s">
        <v>5153</v>
      </c>
      <c r="B41" t="s">
        <v>5154</v>
      </c>
      <c r="C41" t="s">
        <v>5155</v>
      </c>
      <c r="D41">
        <v>2022</v>
      </c>
      <c r="E41" t="s">
        <v>5156</v>
      </c>
      <c r="F41">
        <v>849</v>
      </c>
      <c r="G41">
        <v>20</v>
      </c>
      <c r="I41">
        <v>4447</v>
      </c>
      <c r="J41">
        <v>4464</v>
      </c>
      <c r="L41">
        <v>5</v>
      </c>
      <c r="M41" t="s">
        <v>5157</v>
      </c>
      <c r="N41" t="s">
        <v>5158</v>
      </c>
      <c r="O41" t="s">
        <v>5159</v>
      </c>
      <c r="P41" t="s">
        <v>5160</v>
      </c>
      <c r="Q41" t="s">
        <v>5161</v>
      </c>
      <c r="R41" t="s">
        <v>5162</v>
      </c>
      <c r="S41" t="s">
        <v>5163</v>
      </c>
      <c r="X41" t="s">
        <v>5164</v>
      </c>
      <c r="Y41" t="s">
        <v>5165</v>
      </c>
      <c r="Z41" t="s">
        <v>5165</v>
      </c>
      <c r="AI41" t="s">
        <v>5166</v>
      </c>
      <c r="AJ41" t="s">
        <v>5167</v>
      </c>
      <c r="AM41" t="s">
        <v>4748</v>
      </c>
      <c r="AR41">
        <v>188158</v>
      </c>
      <c r="AT41" t="s">
        <v>5168</v>
      </c>
      <c r="AV41" t="s">
        <v>78</v>
      </c>
      <c r="AW41" t="s">
        <v>5156</v>
      </c>
      <c r="AX41" t="s">
        <v>79</v>
      </c>
      <c r="AY41" t="s">
        <v>4620</v>
      </c>
      <c r="BA41" t="s">
        <v>4584</v>
      </c>
      <c r="BB41" t="s">
        <v>5169</v>
      </c>
    </row>
    <row r="42" spans="1:54" x14ac:dyDescent="0.25">
      <c r="A42" t="s">
        <v>5173</v>
      </c>
      <c r="B42" t="s">
        <v>5174</v>
      </c>
      <c r="C42" t="s">
        <v>5175</v>
      </c>
      <c r="D42">
        <v>2022</v>
      </c>
      <c r="E42" t="s">
        <v>5021</v>
      </c>
      <c r="F42">
        <v>14</v>
      </c>
      <c r="G42">
        <v>20</v>
      </c>
      <c r="H42">
        <v>13634</v>
      </c>
      <c r="M42" t="s">
        <v>3056</v>
      </c>
      <c r="N42" t="s">
        <v>5176</v>
      </c>
      <c r="O42" t="s">
        <v>5177</v>
      </c>
      <c r="P42" t="s">
        <v>5178</v>
      </c>
      <c r="Q42" t="s">
        <v>5179</v>
      </c>
      <c r="R42" t="s">
        <v>3045</v>
      </c>
      <c r="S42" t="s">
        <v>5180</v>
      </c>
      <c r="X42" t="s">
        <v>5181</v>
      </c>
      <c r="Y42" t="s">
        <v>3055</v>
      </c>
      <c r="AI42" t="s">
        <v>5182</v>
      </c>
      <c r="AJ42" t="s">
        <v>5183</v>
      </c>
      <c r="AM42" t="s">
        <v>92</v>
      </c>
      <c r="AR42">
        <v>20711050</v>
      </c>
      <c r="AV42" t="s">
        <v>78</v>
      </c>
      <c r="AW42" t="s">
        <v>280</v>
      </c>
      <c r="AX42" t="s">
        <v>79</v>
      </c>
      <c r="AY42" t="s">
        <v>4620</v>
      </c>
      <c r="AZ42" t="s">
        <v>4672</v>
      </c>
      <c r="BA42" t="s">
        <v>4584</v>
      </c>
      <c r="BB42" t="s">
        <v>5184</v>
      </c>
    </row>
    <row r="43" spans="1:54" x14ac:dyDescent="0.25">
      <c r="A43" t="s">
        <v>5185</v>
      </c>
      <c r="B43" t="s">
        <v>5186</v>
      </c>
      <c r="C43" t="s">
        <v>2101</v>
      </c>
      <c r="D43">
        <v>2022</v>
      </c>
      <c r="E43" t="s">
        <v>97</v>
      </c>
      <c r="F43">
        <v>14</v>
      </c>
      <c r="G43">
        <v>19</v>
      </c>
      <c r="H43">
        <v>3938</v>
      </c>
      <c r="M43" t="s">
        <v>2114</v>
      </c>
      <c r="N43" t="s">
        <v>5187</v>
      </c>
      <c r="O43" t="s">
        <v>5188</v>
      </c>
      <c r="P43" t="s">
        <v>5189</v>
      </c>
      <c r="Q43" t="s">
        <v>5190</v>
      </c>
      <c r="R43" t="s">
        <v>5191</v>
      </c>
      <c r="S43" t="s">
        <v>5192</v>
      </c>
      <c r="X43" t="s">
        <v>5193</v>
      </c>
      <c r="Y43" t="s">
        <v>5194</v>
      </c>
      <c r="AI43" t="s">
        <v>5195</v>
      </c>
      <c r="AJ43" t="s">
        <v>5196</v>
      </c>
    </row>
    <row r="44" spans="1:54" x14ac:dyDescent="0.25">
      <c r="A44" t="s">
        <v>5197</v>
      </c>
      <c r="B44" t="s">
        <v>10701</v>
      </c>
      <c r="C44" t="s">
        <v>10702</v>
      </c>
      <c r="D44" t="s">
        <v>10703</v>
      </c>
      <c r="G44" t="s">
        <v>92</v>
      </c>
      <c r="L44">
        <v>20734360</v>
      </c>
      <c r="P44" t="s">
        <v>78</v>
      </c>
      <c r="Q44" t="s">
        <v>4692</v>
      </c>
      <c r="R44" t="s">
        <v>79</v>
      </c>
      <c r="S44" t="s">
        <v>4620</v>
      </c>
      <c r="T44" t="s">
        <v>4688</v>
      </c>
      <c r="U44" t="s">
        <v>4584</v>
      </c>
      <c r="V44" t="s">
        <v>5198</v>
      </c>
    </row>
    <row r="45" spans="1:54" x14ac:dyDescent="0.25">
      <c r="A45" t="s">
        <v>5199</v>
      </c>
      <c r="B45" t="s">
        <v>5200</v>
      </c>
      <c r="C45" t="s">
        <v>5201</v>
      </c>
      <c r="D45">
        <v>2022</v>
      </c>
      <c r="E45" t="s">
        <v>5202</v>
      </c>
      <c r="F45">
        <v>50</v>
      </c>
      <c r="G45">
        <v>10</v>
      </c>
      <c r="I45">
        <v>3677</v>
      </c>
      <c r="J45">
        <v>3684</v>
      </c>
      <c r="M45" t="s">
        <v>5203</v>
      </c>
      <c r="N45" t="s">
        <v>5204</v>
      </c>
      <c r="O45" t="s">
        <v>5205</v>
      </c>
      <c r="P45" t="s">
        <v>5206</v>
      </c>
      <c r="Q45" t="s">
        <v>5207</v>
      </c>
      <c r="R45" t="s">
        <v>5208</v>
      </c>
      <c r="S45" t="s">
        <v>5209</v>
      </c>
      <c r="AI45" t="s">
        <v>5210</v>
      </c>
      <c r="AJ45" t="s">
        <v>5211</v>
      </c>
      <c r="AM45" t="s">
        <v>5212</v>
      </c>
      <c r="AR45">
        <v>933813</v>
      </c>
      <c r="AT45" t="s">
        <v>5213</v>
      </c>
      <c r="AV45" t="s">
        <v>78</v>
      </c>
      <c r="AW45" t="s">
        <v>5214</v>
      </c>
      <c r="AX45" t="s">
        <v>79</v>
      </c>
      <c r="AY45" t="s">
        <v>4620</v>
      </c>
      <c r="BA45" t="s">
        <v>4584</v>
      </c>
      <c r="BB45" t="s">
        <v>5215</v>
      </c>
    </row>
    <row r="46" spans="1:54" x14ac:dyDescent="0.25">
      <c r="A46" t="s">
        <v>5216</v>
      </c>
      <c r="B46" t="s">
        <v>5217</v>
      </c>
      <c r="C46" t="s">
        <v>5218</v>
      </c>
      <c r="D46">
        <v>2022</v>
      </c>
      <c r="E46" t="s">
        <v>5219</v>
      </c>
      <c r="F46">
        <v>48</v>
      </c>
      <c r="G46">
        <v>7</v>
      </c>
      <c r="H46">
        <v>101826</v>
      </c>
      <c r="M46" t="s">
        <v>2924</v>
      </c>
      <c r="N46" t="s">
        <v>5220</v>
      </c>
      <c r="O46" t="s">
        <v>5221</v>
      </c>
      <c r="P46" t="s">
        <v>5222</v>
      </c>
      <c r="Q46" t="s">
        <v>10704</v>
      </c>
      <c r="S46" t="s">
        <v>5223</v>
      </c>
      <c r="U46" t="s">
        <v>5224</v>
      </c>
      <c r="AI46" t="s">
        <v>5225</v>
      </c>
      <c r="AJ46" t="s">
        <v>5226</v>
      </c>
      <c r="AM46" t="s">
        <v>5227</v>
      </c>
      <c r="AR46">
        <v>11383593</v>
      </c>
      <c r="AU46">
        <v>36116354</v>
      </c>
      <c r="AV46" t="s">
        <v>5228</v>
      </c>
      <c r="AW46" t="s">
        <v>5219</v>
      </c>
      <c r="AX46" t="s">
        <v>79</v>
      </c>
      <c r="AY46" t="s">
        <v>4620</v>
      </c>
      <c r="BA46" t="s">
        <v>4584</v>
      </c>
      <c r="BB46" t="s">
        <v>5229</v>
      </c>
    </row>
    <row r="47" spans="1:54" x14ac:dyDescent="0.25">
      <c r="A47" t="s">
        <v>5230</v>
      </c>
      <c r="B47" t="s">
        <v>5231</v>
      </c>
      <c r="C47" t="s">
        <v>3526</v>
      </c>
      <c r="D47">
        <v>2022</v>
      </c>
      <c r="E47" t="s">
        <v>5232</v>
      </c>
      <c r="F47">
        <v>111</v>
      </c>
      <c r="G47">
        <v>7</v>
      </c>
      <c r="I47">
        <v>2081</v>
      </c>
      <c r="J47">
        <v>2099</v>
      </c>
      <c r="M47" t="s">
        <v>3540</v>
      </c>
      <c r="N47" t="s">
        <v>5233</v>
      </c>
      <c r="O47" t="s">
        <v>5234</v>
      </c>
      <c r="P47" t="s">
        <v>5235</v>
      </c>
      <c r="Q47" t="s">
        <v>5236</v>
      </c>
      <c r="R47" t="s">
        <v>5237</v>
      </c>
      <c r="S47" t="s">
        <v>5238</v>
      </c>
      <c r="Y47" t="s">
        <v>5239</v>
      </c>
      <c r="AI47" t="s">
        <v>5240</v>
      </c>
      <c r="AJ47" t="s">
        <v>5241</v>
      </c>
      <c r="AM47" t="s">
        <v>4748</v>
      </c>
      <c r="AR47">
        <v>14373254</v>
      </c>
      <c r="AT47" t="s">
        <v>5242</v>
      </c>
      <c r="AV47" t="s">
        <v>78</v>
      </c>
      <c r="AW47" t="s">
        <v>3539</v>
      </c>
      <c r="AX47" t="s">
        <v>79</v>
      </c>
      <c r="AY47" t="s">
        <v>4620</v>
      </c>
      <c r="BA47" t="s">
        <v>4584</v>
      </c>
      <c r="BB47" t="s">
        <v>5243</v>
      </c>
    </row>
    <row r="48" spans="1:54" x14ac:dyDescent="0.25">
      <c r="A48" t="s">
        <v>5244</v>
      </c>
      <c r="B48" t="s">
        <v>5245</v>
      </c>
      <c r="C48" t="s">
        <v>5246</v>
      </c>
      <c r="D48">
        <v>2022</v>
      </c>
      <c r="E48" t="s">
        <v>5247</v>
      </c>
      <c r="F48">
        <v>188</v>
      </c>
      <c r="H48">
        <v>110360</v>
      </c>
      <c r="M48" t="s">
        <v>2072</v>
      </c>
      <c r="N48" t="s">
        <v>5248</v>
      </c>
      <c r="O48" t="s">
        <v>5249</v>
      </c>
      <c r="P48" t="s">
        <v>5250</v>
      </c>
      <c r="Q48" t="s">
        <v>5251</v>
      </c>
      <c r="R48" t="s">
        <v>5252</v>
      </c>
      <c r="S48" t="s">
        <v>5253</v>
      </c>
      <c r="U48" t="s">
        <v>5254</v>
      </c>
      <c r="Y48" t="s">
        <v>5255</v>
      </c>
      <c r="AI48" t="s">
        <v>5256</v>
      </c>
      <c r="AJ48" t="s">
        <v>5257</v>
      </c>
      <c r="AM48" t="s">
        <v>4635</v>
      </c>
      <c r="AR48">
        <v>9698043</v>
      </c>
      <c r="AT48" t="s">
        <v>5258</v>
      </c>
      <c r="AU48">
        <v>35839709</v>
      </c>
      <c r="AV48" t="s">
        <v>78</v>
      </c>
      <c r="AW48" t="s">
        <v>2071</v>
      </c>
      <c r="AX48" t="s">
        <v>79</v>
      </c>
      <c r="AY48" t="s">
        <v>4620</v>
      </c>
      <c r="BA48" t="s">
        <v>4584</v>
      </c>
      <c r="BB48" t="s">
        <v>5259</v>
      </c>
    </row>
    <row r="49" spans="1:54" x14ac:dyDescent="0.25">
      <c r="A49" t="s">
        <v>5260</v>
      </c>
      <c r="B49" t="s">
        <v>5261</v>
      </c>
      <c r="C49" t="s">
        <v>1301</v>
      </c>
      <c r="D49">
        <v>2022</v>
      </c>
      <c r="E49" t="s">
        <v>1312</v>
      </c>
      <c r="F49">
        <v>74</v>
      </c>
      <c r="G49">
        <v>5</v>
      </c>
      <c r="I49">
        <v>507</v>
      </c>
      <c r="J49">
        <v>511</v>
      </c>
      <c r="L49">
        <v>1</v>
      </c>
      <c r="M49" t="s">
        <v>1314</v>
      </c>
      <c r="N49" t="s">
        <v>5262</v>
      </c>
      <c r="O49" t="s">
        <v>5263</v>
      </c>
      <c r="P49" t="s">
        <v>5264</v>
      </c>
      <c r="Q49" t="s">
        <v>5265</v>
      </c>
      <c r="R49" t="s">
        <v>5266</v>
      </c>
      <c r="S49" t="s">
        <v>5267</v>
      </c>
      <c r="U49" t="s">
        <v>5268</v>
      </c>
      <c r="X49" t="s">
        <v>5133</v>
      </c>
      <c r="Y49" t="s">
        <v>5134</v>
      </c>
      <c r="AI49" t="s">
        <v>5269</v>
      </c>
      <c r="AJ49" t="s">
        <v>5270</v>
      </c>
      <c r="AM49" t="s">
        <v>4748</v>
      </c>
      <c r="AR49">
        <v>937711</v>
      </c>
      <c r="AT49" t="s">
        <v>5271</v>
      </c>
      <c r="AU49">
        <v>35616699</v>
      </c>
      <c r="AV49" t="s">
        <v>78</v>
      </c>
      <c r="AW49" t="s">
        <v>1312</v>
      </c>
      <c r="AX49" t="s">
        <v>79</v>
      </c>
      <c r="AY49" t="s">
        <v>4620</v>
      </c>
      <c r="BA49" t="s">
        <v>4584</v>
      </c>
      <c r="BB49" t="s">
        <v>5272</v>
      </c>
    </row>
    <row r="50" spans="1:54" x14ac:dyDescent="0.25">
      <c r="A50" t="s">
        <v>5273</v>
      </c>
      <c r="B50" t="s">
        <v>5274</v>
      </c>
      <c r="C50" t="s">
        <v>1666</v>
      </c>
      <c r="D50">
        <v>2022</v>
      </c>
      <c r="E50" t="s">
        <v>5275</v>
      </c>
      <c r="F50">
        <v>69</v>
      </c>
      <c r="G50">
        <v>7</v>
      </c>
      <c r="I50">
        <v>2447</v>
      </c>
      <c r="J50">
        <v>2458</v>
      </c>
      <c r="M50" t="s">
        <v>1683</v>
      </c>
      <c r="N50" t="s">
        <v>5276</v>
      </c>
      <c r="O50" t="s">
        <v>5277</v>
      </c>
      <c r="P50" t="s">
        <v>5278</v>
      </c>
      <c r="Q50" t="s">
        <v>5279</v>
      </c>
      <c r="R50" t="s">
        <v>5280</v>
      </c>
      <c r="S50" t="s">
        <v>5281</v>
      </c>
      <c r="X50" t="s">
        <v>4690</v>
      </c>
      <c r="Y50" t="s">
        <v>5282</v>
      </c>
      <c r="AI50" t="s">
        <v>5283</v>
      </c>
      <c r="AJ50" t="s">
        <v>5284</v>
      </c>
      <c r="AM50" t="s">
        <v>5285</v>
      </c>
      <c r="AR50">
        <v>9259864</v>
      </c>
      <c r="AT50" t="s">
        <v>5286</v>
      </c>
      <c r="AV50" t="s">
        <v>78</v>
      </c>
      <c r="AW50" t="s">
        <v>5287</v>
      </c>
      <c r="AX50" t="s">
        <v>79</v>
      </c>
      <c r="AY50" t="s">
        <v>4620</v>
      </c>
      <c r="BA50" t="s">
        <v>4584</v>
      </c>
      <c r="BB50" t="s">
        <v>5288</v>
      </c>
    </row>
    <row r="51" spans="1:54" x14ac:dyDescent="0.25">
      <c r="A51" t="s">
        <v>5289</v>
      </c>
      <c r="B51" t="s">
        <v>5290</v>
      </c>
      <c r="C51" t="s">
        <v>1008</v>
      </c>
      <c r="D51">
        <v>2022</v>
      </c>
      <c r="E51" t="s">
        <v>5291</v>
      </c>
      <c r="F51">
        <v>10</v>
      </c>
      <c r="G51">
        <v>38</v>
      </c>
      <c r="I51">
        <v>12602</v>
      </c>
      <c r="J51">
        <v>12612</v>
      </c>
      <c r="M51" t="s">
        <v>1028</v>
      </c>
      <c r="N51" t="s">
        <v>5292</v>
      </c>
      <c r="O51" t="s">
        <v>5293</v>
      </c>
      <c r="P51" t="s">
        <v>5294</v>
      </c>
      <c r="Q51" t="s">
        <v>5295</v>
      </c>
      <c r="R51" t="s">
        <v>5296</v>
      </c>
      <c r="S51" t="s">
        <v>5297</v>
      </c>
      <c r="X51" t="s">
        <v>5298</v>
      </c>
      <c r="Y51" t="s">
        <v>5299</v>
      </c>
      <c r="AI51" t="s">
        <v>5300</v>
      </c>
      <c r="AJ51" t="s">
        <v>5301</v>
      </c>
    </row>
    <row r="52" spans="1:54" x14ac:dyDescent="0.25">
      <c r="A52" t="s">
        <v>5302</v>
      </c>
      <c r="B52" t="s">
        <v>10705</v>
      </c>
      <c r="C52" t="s">
        <v>10706</v>
      </c>
      <c r="D52" t="s">
        <v>10707</v>
      </c>
      <c r="G52" t="s">
        <v>5303</v>
      </c>
      <c r="L52">
        <v>21680485</v>
      </c>
      <c r="P52" t="s">
        <v>78</v>
      </c>
      <c r="Q52" t="s">
        <v>5304</v>
      </c>
      <c r="R52" t="s">
        <v>79</v>
      </c>
      <c r="S52" t="s">
        <v>4620</v>
      </c>
      <c r="U52" t="s">
        <v>4584</v>
      </c>
      <c r="V52" t="s">
        <v>5305</v>
      </c>
    </row>
    <row r="53" spans="1:54" x14ac:dyDescent="0.25">
      <c r="A53" t="s">
        <v>5306</v>
      </c>
      <c r="B53" t="s">
        <v>5307</v>
      </c>
      <c r="C53" t="s">
        <v>4398</v>
      </c>
      <c r="D53">
        <v>2022</v>
      </c>
      <c r="E53" t="s">
        <v>4929</v>
      </c>
      <c r="F53">
        <v>13</v>
      </c>
      <c r="H53">
        <v>974133</v>
      </c>
      <c r="M53" t="s">
        <v>4413</v>
      </c>
      <c r="N53" t="s">
        <v>5308</v>
      </c>
      <c r="O53" t="s">
        <v>5309</v>
      </c>
      <c r="P53" t="s">
        <v>5310</v>
      </c>
      <c r="Q53" t="s">
        <v>5311</v>
      </c>
      <c r="R53" t="s">
        <v>5312</v>
      </c>
      <c r="AI53" t="s">
        <v>5313</v>
      </c>
      <c r="AJ53" t="s">
        <v>5314</v>
      </c>
      <c r="AM53" t="s">
        <v>4922</v>
      </c>
      <c r="AR53">
        <v>16641078</v>
      </c>
      <c r="AV53" t="s">
        <v>78</v>
      </c>
      <c r="AW53" t="s">
        <v>4411</v>
      </c>
      <c r="AX53" t="s">
        <v>79</v>
      </c>
      <c r="AY53" t="s">
        <v>4620</v>
      </c>
      <c r="AZ53" t="s">
        <v>4688</v>
      </c>
      <c r="BA53" t="s">
        <v>4584</v>
      </c>
      <c r="BB53" t="s">
        <v>5315</v>
      </c>
    </row>
    <row r="54" spans="1:54" x14ac:dyDescent="0.25">
      <c r="A54" t="s">
        <v>5316</v>
      </c>
      <c r="B54" t="s">
        <v>5317</v>
      </c>
      <c r="C54" t="s">
        <v>5318</v>
      </c>
      <c r="D54">
        <v>2022</v>
      </c>
      <c r="E54" t="s">
        <v>5319</v>
      </c>
      <c r="F54">
        <v>22</v>
      </c>
      <c r="G54">
        <v>11</v>
      </c>
      <c r="I54">
        <v>203</v>
      </c>
      <c r="J54">
        <v>214</v>
      </c>
      <c r="M54" t="s">
        <v>5320</v>
      </c>
      <c r="N54" t="s">
        <v>5321</v>
      </c>
      <c r="O54" t="s">
        <v>5322</v>
      </c>
      <c r="P54" t="s">
        <v>5323</v>
      </c>
      <c r="Q54" t="s">
        <v>5324</v>
      </c>
      <c r="R54" t="s">
        <v>5325</v>
      </c>
      <c r="AI54" t="s">
        <v>5326</v>
      </c>
      <c r="AM54" t="s">
        <v>5327</v>
      </c>
      <c r="AR54">
        <v>21583595</v>
      </c>
      <c r="AV54" t="s">
        <v>78</v>
      </c>
      <c r="AW54" t="s">
        <v>5328</v>
      </c>
      <c r="AX54" t="s">
        <v>79</v>
      </c>
      <c r="AY54" t="s">
        <v>4620</v>
      </c>
      <c r="AZ54" t="s">
        <v>5329</v>
      </c>
      <c r="BA54" t="s">
        <v>4584</v>
      </c>
      <c r="BB54" t="s">
        <v>5330</v>
      </c>
    </row>
    <row r="55" spans="1:54" x14ac:dyDescent="0.25">
      <c r="A55" t="s">
        <v>5334</v>
      </c>
      <c r="B55" t="s">
        <v>5335</v>
      </c>
      <c r="C55" t="s">
        <v>5336</v>
      </c>
      <c r="D55">
        <v>2022</v>
      </c>
      <c r="E55" t="s">
        <v>4695</v>
      </c>
      <c r="F55">
        <v>20</v>
      </c>
      <c r="G55">
        <v>3</v>
      </c>
      <c r="M55" t="s">
        <v>5337</v>
      </c>
      <c r="N55" t="s">
        <v>5338</v>
      </c>
      <c r="O55" t="s">
        <v>4674</v>
      </c>
      <c r="P55" t="s">
        <v>5339</v>
      </c>
      <c r="Q55" t="s">
        <v>5340</v>
      </c>
      <c r="R55" t="s">
        <v>5341</v>
      </c>
      <c r="AI55" t="s">
        <v>5342</v>
      </c>
      <c r="AJ55" t="s">
        <v>5343</v>
      </c>
      <c r="AM55" t="s">
        <v>4696</v>
      </c>
      <c r="AR55" t="s">
        <v>4697</v>
      </c>
      <c r="AV55" t="s">
        <v>1234</v>
      </c>
      <c r="AW55" t="s">
        <v>4698</v>
      </c>
      <c r="AX55" t="s">
        <v>79</v>
      </c>
      <c r="AY55" t="s">
        <v>4620</v>
      </c>
      <c r="AZ55" t="s">
        <v>4688</v>
      </c>
      <c r="BA55" t="s">
        <v>4584</v>
      </c>
      <c r="BB55" t="s">
        <v>5344</v>
      </c>
    </row>
    <row r="56" spans="1:54" x14ac:dyDescent="0.25">
      <c r="A56" t="s">
        <v>5345</v>
      </c>
      <c r="B56" t="s">
        <v>5346</v>
      </c>
      <c r="C56" t="s">
        <v>5347</v>
      </c>
      <c r="D56">
        <v>2022</v>
      </c>
      <c r="E56" t="s">
        <v>5348</v>
      </c>
      <c r="F56">
        <v>14</v>
      </c>
      <c r="G56">
        <v>31</v>
      </c>
      <c r="I56">
        <v>124</v>
      </c>
      <c r="J56">
        <v>164</v>
      </c>
      <c r="M56" t="s">
        <v>5349</v>
      </c>
      <c r="N56" t="s">
        <v>5350</v>
      </c>
      <c r="O56" t="s">
        <v>5351</v>
      </c>
      <c r="P56" t="s">
        <v>5352</v>
      </c>
      <c r="Q56" t="s">
        <v>5353</v>
      </c>
      <c r="R56" t="s">
        <v>5354</v>
      </c>
      <c r="AI56" t="s">
        <v>5355</v>
      </c>
      <c r="AM56" t="s">
        <v>5356</v>
      </c>
      <c r="AR56" t="s">
        <v>5357</v>
      </c>
      <c r="AV56" t="s">
        <v>1234</v>
      </c>
      <c r="AW56" t="s">
        <v>1457</v>
      </c>
      <c r="AX56" t="s">
        <v>79</v>
      </c>
      <c r="AY56" t="s">
        <v>4620</v>
      </c>
      <c r="AZ56" t="s">
        <v>4688</v>
      </c>
      <c r="BA56" t="s">
        <v>4584</v>
      </c>
      <c r="BB56" t="s">
        <v>5358</v>
      </c>
    </row>
    <row r="57" spans="1:54" x14ac:dyDescent="0.25">
      <c r="A57" t="s">
        <v>5359</v>
      </c>
      <c r="B57" t="s">
        <v>5360</v>
      </c>
      <c r="C57" t="s">
        <v>5361</v>
      </c>
      <c r="D57">
        <v>2022</v>
      </c>
      <c r="E57" t="s">
        <v>5362</v>
      </c>
      <c r="F57">
        <v>75</v>
      </c>
      <c r="G57">
        <v>3</v>
      </c>
      <c r="I57" t="s">
        <v>5363</v>
      </c>
      <c r="J57" t="s">
        <v>5364</v>
      </c>
      <c r="N57" t="s">
        <v>5365</v>
      </c>
      <c r="O57" t="s">
        <v>5366</v>
      </c>
      <c r="P57" t="s">
        <v>5367</v>
      </c>
      <c r="Q57" t="s">
        <v>10704</v>
      </c>
      <c r="R57" t="s">
        <v>5368</v>
      </c>
      <c r="X57" t="s">
        <v>5369</v>
      </c>
      <c r="Y57" t="s">
        <v>5370</v>
      </c>
      <c r="AI57" t="s">
        <v>5371</v>
      </c>
      <c r="AJ57" t="s">
        <v>5372</v>
      </c>
      <c r="AM57" t="s">
        <v>5356</v>
      </c>
      <c r="AR57">
        <v>3042847</v>
      </c>
      <c r="AV57" t="s">
        <v>1234</v>
      </c>
      <c r="AW57" t="s">
        <v>5373</v>
      </c>
      <c r="AX57" t="s">
        <v>79</v>
      </c>
      <c r="AY57" t="s">
        <v>4620</v>
      </c>
      <c r="BA57" t="s">
        <v>4584</v>
      </c>
      <c r="BB57" t="s">
        <v>5374</v>
      </c>
    </row>
    <row r="58" spans="1:54" x14ac:dyDescent="0.25">
      <c r="A58" t="s">
        <v>5375</v>
      </c>
      <c r="B58" t="s">
        <v>5376</v>
      </c>
      <c r="C58" t="s">
        <v>407</v>
      </c>
      <c r="D58">
        <v>2022</v>
      </c>
      <c r="E58" t="s">
        <v>97</v>
      </c>
      <c r="F58">
        <v>14</v>
      </c>
      <c r="G58">
        <v>18</v>
      </c>
      <c r="H58">
        <v>3832</v>
      </c>
      <c r="M58" t="s">
        <v>417</v>
      </c>
      <c r="N58" t="s">
        <v>5377</v>
      </c>
      <c r="O58" t="s">
        <v>5378</v>
      </c>
      <c r="P58" t="s">
        <v>5379</v>
      </c>
      <c r="Q58" t="s">
        <v>5380</v>
      </c>
      <c r="R58" t="s">
        <v>5381</v>
      </c>
      <c r="S58" t="s">
        <v>5382</v>
      </c>
      <c r="X58" t="s">
        <v>4690</v>
      </c>
      <c r="Y58" t="s">
        <v>5383</v>
      </c>
      <c r="AI58" t="s">
        <v>5384</v>
      </c>
      <c r="AJ58" t="s">
        <v>4691</v>
      </c>
    </row>
    <row r="59" spans="1:54" x14ac:dyDescent="0.25">
      <c r="A59" t="s">
        <v>10708</v>
      </c>
      <c r="B59" t="s">
        <v>10709</v>
      </c>
      <c r="C59" t="s">
        <v>10710</v>
      </c>
      <c r="D59" t="s">
        <v>10711</v>
      </c>
      <c r="G59" t="s">
        <v>92</v>
      </c>
      <c r="L59">
        <v>20734360</v>
      </c>
      <c r="P59" t="s">
        <v>78</v>
      </c>
      <c r="Q59" t="s">
        <v>4692</v>
      </c>
      <c r="R59" t="s">
        <v>79</v>
      </c>
      <c r="S59" t="s">
        <v>4620</v>
      </c>
      <c r="T59" t="s">
        <v>4688</v>
      </c>
      <c r="U59" t="s">
        <v>4584</v>
      </c>
      <c r="V59" t="s">
        <v>5385</v>
      </c>
    </row>
    <row r="60" spans="1:54" x14ac:dyDescent="0.25">
      <c r="A60" t="s">
        <v>5386</v>
      </c>
      <c r="B60" t="s">
        <v>5387</v>
      </c>
      <c r="C60" t="s">
        <v>2440</v>
      </c>
      <c r="D60">
        <v>2022</v>
      </c>
      <c r="E60" t="s">
        <v>2453</v>
      </c>
      <c r="F60">
        <v>10</v>
      </c>
      <c r="G60">
        <v>9</v>
      </c>
      <c r="H60">
        <v>164</v>
      </c>
      <c r="M60" t="s">
        <v>2454</v>
      </c>
      <c r="N60" t="s">
        <v>5388</v>
      </c>
      <c r="O60" t="s">
        <v>5389</v>
      </c>
      <c r="P60" t="s">
        <v>5390</v>
      </c>
      <c r="Q60" t="s">
        <v>5391</v>
      </c>
      <c r="R60" t="s">
        <v>2442</v>
      </c>
      <c r="X60" t="s">
        <v>5392</v>
      </c>
      <c r="Y60" t="s">
        <v>5393</v>
      </c>
      <c r="AI60" t="s">
        <v>5394</v>
      </c>
      <c r="AJ60" t="s">
        <v>5395</v>
      </c>
      <c r="AM60" t="s">
        <v>92</v>
      </c>
      <c r="AR60">
        <v>20793197</v>
      </c>
      <c r="AV60" t="s">
        <v>78</v>
      </c>
      <c r="AW60" t="s">
        <v>2453</v>
      </c>
      <c r="AX60" t="s">
        <v>79</v>
      </c>
      <c r="AY60" t="s">
        <v>4620</v>
      </c>
      <c r="AZ60" t="s">
        <v>4672</v>
      </c>
      <c r="BA60" t="s">
        <v>4584</v>
      </c>
      <c r="BB60" t="s">
        <v>5396</v>
      </c>
    </row>
    <row r="61" spans="1:54" x14ac:dyDescent="0.25">
      <c r="A61" t="s">
        <v>5397</v>
      </c>
      <c r="B61" t="s">
        <v>5398</v>
      </c>
      <c r="C61" t="s">
        <v>1690</v>
      </c>
      <c r="D61">
        <v>2022</v>
      </c>
      <c r="E61" t="s">
        <v>1578</v>
      </c>
      <c r="F61">
        <v>13</v>
      </c>
      <c r="G61">
        <v>9</v>
      </c>
      <c r="H61">
        <v>1541</v>
      </c>
      <c r="M61" t="s">
        <v>1695</v>
      </c>
      <c r="N61" t="s">
        <v>5399</v>
      </c>
      <c r="O61" t="s">
        <v>5400</v>
      </c>
      <c r="P61" t="s">
        <v>5401</v>
      </c>
      <c r="Q61" t="s">
        <v>5402</v>
      </c>
      <c r="R61" t="s">
        <v>5403</v>
      </c>
      <c r="S61" t="s">
        <v>5404</v>
      </c>
      <c r="AI61" t="s">
        <v>5405</v>
      </c>
      <c r="AJ61" t="s">
        <v>5406</v>
      </c>
      <c r="AM61" t="s">
        <v>92</v>
      </c>
      <c r="AR61" t="s">
        <v>5407</v>
      </c>
      <c r="AV61" t="s">
        <v>78</v>
      </c>
      <c r="AW61" t="s">
        <v>1578</v>
      </c>
      <c r="AX61" t="s">
        <v>79</v>
      </c>
      <c r="AY61" t="s">
        <v>4620</v>
      </c>
      <c r="AZ61" t="s">
        <v>4688</v>
      </c>
      <c r="BA61" t="s">
        <v>4584</v>
      </c>
      <c r="BB61" t="s">
        <v>5408</v>
      </c>
    </row>
    <row r="62" spans="1:54" x14ac:dyDescent="0.25">
      <c r="A62" t="s">
        <v>5409</v>
      </c>
      <c r="B62" t="s">
        <v>5410</v>
      </c>
      <c r="C62" t="s">
        <v>5411</v>
      </c>
      <c r="D62">
        <v>2022</v>
      </c>
      <c r="E62" t="s">
        <v>5412</v>
      </c>
      <c r="F62">
        <v>7</v>
      </c>
      <c r="G62">
        <v>9</v>
      </c>
      <c r="H62">
        <v>240</v>
      </c>
      <c r="M62" t="s">
        <v>2094</v>
      </c>
      <c r="N62" t="s">
        <v>5413</v>
      </c>
      <c r="O62" t="s">
        <v>5414</v>
      </c>
      <c r="P62" t="s">
        <v>5415</v>
      </c>
      <c r="Q62" t="s">
        <v>5416</v>
      </c>
      <c r="R62" t="s">
        <v>5417</v>
      </c>
      <c r="S62" t="s">
        <v>5418</v>
      </c>
      <c r="V62" t="s">
        <v>5419</v>
      </c>
      <c r="W62" t="s">
        <v>5420</v>
      </c>
      <c r="X62" t="s">
        <v>5421</v>
      </c>
      <c r="Y62" t="s">
        <v>5422</v>
      </c>
      <c r="AI62" t="s">
        <v>5423</v>
      </c>
      <c r="AJ62" t="s">
        <v>5424</v>
      </c>
    </row>
    <row r="63" spans="1:54" x14ac:dyDescent="0.25">
      <c r="A63" t="s">
        <v>5425</v>
      </c>
      <c r="B63" t="s">
        <v>10712</v>
      </c>
      <c r="C63" t="s">
        <v>10713</v>
      </c>
      <c r="F63" t="s">
        <v>92</v>
      </c>
      <c r="K63">
        <v>24146366</v>
      </c>
      <c r="O63" t="s">
        <v>78</v>
      </c>
      <c r="P63" t="s">
        <v>2093</v>
      </c>
      <c r="Q63" t="s">
        <v>79</v>
      </c>
      <c r="R63" t="s">
        <v>4620</v>
      </c>
      <c r="S63" t="s">
        <v>4688</v>
      </c>
      <c r="T63" t="s">
        <v>4584</v>
      </c>
      <c r="U63" t="s">
        <v>5426</v>
      </c>
    </row>
    <row r="64" spans="1:54" x14ac:dyDescent="0.25">
      <c r="A64" t="s">
        <v>5427</v>
      </c>
      <c r="B64" t="s">
        <v>5428</v>
      </c>
      <c r="C64" t="s">
        <v>1186</v>
      </c>
      <c r="D64">
        <v>2022</v>
      </c>
      <c r="E64" t="s">
        <v>5429</v>
      </c>
      <c r="F64">
        <v>12</v>
      </c>
      <c r="G64">
        <v>18</v>
      </c>
      <c r="H64">
        <v>9371</v>
      </c>
      <c r="M64" t="s">
        <v>1200</v>
      </c>
      <c r="N64" t="s">
        <v>5430</v>
      </c>
      <c r="O64" t="s">
        <v>5431</v>
      </c>
      <c r="P64" t="s">
        <v>5432</v>
      </c>
      <c r="Q64" t="s">
        <v>5433</v>
      </c>
      <c r="R64" t="s">
        <v>1188</v>
      </c>
      <c r="X64" t="s">
        <v>5434</v>
      </c>
      <c r="Y64" t="s">
        <v>1196</v>
      </c>
      <c r="AI64" t="s">
        <v>5435</v>
      </c>
      <c r="AJ64" t="s">
        <v>5436</v>
      </c>
      <c r="AM64" t="s">
        <v>92</v>
      </c>
      <c r="AR64">
        <v>20763417</v>
      </c>
      <c r="AV64" t="s">
        <v>78</v>
      </c>
      <c r="AW64" t="s">
        <v>5437</v>
      </c>
      <c r="AX64" t="s">
        <v>79</v>
      </c>
      <c r="AY64" t="s">
        <v>4620</v>
      </c>
      <c r="AZ64" t="s">
        <v>4672</v>
      </c>
      <c r="BA64" t="s">
        <v>4584</v>
      </c>
      <c r="BB64" t="s">
        <v>5438</v>
      </c>
    </row>
    <row r="65" spans="1:54" x14ac:dyDescent="0.25">
      <c r="A65" t="s">
        <v>5439</v>
      </c>
      <c r="B65" t="s">
        <v>5440</v>
      </c>
      <c r="C65" t="s">
        <v>5441</v>
      </c>
      <c r="D65">
        <v>2022</v>
      </c>
      <c r="E65" t="s">
        <v>5442</v>
      </c>
      <c r="F65">
        <v>33</v>
      </c>
      <c r="G65">
        <v>3</v>
      </c>
      <c r="H65">
        <v>49469</v>
      </c>
      <c r="M65" t="s">
        <v>5443</v>
      </c>
      <c r="N65" t="s">
        <v>5444</v>
      </c>
      <c r="O65" t="s">
        <v>5445</v>
      </c>
      <c r="P65" t="s">
        <v>5446</v>
      </c>
      <c r="Q65" t="s">
        <v>5447</v>
      </c>
      <c r="R65" t="s">
        <v>5448</v>
      </c>
      <c r="AI65" t="s">
        <v>5449</v>
      </c>
      <c r="AJ65" t="s">
        <v>5450</v>
      </c>
      <c r="AM65" t="s">
        <v>5451</v>
      </c>
      <c r="AR65">
        <v>22153608</v>
      </c>
      <c r="AV65" t="s">
        <v>1234</v>
      </c>
      <c r="AW65" t="s">
        <v>5452</v>
      </c>
      <c r="AX65" t="s">
        <v>79</v>
      </c>
      <c r="AY65" t="s">
        <v>4620</v>
      </c>
      <c r="AZ65" t="s">
        <v>4672</v>
      </c>
      <c r="BA65" t="s">
        <v>4584</v>
      </c>
      <c r="BB65" t="s">
        <v>5453</v>
      </c>
    </row>
    <row r="66" spans="1:54" x14ac:dyDescent="0.25">
      <c r="A66" t="s">
        <v>5454</v>
      </c>
      <c r="B66" t="s">
        <v>5455</v>
      </c>
      <c r="C66" t="s">
        <v>5456</v>
      </c>
      <c r="D66">
        <v>2022</v>
      </c>
      <c r="E66" t="s">
        <v>5362</v>
      </c>
      <c r="F66">
        <v>75</v>
      </c>
      <c r="G66">
        <v>3</v>
      </c>
      <c r="I66">
        <v>10023</v>
      </c>
      <c r="J66">
        <v>10036</v>
      </c>
      <c r="M66" t="s">
        <v>5457</v>
      </c>
      <c r="N66" t="s">
        <v>5458</v>
      </c>
      <c r="O66" t="s">
        <v>5459</v>
      </c>
      <c r="P66" t="s">
        <v>5460</v>
      </c>
      <c r="Q66" t="s">
        <v>5461</v>
      </c>
      <c r="R66" t="s">
        <v>5462</v>
      </c>
      <c r="AI66" t="s">
        <v>5463</v>
      </c>
      <c r="AJ66" t="s">
        <v>5464</v>
      </c>
      <c r="AM66" t="s">
        <v>5356</v>
      </c>
      <c r="AR66">
        <v>3042847</v>
      </c>
      <c r="AV66" t="s">
        <v>78</v>
      </c>
      <c r="AW66" t="s">
        <v>5373</v>
      </c>
      <c r="AX66" t="s">
        <v>79</v>
      </c>
      <c r="AY66" t="s">
        <v>4620</v>
      </c>
      <c r="AZ66" t="s">
        <v>4672</v>
      </c>
      <c r="BA66" t="s">
        <v>4584</v>
      </c>
      <c r="BB66" t="s">
        <v>5465</v>
      </c>
    </row>
    <row r="67" spans="1:54" x14ac:dyDescent="0.25">
      <c r="A67" t="s">
        <v>5466</v>
      </c>
      <c r="B67" t="s">
        <v>5467</v>
      </c>
      <c r="C67" t="s">
        <v>5468</v>
      </c>
      <c r="D67">
        <v>2022</v>
      </c>
      <c r="E67" t="s">
        <v>5469</v>
      </c>
      <c r="F67">
        <v>25</v>
      </c>
      <c r="G67">
        <v>3</v>
      </c>
      <c r="H67">
        <v>4260</v>
      </c>
      <c r="M67" t="s">
        <v>5470</v>
      </c>
      <c r="N67" t="s">
        <v>5471</v>
      </c>
      <c r="O67" t="s">
        <v>5472</v>
      </c>
      <c r="P67" t="s">
        <v>5473</v>
      </c>
      <c r="Q67" t="s">
        <v>5474</v>
      </c>
      <c r="R67" t="s">
        <v>5475</v>
      </c>
      <c r="Y67" t="s">
        <v>5476</v>
      </c>
      <c r="AI67" t="s">
        <v>5477</v>
      </c>
      <c r="AJ67" t="s">
        <v>5478</v>
      </c>
      <c r="AM67" t="s">
        <v>5479</v>
      </c>
      <c r="AR67">
        <v>18700462</v>
      </c>
      <c r="AV67" t="s">
        <v>78</v>
      </c>
      <c r="AW67" t="s">
        <v>5480</v>
      </c>
      <c r="AX67" t="s">
        <v>79</v>
      </c>
      <c r="AY67" t="s">
        <v>4620</v>
      </c>
      <c r="AZ67" t="s">
        <v>4672</v>
      </c>
      <c r="BA67" t="s">
        <v>4584</v>
      </c>
      <c r="BB67" t="s">
        <v>5481</v>
      </c>
    </row>
    <row r="68" spans="1:54" x14ac:dyDescent="0.25">
      <c r="A68" t="s">
        <v>5482</v>
      </c>
      <c r="B68" t="s">
        <v>5483</v>
      </c>
      <c r="C68" t="s">
        <v>5484</v>
      </c>
      <c r="D68">
        <v>2022</v>
      </c>
      <c r="E68" t="s">
        <v>5485</v>
      </c>
      <c r="F68">
        <v>29</v>
      </c>
      <c r="G68">
        <v>51</v>
      </c>
      <c r="I68">
        <v>349</v>
      </c>
      <c r="J68">
        <v>369</v>
      </c>
      <c r="M68" t="s">
        <v>5486</v>
      </c>
      <c r="N68" t="s">
        <v>5487</v>
      </c>
      <c r="O68" t="s">
        <v>5488</v>
      </c>
      <c r="P68" t="s">
        <v>5489</v>
      </c>
      <c r="Q68" t="s">
        <v>5490</v>
      </c>
      <c r="R68" t="s">
        <v>5491</v>
      </c>
      <c r="AI68" t="s">
        <v>5492</v>
      </c>
      <c r="AJ68" t="s">
        <v>5493</v>
      </c>
      <c r="AM68" t="s">
        <v>5494</v>
      </c>
      <c r="AR68" t="s">
        <v>5495</v>
      </c>
      <c r="AV68" t="s">
        <v>1234</v>
      </c>
      <c r="AW68" t="s">
        <v>5485</v>
      </c>
      <c r="AX68" t="s">
        <v>79</v>
      </c>
      <c r="AY68" t="s">
        <v>4620</v>
      </c>
      <c r="AZ68" t="s">
        <v>4672</v>
      </c>
      <c r="BA68" t="s">
        <v>4584</v>
      </c>
      <c r="BB68" t="s">
        <v>5496</v>
      </c>
    </row>
    <row r="69" spans="1:54" x14ac:dyDescent="0.25">
      <c r="A69" t="s">
        <v>5497</v>
      </c>
      <c r="B69" t="s">
        <v>5498</v>
      </c>
      <c r="C69" t="s">
        <v>4418</v>
      </c>
      <c r="D69">
        <v>2022</v>
      </c>
      <c r="E69" t="s">
        <v>5499</v>
      </c>
      <c r="F69">
        <v>180</v>
      </c>
      <c r="H69">
        <v>105696</v>
      </c>
      <c r="L69">
        <v>1</v>
      </c>
      <c r="M69" t="s">
        <v>4435</v>
      </c>
      <c r="N69" t="s">
        <v>5500</v>
      </c>
      <c r="O69" t="s">
        <v>5501</v>
      </c>
      <c r="P69" t="s">
        <v>5502</v>
      </c>
      <c r="Q69" t="s">
        <v>5503</v>
      </c>
      <c r="R69" t="s">
        <v>5504</v>
      </c>
      <c r="S69" t="s">
        <v>5505</v>
      </c>
      <c r="X69" t="s">
        <v>5506</v>
      </c>
      <c r="Y69" t="s">
        <v>5507</v>
      </c>
      <c r="Z69" t="s">
        <v>5508</v>
      </c>
      <c r="AI69" t="s">
        <v>5509</v>
      </c>
      <c r="AJ69" t="s">
        <v>5510</v>
      </c>
      <c r="AM69" t="s">
        <v>4635</v>
      </c>
      <c r="AR69">
        <v>1411136</v>
      </c>
      <c r="AT69" t="s">
        <v>5511</v>
      </c>
      <c r="AU69">
        <v>35932509</v>
      </c>
      <c r="AV69" t="s">
        <v>78</v>
      </c>
      <c r="AW69" t="s">
        <v>4434</v>
      </c>
      <c r="AX69" t="s">
        <v>79</v>
      </c>
      <c r="AY69" t="s">
        <v>4620</v>
      </c>
      <c r="BA69" t="s">
        <v>4584</v>
      </c>
      <c r="BB69" t="s">
        <v>5512</v>
      </c>
    </row>
    <row r="70" spans="1:54" x14ac:dyDescent="0.25">
      <c r="A70" t="s">
        <v>5513</v>
      </c>
      <c r="B70" t="s">
        <v>5514</v>
      </c>
      <c r="C70" t="s">
        <v>3237</v>
      </c>
      <c r="D70">
        <v>2022</v>
      </c>
      <c r="E70" t="s">
        <v>1440</v>
      </c>
      <c r="F70">
        <v>103</v>
      </c>
      <c r="G70">
        <v>9</v>
      </c>
      <c r="H70" t="s">
        <v>3247</v>
      </c>
      <c r="L70">
        <v>1</v>
      </c>
      <c r="M70" t="s">
        <v>3248</v>
      </c>
      <c r="N70" t="s">
        <v>5515</v>
      </c>
      <c r="O70" t="s">
        <v>5516</v>
      </c>
      <c r="P70" t="s">
        <v>5517</v>
      </c>
      <c r="Q70" t="s">
        <v>10704</v>
      </c>
      <c r="R70" t="s">
        <v>3239</v>
      </c>
      <c r="S70" t="s">
        <v>5518</v>
      </c>
      <c r="Y70" t="s">
        <v>5519</v>
      </c>
      <c r="AI70" t="s">
        <v>5520</v>
      </c>
      <c r="AJ70" t="s">
        <v>5521</v>
      </c>
      <c r="AM70" t="s">
        <v>5522</v>
      </c>
      <c r="AR70">
        <v>129658</v>
      </c>
      <c r="AT70" t="s">
        <v>5523</v>
      </c>
      <c r="AU70">
        <v>35657118</v>
      </c>
      <c r="AV70" t="s">
        <v>78</v>
      </c>
      <c r="AW70" t="s">
        <v>1440</v>
      </c>
      <c r="AX70" t="s">
        <v>79</v>
      </c>
      <c r="AY70" t="s">
        <v>4620</v>
      </c>
      <c r="BA70" t="s">
        <v>4584</v>
      </c>
      <c r="BB70" t="s">
        <v>5524</v>
      </c>
    </row>
    <row r="71" spans="1:54" x14ac:dyDescent="0.25">
      <c r="A71" t="s">
        <v>5525</v>
      </c>
      <c r="B71" t="s">
        <v>5526</v>
      </c>
      <c r="C71" t="s">
        <v>2239</v>
      </c>
      <c r="D71">
        <v>2022</v>
      </c>
      <c r="E71" t="s">
        <v>5527</v>
      </c>
      <c r="F71">
        <v>70</v>
      </c>
      <c r="H71">
        <v>101192</v>
      </c>
      <c r="M71" t="s">
        <v>2253</v>
      </c>
      <c r="N71" t="s">
        <v>5528</v>
      </c>
      <c r="O71" t="s">
        <v>5529</v>
      </c>
      <c r="P71" t="s">
        <v>5530</v>
      </c>
      <c r="Q71" t="s">
        <v>5531</v>
      </c>
      <c r="R71" t="s">
        <v>5532</v>
      </c>
      <c r="S71" t="s">
        <v>5533</v>
      </c>
      <c r="X71" t="s">
        <v>5534</v>
      </c>
      <c r="Y71" t="s">
        <v>5535</v>
      </c>
      <c r="AI71" t="s">
        <v>5536</v>
      </c>
      <c r="AJ71" t="s">
        <v>5537</v>
      </c>
      <c r="AM71" t="s">
        <v>4635</v>
      </c>
      <c r="AR71">
        <v>14678039</v>
      </c>
      <c r="AT71" t="s">
        <v>5538</v>
      </c>
      <c r="AU71">
        <v>35863120</v>
      </c>
      <c r="AV71" t="s">
        <v>78</v>
      </c>
      <c r="AW71" t="s">
        <v>2252</v>
      </c>
      <c r="AX71" t="s">
        <v>79</v>
      </c>
      <c r="AY71" t="s">
        <v>4620</v>
      </c>
      <c r="BA71" t="s">
        <v>4584</v>
      </c>
      <c r="BB71" t="s">
        <v>5539</v>
      </c>
    </row>
    <row r="72" spans="1:54" x14ac:dyDescent="0.25">
      <c r="A72" t="s">
        <v>5540</v>
      </c>
      <c r="B72" t="s">
        <v>5541</v>
      </c>
      <c r="C72" t="s">
        <v>5542</v>
      </c>
      <c r="D72">
        <v>2022</v>
      </c>
      <c r="E72" t="s">
        <v>5543</v>
      </c>
      <c r="F72">
        <v>191</v>
      </c>
      <c r="H72">
        <v>112079</v>
      </c>
      <c r="M72" t="s">
        <v>439</v>
      </c>
      <c r="N72" t="s">
        <v>5544</v>
      </c>
      <c r="O72" t="s">
        <v>5545</v>
      </c>
      <c r="P72" t="s">
        <v>5546</v>
      </c>
      <c r="Q72" t="s">
        <v>5547</v>
      </c>
      <c r="R72" t="s">
        <v>5548</v>
      </c>
      <c r="S72" t="s">
        <v>5549</v>
      </c>
      <c r="X72" t="s">
        <v>4690</v>
      </c>
      <c r="Y72" t="s">
        <v>5550</v>
      </c>
      <c r="AI72" t="s">
        <v>5551</v>
      </c>
      <c r="AJ72" t="s">
        <v>5552</v>
      </c>
      <c r="AM72" t="s">
        <v>5553</v>
      </c>
      <c r="AR72">
        <v>10445803</v>
      </c>
      <c r="AT72" t="s">
        <v>5554</v>
      </c>
      <c r="AV72" t="s">
        <v>78</v>
      </c>
      <c r="AW72" t="s">
        <v>5555</v>
      </c>
      <c r="AX72" t="s">
        <v>79</v>
      </c>
      <c r="AY72" t="s">
        <v>4620</v>
      </c>
      <c r="BA72" t="s">
        <v>4584</v>
      </c>
      <c r="BB72" t="s">
        <v>5556</v>
      </c>
    </row>
    <row r="73" spans="1:54" x14ac:dyDescent="0.25">
      <c r="A73" t="s">
        <v>5557</v>
      </c>
      <c r="B73" t="s">
        <v>5558</v>
      </c>
      <c r="C73" t="s">
        <v>1207</v>
      </c>
      <c r="D73">
        <v>2022</v>
      </c>
      <c r="E73" t="s">
        <v>5559</v>
      </c>
      <c r="F73">
        <v>150</v>
      </c>
      <c r="G73">
        <v>3</v>
      </c>
      <c r="I73">
        <v>627</v>
      </c>
      <c r="J73">
        <v>636</v>
      </c>
      <c r="M73" t="s">
        <v>1224</v>
      </c>
      <c r="N73" t="s">
        <v>5560</v>
      </c>
      <c r="O73" t="s">
        <v>5561</v>
      </c>
      <c r="P73" t="s">
        <v>5562</v>
      </c>
      <c r="Q73" t="s">
        <v>5563</v>
      </c>
      <c r="R73" t="s">
        <v>5564</v>
      </c>
      <c r="S73" t="s">
        <v>5565</v>
      </c>
      <c r="X73" t="s">
        <v>4835</v>
      </c>
      <c r="Y73" t="s">
        <v>5566</v>
      </c>
      <c r="AI73" t="s">
        <v>5567</v>
      </c>
      <c r="AJ73" t="s">
        <v>5568</v>
      </c>
      <c r="AM73" t="s">
        <v>5285</v>
      </c>
      <c r="AR73">
        <v>1676857</v>
      </c>
      <c r="AT73" t="s">
        <v>5569</v>
      </c>
      <c r="AV73" t="s">
        <v>78</v>
      </c>
      <c r="AW73" t="s">
        <v>1223</v>
      </c>
      <c r="AX73" t="s">
        <v>79</v>
      </c>
      <c r="AY73" t="s">
        <v>4620</v>
      </c>
      <c r="AZ73" t="s">
        <v>4771</v>
      </c>
      <c r="BA73" t="s">
        <v>4584</v>
      </c>
      <c r="BB73" t="s">
        <v>5570</v>
      </c>
    </row>
    <row r="74" spans="1:54" x14ac:dyDescent="0.25">
      <c r="A74" t="s">
        <v>5571</v>
      </c>
      <c r="B74" t="s">
        <v>5572</v>
      </c>
      <c r="C74" t="s">
        <v>5573</v>
      </c>
      <c r="D74">
        <v>2022</v>
      </c>
      <c r="E74" t="s">
        <v>5574</v>
      </c>
      <c r="F74">
        <v>35</v>
      </c>
      <c r="G74">
        <v>3</v>
      </c>
      <c r="I74">
        <v>851</v>
      </c>
      <c r="J74">
        <v>869</v>
      </c>
      <c r="M74" t="s">
        <v>5575</v>
      </c>
      <c r="N74" t="s">
        <v>5576</v>
      </c>
      <c r="O74" t="s">
        <v>5577</v>
      </c>
      <c r="P74" t="s">
        <v>5578</v>
      </c>
      <c r="Q74" t="s">
        <v>5579</v>
      </c>
      <c r="R74" t="s">
        <v>5580</v>
      </c>
      <c r="X74" t="s">
        <v>5581</v>
      </c>
      <c r="Y74" t="s">
        <v>5582</v>
      </c>
      <c r="Z74" t="s">
        <v>5583</v>
      </c>
      <c r="AA74" t="s">
        <v>5584</v>
      </c>
      <c r="AI74" t="s">
        <v>5585</v>
      </c>
      <c r="AJ74" t="s">
        <v>5586</v>
      </c>
      <c r="AM74" t="s">
        <v>5587</v>
      </c>
      <c r="AR74">
        <v>11391138</v>
      </c>
      <c r="AV74" t="s">
        <v>78</v>
      </c>
      <c r="AW74" t="s">
        <v>5588</v>
      </c>
      <c r="AX74" t="s">
        <v>79</v>
      </c>
      <c r="AY74" t="s">
        <v>4620</v>
      </c>
      <c r="BA74" t="s">
        <v>4584</v>
      </c>
      <c r="BB74" t="s">
        <v>5589</v>
      </c>
    </row>
    <row r="75" spans="1:54" x14ac:dyDescent="0.25">
      <c r="A75" t="s">
        <v>5590</v>
      </c>
      <c r="B75" t="s">
        <v>5591</v>
      </c>
      <c r="C75" t="s">
        <v>5592</v>
      </c>
      <c r="D75">
        <v>2022</v>
      </c>
      <c r="E75" t="s">
        <v>5593</v>
      </c>
      <c r="F75">
        <v>556</v>
      </c>
      <c r="G75">
        <v>2</v>
      </c>
      <c r="I75">
        <v>119</v>
      </c>
      <c r="J75">
        <v>135</v>
      </c>
      <c r="M75" t="s">
        <v>5594</v>
      </c>
      <c r="N75" t="s">
        <v>5595</v>
      </c>
      <c r="O75" t="s">
        <v>5596</v>
      </c>
      <c r="P75" t="s">
        <v>5597</v>
      </c>
      <c r="Q75" t="s">
        <v>5598</v>
      </c>
      <c r="R75" t="s">
        <v>5599</v>
      </c>
      <c r="Y75" t="s">
        <v>5600</v>
      </c>
      <c r="AI75" t="s">
        <v>5601</v>
      </c>
      <c r="AJ75" t="s">
        <v>5602</v>
      </c>
      <c r="AM75" t="s">
        <v>5603</v>
      </c>
      <c r="AR75">
        <v>11793155</v>
      </c>
      <c r="AV75" t="s">
        <v>78</v>
      </c>
      <c r="AW75" t="s">
        <v>5593</v>
      </c>
      <c r="AX75" t="s">
        <v>79</v>
      </c>
      <c r="AY75" t="s">
        <v>4620</v>
      </c>
      <c r="AZ75" t="s">
        <v>4768</v>
      </c>
      <c r="BA75" t="s">
        <v>4584</v>
      </c>
      <c r="BB75" t="s">
        <v>5604</v>
      </c>
    </row>
    <row r="76" spans="1:54" x14ac:dyDescent="0.25">
      <c r="A76" t="s">
        <v>5605</v>
      </c>
      <c r="B76" t="s">
        <v>5606</v>
      </c>
      <c r="C76" t="s">
        <v>1814</v>
      </c>
      <c r="D76">
        <v>2022</v>
      </c>
      <c r="E76" t="s">
        <v>5607</v>
      </c>
      <c r="F76">
        <v>26</v>
      </c>
      <c r="G76">
        <v>4</v>
      </c>
      <c r="I76">
        <v>576</v>
      </c>
      <c r="J76">
        <v>577</v>
      </c>
      <c r="L76">
        <v>1</v>
      </c>
      <c r="M76" t="s">
        <v>1828</v>
      </c>
      <c r="N76" t="s">
        <v>5608</v>
      </c>
      <c r="O76" t="s">
        <v>5609</v>
      </c>
      <c r="P76" t="s">
        <v>5610</v>
      </c>
      <c r="Q76" t="s">
        <v>5611</v>
      </c>
      <c r="R76" t="s">
        <v>5612</v>
      </c>
      <c r="S76" t="s">
        <v>5613</v>
      </c>
      <c r="AI76" t="s">
        <v>5614</v>
      </c>
      <c r="AJ76" t="s">
        <v>5615</v>
      </c>
      <c r="AM76" t="s">
        <v>5616</v>
      </c>
      <c r="AR76">
        <v>16078322</v>
      </c>
      <c r="AV76" t="s">
        <v>78</v>
      </c>
      <c r="AW76" t="s">
        <v>1827</v>
      </c>
      <c r="AX76" t="s">
        <v>79</v>
      </c>
      <c r="AY76" t="s">
        <v>4620</v>
      </c>
      <c r="AZ76" t="s">
        <v>4672</v>
      </c>
      <c r="BA76" t="s">
        <v>4584</v>
      </c>
      <c r="BB76" t="s">
        <v>5617</v>
      </c>
    </row>
    <row r="77" spans="1:54" x14ac:dyDescent="0.25">
      <c r="A77" t="s">
        <v>5618</v>
      </c>
      <c r="B77" t="s">
        <v>5619</v>
      </c>
      <c r="C77" t="s">
        <v>3562</v>
      </c>
      <c r="D77">
        <v>2022</v>
      </c>
      <c r="E77" t="s">
        <v>683</v>
      </c>
      <c r="F77">
        <v>27</v>
      </c>
      <c r="G77">
        <v>16</v>
      </c>
      <c r="H77">
        <v>5312</v>
      </c>
      <c r="M77" t="s">
        <v>3574</v>
      </c>
      <c r="N77" t="s">
        <v>5620</v>
      </c>
      <c r="O77" t="s">
        <v>5621</v>
      </c>
      <c r="P77" t="s">
        <v>5622</v>
      </c>
      <c r="Q77" t="s">
        <v>5623</v>
      </c>
      <c r="R77" t="s">
        <v>5624</v>
      </c>
      <c r="X77" t="s">
        <v>5625</v>
      </c>
      <c r="Y77" t="s">
        <v>5626</v>
      </c>
      <c r="AI77" t="s">
        <v>5627</v>
      </c>
      <c r="AJ77" t="s">
        <v>5628</v>
      </c>
      <c r="AM77" t="s">
        <v>92</v>
      </c>
      <c r="AR77">
        <v>14203049</v>
      </c>
      <c r="AT77" t="s">
        <v>5629</v>
      </c>
      <c r="AV77" t="s">
        <v>78</v>
      </c>
      <c r="AW77" t="s">
        <v>683</v>
      </c>
      <c r="AX77" t="s">
        <v>79</v>
      </c>
      <c r="AY77" t="s">
        <v>4620</v>
      </c>
      <c r="AZ77" t="s">
        <v>4688</v>
      </c>
      <c r="BA77" t="s">
        <v>4584</v>
      </c>
      <c r="BB77" t="s">
        <v>5630</v>
      </c>
    </row>
    <row r="78" spans="1:54" x14ac:dyDescent="0.25">
      <c r="A78" t="s">
        <v>5631</v>
      </c>
      <c r="B78" t="s">
        <v>5632</v>
      </c>
      <c r="C78" t="s">
        <v>1483</v>
      </c>
      <c r="D78">
        <v>2022</v>
      </c>
      <c r="E78" t="s">
        <v>399</v>
      </c>
      <c r="F78">
        <v>11</v>
      </c>
      <c r="G78">
        <v>16</v>
      </c>
      <c r="H78">
        <v>2425</v>
      </c>
      <c r="L78">
        <v>1</v>
      </c>
      <c r="M78" t="s">
        <v>1495</v>
      </c>
      <c r="N78" t="s">
        <v>5633</v>
      </c>
      <c r="O78" t="s">
        <v>5634</v>
      </c>
      <c r="P78" t="s">
        <v>5635</v>
      </c>
      <c r="Q78" t="s">
        <v>5636</v>
      </c>
      <c r="R78" t="s">
        <v>5637</v>
      </c>
      <c r="X78" t="s">
        <v>5638</v>
      </c>
      <c r="Y78" t="s">
        <v>5639</v>
      </c>
      <c r="Z78" t="s">
        <v>5640</v>
      </c>
      <c r="AI78" t="s">
        <v>5641</v>
      </c>
      <c r="AJ78" t="s">
        <v>5642</v>
      </c>
      <c r="AM78" t="s">
        <v>92</v>
      </c>
      <c r="AR78">
        <v>23048158</v>
      </c>
      <c r="AV78" t="s">
        <v>78</v>
      </c>
      <c r="AW78" t="s">
        <v>399</v>
      </c>
      <c r="AX78" t="s">
        <v>79</v>
      </c>
      <c r="AY78" t="s">
        <v>4620</v>
      </c>
      <c r="AZ78" t="s">
        <v>4688</v>
      </c>
      <c r="BA78" t="s">
        <v>4584</v>
      </c>
      <c r="BB78" t="s">
        <v>5643</v>
      </c>
    </row>
    <row r="79" spans="1:54" x14ac:dyDescent="0.25">
      <c r="A79" t="s">
        <v>5644</v>
      </c>
      <c r="B79" t="s">
        <v>5645</v>
      </c>
      <c r="C79" t="s">
        <v>5646</v>
      </c>
      <c r="D79">
        <v>2022</v>
      </c>
      <c r="E79" t="s">
        <v>330</v>
      </c>
      <c r="F79">
        <v>22</v>
      </c>
      <c r="G79">
        <v>15</v>
      </c>
      <c r="H79">
        <v>5789</v>
      </c>
      <c r="M79" t="s">
        <v>2942</v>
      </c>
      <c r="N79" t="s">
        <v>5647</v>
      </c>
      <c r="O79" t="s">
        <v>5648</v>
      </c>
      <c r="P79" t="s">
        <v>5649</v>
      </c>
      <c r="Q79" t="s">
        <v>5650</v>
      </c>
      <c r="R79" t="s">
        <v>5651</v>
      </c>
      <c r="S79" t="s">
        <v>5652</v>
      </c>
      <c r="X79" t="s">
        <v>5653</v>
      </c>
      <c r="Y79" t="s">
        <v>5654</v>
      </c>
      <c r="AI79" t="s">
        <v>5655</v>
      </c>
      <c r="AJ79" t="s">
        <v>5628</v>
      </c>
      <c r="AM79" t="s">
        <v>92</v>
      </c>
      <c r="AR79">
        <v>14248220</v>
      </c>
      <c r="AV79" t="s">
        <v>78</v>
      </c>
      <c r="AW79" t="s">
        <v>330</v>
      </c>
      <c r="AX79" t="s">
        <v>79</v>
      </c>
      <c r="AY79" t="s">
        <v>4620</v>
      </c>
      <c r="AZ79" t="s">
        <v>4688</v>
      </c>
      <c r="BA79" t="s">
        <v>4584</v>
      </c>
      <c r="BB79" t="s">
        <v>5656</v>
      </c>
    </row>
    <row r="80" spans="1:54" x14ac:dyDescent="0.25">
      <c r="A80" t="s">
        <v>5657</v>
      </c>
      <c r="B80" t="s">
        <v>5658</v>
      </c>
      <c r="C80" t="s">
        <v>387</v>
      </c>
      <c r="D80">
        <v>2022</v>
      </c>
      <c r="E80" t="s">
        <v>399</v>
      </c>
      <c r="F80">
        <v>11</v>
      </c>
      <c r="G80">
        <v>15</v>
      </c>
      <c r="H80">
        <v>2380</v>
      </c>
      <c r="M80" t="s">
        <v>401</v>
      </c>
      <c r="N80" t="s">
        <v>5659</v>
      </c>
      <c r="O80" t="s">
        <v>5660</v>
      </c>
      <c r="P80" t="s">
        <v>5661</v>
      </c>
      <c r="Q80" t="s">
        <v>5662</v>
      </c>
      <c r="R80" t="s">
        <v>5663</v>
      </c>
      <c r="X80" t="s">
        <v>4690</v>
      </c>
      <c r="Y80" t="s">
        <v>5664</v>
      </c>
      <c r="AI80" t="s">
        <v>5665</v>
      </c>
      <c r="AJ80" t="s">
        <v>5666</v>
      </c>
    </row>
    <row r="81" spans="1:54" x14ac:dyDescent="0.25">
      <c r="A81" t="s">
        <v>10708</v>
      </c>
      <c r="B81" t="s">
        <v>10709</v>
      </c>
      <c r="C81" t="s">
        <v>10714</v>
      </c>
      <c r="D81" t="s">
        <v>10710</v>
      </c>
      <c r="E81" t="s">
        <v>10699</v>
      </c>
      <c r="F81" t="s">
        <v>10711</v>
      </c>
      <c r="I81" t="s">
        <v>92</v>
      </c>
      <c r="N81">
        <v>23048158</v>
      </c>
      <c r="R81" t="s">
        <v>78</v>
      </c>
      <c r="S81" t="s">
        <v>399</v>
      </c>
      <c r="T81" t="s">
        <v>79</v>
      </c>
      <c r="U81" t="s">
        <v>4620</v>
      </c>
      <c r="V81" t="s">
        <v>4688</v>
      </c>
      <c r="W81" t="s">
        <v>4584</v>
      </c>
      <c r="X81" t="s">
        <v>5667</v>
      </c>
    </row>
    <row r="82" spans="1:54" x14ac:dyDescent="0.25">
      <c r="A82" t="s">
        <v>5668</v>
      </c>
      <c r="B82" t="s">
        <v>5669</v>
      </c>
      <c r="C82" t="s">
        <v>4232</v>
      </c>
      <c r="D82">
        <v>2022</v>
      </c>
      <c r="E82" t="s">
        <v>5670</v>
      </c>
      <c r="F82">
        <v>11</v>
      </c>
      <c r="G82">
        <v>15</v>
      </c>
      <c r="H82">
        <v>2463</v>
      </c>
      <c r="M82" t="s">
        <v>4248</v>
      </c>
      <c r="N82" t="s">
        <v>5671</v>
      </c>
      <c r="O82" t="s">
        <v>5672</v>
      </c>
      <c r="P82" t="s">
        <v>5673</v>
      </c>
      <c r="Q82" t="s">
        <v>5674</v>
      </c>
      <c r="R82" t="s">
        <v>4234</v>
      </c>
      <c r="X82" t="s">
        <v>5675</v>
      </c>
      <c r="Y82" t="s">
        <v>5676</v>
      </c>
      <c r="AI82" t="s">
        <v>5677</v>
      </c>
      <c r="AJ82" t="s">
        <v>5678</v>
      </c>
      <c r="AM82" t="s">
        <v>92</v>
      </c>
      <c r="AR82">
        <v>20799292</v>
      </c>
      <c r="AV82" t="s">
        <v>78</v>
      </c>
      <c r="AW82" t="s">
        <v>5670</v>
      </c>
      <c r="AX82" t="s">
        <v>162</v>
      </c>
      <c r="AY82" t="s">
        <v>4620</v>
      </c>
      <c r="AZ82" t="s">
        <v>4688</v>
      </c>
      <c r="BA82" t="s">
        <v>4584</v>
      </c>
      <c r="BB82" t="s">
        <v>5679</v>
      </c>
    </row>
    <row r="83" spans="1:54" x14ac:dyDescent="0.25">
      <c r="A83" t="s">
        <v>5680</v>
      </c>
      <c r="B83" t="s">
        <v>5681</v>
      </c>
      <c r="C83" t="s">
        <v>5682</v>
      </c>
      <c r="D83">
        <v>2022</v>
      </c>
      <c r="E83" t="s">
        <v>5683</v>
      </c>
      <c r="F83">
        <v>13</v>
      </c>
      <c r="G83">
        <v>8</v>
      </c>
      <c r="H83">
        <v>380</v>
      </c>
      <c r="M83" t="s">
        <v>5684</v>
      </c>
      <c r="N83" t="s">
        <v>5685</v>
      </c>
      <c r="O83" t="s">
        <v>5686</v>
      </c>
      <c r="P83" t="s">
        <v>5687</v>
      </c>
      <c r="Q83" t="s">
        <v>5688</v>
      </c>
      <c r="R83" t="s">
        <v>5689</v>
      </c>
      <c r="S83" t="s">
        <v>5690</v>
      </c>
      <c r="AI83" t="s">
        <v>5691</v>
      </c>
      <c r="AJ83" t="s">
        <v>5692</v>
      </c>
    </row>
    <row r="84" spans="1:54" x14ac:dyDescent="0.25">
      <c r="A84" t="s">
        <v>5693</v>
      </c>
      <c r="B84" t="s">
        <v>10715</v>
      </c>
      <c r="C84" t="s">
        <v>10716</v>
      </c>
      <c r="F84" t="s">
        <v>92</v>
      </c>
      <c r="K84">
        <v>20782489</v>
      </c>
      <c r="O84" t="s">
        <v>78</v>
      </c>
      <c r="P84" t="s">
        <v>4583</v>
      </c>
      <c r="Q84" t="s">
        <v>79</v>
      </c>
      <c r="R84" t="s">
        <v>4620</v>
      </c>
      <c r="S84" t="s">
        <v>4672</v>
      </c>
      <c r="T84" t="s">
        <v>4584</v>
      </c>
      <c r="U84" t="s">
        <v>5694</v>
      </c>
    </row>
    <row r="85" spans="1:54" x14ac:dyDescent="0.25">
      <c r="A85" t="s">
        <v>5695</v>
      </c>
      <c r="B85" t="s">
        <v>5696</v>
      </c>
      <c r="C85" t="s">
        <v>668</v>
      </c>
      <c r="D85">
        <v>2022</v>
      </c>
      <c r="E85" t="s">
        <v>683</v>
      </c>
      <c r="F85">
        <v>27</v>
      </c>
      <c r="G85">
        <v>15</v>
      </c>
      <c r="H85">
        <v>4723</v>
      </c>
      <c r="L85">
        <v>3</v>
      </c>
      <c r="M85" t="s">
        <v>684</v>
      </c>
      <c r="N85" t="s">
        <v>5697</v>
      </c>
      <c r="O85" t="s">
        <v>5698</v>
      </c>
      <c r="P85" t="s">
        <v>5699</v>
      </c>
      <c r="Q85" t="s">
        <v>5700</v>
      </c>
      <c r="R85" t="s">
        <v>5701</v>
      </c>
      <c r="S85" t="s">
        <v>5702</v>
      </c>
      <c r="U85" t="s">
        <v>5703</v>
      </c>
      <c r="X85" t="s">
        <v>5704</v>
      </c>
      <c r="Y85" t="s">
        <v>5705</v>
      </c>
      <c r="AI85" t="s">
        <v>5706</v>
      </c>
    </row>
    <row r="86" spans="1:54" x14ac:dyDescent="0.25">
      <c r="A86" t="s">
        <v>5707</v>
      </c>
      <c r="B86" t="s">
        <v>5708</v>
      </c>
      <c r="C86" t="s">
        <v>939</v>
      </c>
      <c r="D86">
        <v>2022</v>
      </c>
      <c r="E86" t="s">
        <v>5709</v>
      </c>
      <c r="F86">
        <v>34</v>
      </c>
      <c r="G86">
        <v>6</v>
      </c>
      <c r="H86">
        <v>102202</v>
      </c>
      <c r="M86" t="s">
        <v>955</v>
      </c>
      <c r="N86" t="s">
        <v>5710</v>
      </c>
      <c r="O86" t="s">
        <v>5711</v>
      </c>
      <c r="P86" t="s">
        <v>5712</v>
      </c>
      <c r="Q86" t="s">
        <v>5713</v>
      </c>
      <c r="R86" t="s">
        <v>5714</v>
      </c>
      <c r="X86" t="s">
        <v>5715</v>
      </c>
      <c r="Y86" t="s">
        <v>5716</v>
      </c>
      <c r="Z86" t="s">
        <v>5716</v>
      </c>
      <c r="AI86" t="s">
        <v>5717</v>
      </c>
      <c r="AJ86" t="s">
        <v>5718</v>
      </c>
      <c r="AM86" t="s">
        <v>4650</v>
      </c>
      <c r="AR86">
        <v>10183647</v>
      </c>
      <c r="AV86" t="s">
        <v>78</v>
      </c>
      <c r="AW86" t="s">
        <v>954</v>
      </c>
      <c r="AX86" t="s">
        <v>79</v>
      </c>
      <c r="AY86" t="s">
        <v>4620</v>
      </c>
      <c r="AZ86" t="s">
        <v>4672</v>
      </c>
      <c r="BA86" t="s">
        <v>4584</v>
      </c>
      <c r="BB86" t="s">
        <v>5719</v>
      </c>
    </row>
    <row r="87" spans="1:54" x14ac:dyDescent="0.25">
      <c r="A87" t="s">
        <v>5720</v>
      </c>
      <c r="B87" t="s">
        <v>5721</v>
      </c>
      <c r="C87" t="s">
        <v>5722</v>
      </c>
      <c r="D87">
        <v>2022</v>
      </c>
      <c r="E87" t="s">
        <v>5723</v>
      </c>
      <c r="F87">
        <v>65</v>
      </c>
      <c r="G87">
        <v>3</v>
      </c>
      <c r="I87">
        <v>356</v>
      </c>
      <c r="J87">
        <v>372</v>
      </c>
      <c r="L87">
        <v>1</v>
      </c>
      <c r="M87" t="s">
        <v>5724</v>
      </c>
      <c r="N87" t="s">
        <v>5725</v>
      </c>
      <c r="O87" t="s">
        <v>5726</v>
      </c>
      <c r="P87" t="s">
        <v>5727</v>
      </c>
      <c r="Q87" t="s">
        <v>5728</v>
      </c>
      <c r="R87" t="s">
        <v>5729</v>
      </c>
      <c r="S87" t="s">
        <v>5730</v>
      </c>
      <c r="AI87" t="s">
        <v>5731</v>
      </c>
    </row>
    <row r="88" spans="1:54" x14ac:dyDescent="0.25">
      <c r="A88" t="s">
        <v>5732</v>
      </c>
      <c r="B88" t="s">
        <v>5733</v>
      </c>
      <c r="C88" t="s">
        <v>5734</v>
      </c>
      <c r="D88">
        <v>2022</v>
      </c>
      <c r="E88" t="s">
        <v>5735</v>
      </c>
      <c r="F88">
        <v>24</v>
      </c>
      <c r="G88">
        <v>2</v>
      </c>
      <c r="I88">
        <v>47</v>
      </c>
      <c r="J88">
        <v>62</v>
      </c>
      <c r="M88" t="s">
        <v>4597</v>
      </c>
      <c r="N88" t="s">
        <v>5736</v>
      </c>
      <c r="O88" t="s">
        <v>5737</v>
      </c>
      <c r="P88" t="s">
        <v>5738</v>
      </c>
      <c r="Q88" t="s">
        <v>5739</v>
      </c>
      <c r="R88" t="s">
        <v>5740</v>
      </c>
      <c r="AI88" t="s">
        <v>5741</v>
      </c>
      <c r="AM88" t="s">
        <v>5356</v>
      </c>
      <c r="AR88">
        <v>16570790</v>
      </c>
      <c r="AV88" t="s">
        <v>78</v>
      </c>
      <c r="AW88" t="s">
        <v>5742</v>
      </c>
      <c r="AX88" t="s">
        <v>79</v>
      </c>
      <c r="AY88" t="s">
        <v>4620</v>
      </c>
      <c r="AZ88" t="s">
        <v>4672</v>
      </c>
      <c r="BA88" t="s">
        <v>4584</v>
      </c>
      <c r="BB88" t="s">
        <v>5743</v>
      </c>
    </row>
    <row r="89" spans="1:54" x14ac:dyDescent="0.25">
      <c r="A89" t="s">
        <v>5744</v>
      </c>
      <c r="B89" t="s">
        <v>5745</v>
      </c>
      <c r="C89" t="s">
        <v>5746</v>
      </c>
      <c r="D89">
        <v>2022</v>
      </c>
      <c r="E89" t="s">
        <v>5747</v>
      </c>
      <c r="F89">
        <v>98</v>
      </c>
      <c r="G89">
        <v>362</v>
      </c>
      <c r="I89">
        <v>51</v>
      </c>
      <c r="J89">
        <v>62</v>
      </c>
      <c r="M89" t="s">
        <v>5748</v>
      </c>
      <c r="N89" t="s">
        <v>5749</v>
      </c>
      <c r="O89" t="s">
        <v>5750</v>
      </c>
      <c r="P89" t="s">
        <v>5751</v>
      </c>
      <c r="Q89" t="s">
        <v>5752</v>
      </c>
      <c r="R89" t="s">
        <v>5753</v>
      </c>
      <c r="X89" t="s">
        <v>5754</v>
      </c>
      <c r="Y89" t="s">
        <v>5755</v>
      </c>
      <c r="AI89" t="s">
        <v>5756</v>
      </c>
      <c r="AM89" t="s">
        <v>5757</v>
      </c>
      <c r="AR89">
        <v>2138646</v>
      </c>
      <c r="AV89" t="s">
        <v>1234</v>
      </c>
      <c r="AW89" t="s">
        <v>5758</v>
      </c>
      <c r="AX89" t="s">
        <v>79</v>
      </c>
      <c r="AY89" t="s">
        <v>4620</v>
      </c>
      <c r="AZ89" t="s">
        <v>4672</v>
      </c>
      <c r="BA89" t="s">
        <v>4584</v>
      </c>
      <c r="BB89" t="s">
        <v>5759</v>
      </c>
    </row>
    <row r="90" spans="1:54" x14ac:dyDescent="0.25">
      <c r="A90" t="s">
        <v>5760</v>
      </c>
      <c r="B90" t="s">
        <v>5761</v>
      </c>
      <c r="C90" t="s">
        <v>4332</v>
      </c>
      <c r="D90">
        <v>2022</v>
      </c>
      <c r="E90" t="s">
        <v>1000</v>
      </c>
      <c r="F90">
        <v>7</v>
      </c>
      <c r="G90">
        <v>27</v>
      </c>
      <c r="H90" t="s">
        <v>4345</v>
      </c>
      <c r="M90" t="s">
        <v>4346</v>
      </c>
      <c r="N90" t="s">
        <v>5762</v>
      </c>
      <c r="O90" t="s">
        <v>5763</v>
      </c>
      <c r="P90" t="s">
        <v>5764</v>
      </c>
      <c r="Q90" t="s">
        <v>5765</v>
      </c>
      <c r="R90" t="s">
        <v>5766</v>
      </c>
      <c r="X90" t="s">
        <v>5767</v>
      </c>
      <c r="Y90" t="s">
        <v>4343</v>
      </c>
      <c r="AI90" t="s">
        <v>5768</v>
      </c>
      <c r="AJ90" t="s">
        <v>5769</v>
      </c>
    </row>
    <row r="91" spans="1:54" x14ac:dyDescent="0.25">
      <c r="A91" t="s">
        <v>10717</v>
      </c>
      <c r="B91" t="s">
        <v>10718</v>
      </c>
      <c r="C91" t="s">
        <v>10719</v>
      </c>
      <c r="D91" t="s">
        <v>10720</v>
      </c>
      <c r="G91" t="s">
        <v>5109</v>
      </c>
      <c r="L91">
        <v>23656549</v>
      </c>
      <c r="P91" t="s">
        <v>78</v>
      </c>
      <c r="Q91" t="s">
        <v>1000</v>
      </c>
      <c r="R91" t="s">
        <v>79</v>
      </c>
      <c r="S91" t="s">
        <v>4620</v>
      </c>
      <c r="U91" t="s">
        <v>4584</v>
      </c>
      <c r="V91" t="s">
        <v>5770</v>
      </c>
    </row>
    <row r="92" spans="1:54" x14ac:dyDescent="0.25">
      <c r="A92" t="s">
        <v>5771</v>
      </c>
      <c r="B92" t="s">
        <v>5772</v>
      </c>
      <c r="C92" t="s">
        <v>5773</v>
      </c>
      <c r="D92">
        <v>2022</v>
      </c>
      <c r="E92" t="s">
        <v>5774</v>
      </c>
      <c r="F92">
        <v>19</v>
      </c>
      <c r="G92">
        <v>26</v>
      </c>
      <c r="I92">
        <v>633</v>
      </c>
      <c r="J92">
        <v>672</v>
      </c>
      <c r="M92" t="s">
        <v>5775</v>
      </c>
      <c r="N92" t="s">
        <v>5776</v>
      </c>
      <c r="O92" t="s">
        <v>5777</v>
      </c>
      <c r="P92" t="s">
        <v>5778</v>
      </c>
      <c r="Q92" t="s">
        <v>5779</v>
      </c>
      <c r="R92" t="s">
        <v>5780</v>
      </c>
      <c r="Y92" t="s">
        <v>5781</v>
      </c>
      <c r="AI92" t="s">
        <v>5782</v>
      </c>
      <c r="AJ92" t="s">
        <v>5783</v>
      </c>
      <c r="AM92" t="s">
        <v>5784</v>
      </c>
      <c r="AR92">
        <v>17947111</v>
      </c>
      <c r="AV92" t="s">
        <v>1234</v>
      </c>
      <c r="AW92" t="s">
        <v>5774</v>
      </c>
      <c r="AX92" t="s">
        <v>79</v>
      </c>
      <c r="AY92" t="s">
        <v>4620</v>
      </c>
      <c r="AZ92" t="s">
        <v>4769</v>
      </c>
      <c r="BA92" t="s">
        <v>4584</v>
      </c>
      <c r="BB92" t="s">
        <v>5785</v>
      </c>
    </row>
    <row r="93" spans="1:54" x14ac:dyDescent="0.25">
      <c r="A93" t="s">
        <v>5786</v>
      </c>
      <c r="B93" t="s">
        <v>5787</v>
      </c>
      <c r="C93" t="s">
        <v>5788</v>
      </c>
      <c r="D93">
        <v>2022</v>
      </c>
      <c r="E93" t="s">
        <v>5789</v>
      </c>
      <c r="F93">
        <v>20</v>
      </c>
      <c r="G93">
        <v>39</v>
      </c>
      <c r="I93">
        <v>693</v>
      </c>
      <c r="J93">
        <v>715</v>
      </c>
      <c r="M93" t="s">
        <v>5790</v>
      </c>
      <c r="N93" t="s">
        <v>5791</v>
      </c>
      <c r="O93" t="s">
        <v>5792</v>
      </c>
      <c r="P93" t="s">
        <v>5793</v>
      </c>
      <c r="Q93" t="s">
        <v>5794</v>
      </c>
      <c r="R93" t="s">
        <v>5795</v>
      </c>
      <c r="AI93" t="s">
        <v>5796</v>
      </c>
      <c r="AJ93" t="s">
        <v>5797</v>
      </c>
      <c r="AM93" t="s">
        <v>5798</v>
      </c>
      <c r="AR93">
        <v>19006586</v>
      </c>
      <c r="AV93" t="s">
        <v>1234</v>
      </c>
      <c r="AW93" t="s">
        <v>5799</v>
      </c>
      <c r="AX93" t="s">
        <v>79</v>
      </c>
      <c r="AY93" t="s">
        <v>4620</v>
      </c>
      <c r="AZ93" t="s">
        <v>4672</v>
      </c>
      <c r="BA93" t="s">
        <v>4584</v>
      </c>
      <c r="BB93" t="s">
        <v>5800</v>
      </c>
    </row>
    <row r="94" spans="1:54" x14ac:dyDescent="0.25">
      <c r="A94" t="s">
        <v>5801</v>
      </c>
      <c r="B94" t="s">
        <v>5802</v>
      </c>
      <c r="C94" t="s">
        <v>5803</v>
      </c>
      <c r="D94">
        <v>2022</v>
      </c>
      <c r="E94" t="s">
        <v>5774</v>
      </c>
      <c r="F94">
        <v>19</v>
      </c>
      <c r="G94">
        <v>26</v>
      </c>
      <c r="I94">
        <v>349</v>
      </c>
      <c r="J94">
        <v>380</v>
      </c>
      <c r="M94" t="s">
        <v>5804</v>
      </c>
      <c r="N94" t="s">
        <v>5805</v>
      </c>
      <c r="O94" t="s">
        <v>5806</v>
      </c>
      <c r="P94" t="s">
        <v>5807</v>
      </c>
      <c r="Q94" t="s">
        <v>5808</v>
      </c>
      <c r="R94" t="s">
        <v>5809</v>
      </c>
      <c r="AI94" t="s">
        <v>5810</v>
      </c>
      <c r="AM94" t="s">
        <v>5784</v>
      </c>
      <c r="AR94">
        <v>17947111</v>
      </c>
      <c r="AV94" t="s">
        <v>1234</v>
      </c>
      <c r="AW94" t="s">
        <v>5774</v>
      </c>
      <c r="AX94" t="s">
        <v>79</v>
      </c>
      <c r="AY94" t="s">
        <v>4620</v>
      </c>
      <c r="BA94" t="s">
        <v>4584</v>
      </c>
      <c r="BB94" t="s">
        <v>5811</v>
      </c>
    </row>
    <row r="95" spans="1:54" x14ac:dyDescent="0.25">
      <c r="A95" t="s">
        <v>5812</v>
      </c>
      <c r="B95" t="s">
        <v>5813</v>
      </c>
      <c r="C95" t="s">
        <v>5814</v>
      </c>
      <c r="D95">
        <v>2022</v>
      </c>
      <c r="E95" t="s">
        <v>5815</v>
      </c>
      <c r="F95">
        <v>11</v>
      </c>
      <c r="G95">
        <v>2</v>
      </c>
      <c r="I95">
        <v>312</v>
      </c>
      <c r="J95">
        <v>337</v>
      </c>
      <c r="M95" t="s">
        <v>5816</v>
      </c>
      <c r="N95" t="s">
        <v>5817</v>
      </c>
      <c r="O95" t="s">
        <v>5818</v>
      </c>
      <c r="P95" t="s">
        <v>5819</v>
      </c>
      <c r="Q95" t="s">
        <v>5820</v>
      </c>
      <c r="R95" t="s">
        <v>5821</v>
      </c>
      <c r="AI95" t="s">
        <v>5822</v>
      </c>
      <c r="AM95" t="s">
        <v>5823</v>
      </c>
      <c r="AR95">
        <v>22542035</v>
      </c>
      <c r="AV95" t="s">
        <v>78</v>
      </c>
      <c r="AW95" t="s">
        <v>5824</v>
      </c>
      <c r="AX95" t="s">
        <v>79</v>
      </c>
      <c r="AY95" t="s">
        <v>4620</v>
      </c>
      <c r="AZ95" t="s">
        <v>4688</v>
      </c>
      <c r="BA95" t="s">
        <v>4584</v>
      </c>
      <c r="BB95" t="s">
        <v>5825</v>
      </c>
    </row>
    <row r="96" spans="1:54" x14ac:dyDescent="0.25">
      <c r="A96" t="s">
        <v>5826</v>
      </c>
      <c r="B96" t="s">
        <v>5827</v>
      </c>
      <c r="C96" t="s">
        <v>5828</v>
      </c>
      <c r="D96">
        <v>2022</v>
      </c>
      <c r="E96" t="s">
        <v>5829</v>
      </c>
      <c r="F96">
        <v>90</v>
      </c>
      <c r="G96">
        <v>7</v>
      </c>
      <c r="I96">
        <v>612</v>
      </c>
      <c r="J96">
        <v>615</v>
      </c>
      <c r="M96" t="s">
        <v>5830</v>
      </c>
      <c r="N96" t="s">
        <v>5831</v>
      </c>
      <c r="O96" t="s">
        <v>5832</v>
      </c>
      <c r="P96" t="s">
        <v>5833</v>
      </c>
      <c r="Q96" t="s">
        <v>5834</v>
      </c>
      <c r="R96" t="s">
        <v>5835</v>
      </c>
      <c r="S96" t="s">
        <v>5836</v>
      </c>
      <c r="AI96" t="s">
        <v>5837</v>
      </c>
      <c r="AJ96" t="s">
        <v>5838</v>
      </c>
      <c r="AM96" t="s">
        <v>5839</v>
      </c>
      <c r="AR96">
        <v>3009041</v>
      </c>
      <c r="AT96" t="s">
        <v>5840</v>
      </c>
      <c r="AV96" t="s">
        <v>1234</v>
      </c>
      <c r="AW96" t="s">
        <v>5841</v>
      </c>
      <c r="AX96" t="s">
        <v>79</v>
      </c>
      <c r="AY96" t="s">
        <v>4620</v>
      </c>
      <c r="BA96" t="s">
        <v>4584</v>
      </c>
      <c r="BB96" t="s">
        <v>5842</v>
      </c>
    </row>
    <row r="97" spans="1:54" x14ac:dyDescent="0.25">
      <c r="A97" t="s">
        <v>5843</v>
      </c>
      <c r="B97" t="s">
        <v>5844</v>
      </c>
      <c r="C97" t="s">
        <v>5845</v>
      </c>
      <c r="D97">
        <v>2022</v>
      </c>
      <c r="E97" t="s">
        <v>5846</v>
      </c>
      <c r="F97">
        <v>46</v>
      </c>
      <c r="G97">
        <v>180</v>
      </c>
      <c r="I97">
        <v>628</v>
      </c>
      <c r="J97">
        <v>645</v>
      </c>
      <c r="M97" t="s">
        <v>5847</v>
      </c>
      <c r="N97" t="s">
        <v>5848</v>
      </c>
      <c r="O97" t="s">
        <v>5849</v>
      </c>
      <c r="P97" t="s">
        <v>5850</v>
      </c>
      <c r="Q97" t="s">
        <v>5851</v>
      </c>
      <c r="R97" t="s">
        <v>5852</v>
      </c>
      <c r="X97" t="s">
        <v>5853</v>
      </c>
      <c r="Y97" t="s">
        <v>5854</v>
      </c>
      <c r="AI97" t="s">
        <v>5855</v>
      </c>
      <c r="AJ97" t="s">
        <v>5856</v>
      </c>
      <c r="AM97" t="s">
        <v>5857</v>
      </c>
      <c r="AR97">
        <v>3703908</v>
      </c>
      <c r="AV97" t="s">
        <v>78</v>
      </c>
      <c r="AW97" t="s">
        <v>5858</v>
      </c>
      <c r="AX97" t="s">
        <v>79</v>
      </c>
      <c r="AY97" t="s">
        <v>4620</v>
      </c>
      <c r="AZ97" t="s">
        <v>4672</v>
      </c>
      <c r="BA97" t="s">
        <v>4584</v>
      </c>
      <c r="BB97" t="s">
        <v>5859</v>
      </c>
    </row>
    <row r="98" spans="1:54" x14ac:dyDescent="0.25">
      <c r="A98" t="s">
        <v>10721</v>
      </c>
      <c r="B98" t="s">
        <v>10722</v>
      </c>
      <c r="C98" t="s">
        <v>5860</v>
      </c>
      <c r="D98">
        <v>2022</v>
      </c>
      <c r="E98" t="s">
        <v>5846</v>
      </c>
      <c r="F98">
        <v>46</v>
      </c>
      <c r="G98">
        <v>180</v>
      </c>
      <c r="I98">
        <v>834</v>
      </c>
      <c r="J98">
        <v>842</v>
      </c>
      <c r="M98" t="s">
        <v>5861</v>
      </c>
      <c r="N98" t="s">
        <v>5862</v>
      </c>
      <c r="Q98" t="s">
        <v>10704</v>
      </c>
      <c r="AI98" t="s">
        <v>5863</v>
      </c>
      <c r="AM98" t="s">
        <v>5857</v>
      </c>
      <c r="AR98">
        <v>3703908</v>
      </c>
      <c r="AV98" t="s">
        <v>1234</v>
      </c>
      <c r="AW98" t="s">
        <v>5858</v>
      </c>
      <c r="AX98" t="s">
        <v>79</v>
      </c>
      <c r="AY98" t="s">
        <v>4620</v>
      </c>
      <c r="AZ98" t="s">
        <v>4672</v>
      </c>
      <c r="BA98" t="s">
        <v>4584</v>
      </c>
      <c r="BB98" t="s">
        <v>5864</v>
      </c>
    </row>
    <row r="99" spans="1:54" x14ac:dyDescent="0.25">
      <c r="A99" t="s">
        <v>5865</v>
      </c>
      <c r="B99" t="s">
        <v>5866</v>
      </c>
      <c r="C99" t="s">
        <v>5867</v>
      </c>
      <c r="D99">
        <v>2022</v>
      </c>
      <c r="E99" t="s">
        <v>5868</v>
      </c>
      <c r="F99">
        <v>23</v>
      </c>
      <c r="G99">
        <v>4</v>
      </c>
      <c r="H99">
        <v>100757</v>
      </c>
      <c r="M99" t="s">
        <v>5869</v>
      </c>
      <c r="N99" t="s">
        <v>5870</v>
      </c>
      <c r="O99" t="s">
        <v>5871</v>
      </c>
      <c r="P99" t="s">
        <v>5872</v>
      </c>
      <c r="Q99" t="s">
        <v>5873</v>
      </c>
      <c r="R99" t="s">
        <v>5874</v>
      </c>
      <c r="AI99" t="s">
        <v>5875</v>
      </c>
      <c r="AJ99" t="s">
        <v>5876</v>
      </c>
      <c r="AM99" t="s">
        <v>5877</v>
      </c>
      <c r="AR99">
        <v>15751813</v>
      </c>
      <c r="AV99" t="s">
        <v>5228</v>
      </c>
      <c r="AW99" t="s">
        <v>5878</v>
      </c>
      <c r="AX99" t="s">
        <v>79</v>
      </c>
      <c r="AY99" t="s">
        <v>4620</v>
      </c>
      <c r="AZ99" t="s">
        <v>4672</v>
      </c>
      <c r="BA99" t="s">
        <v>4584</v>
      </c>
      <c r="BB99" t="s">
        <v>5879</v>
      </c>
    </row>
    <row r="100" spans="1:54" x14ac:dyDescent="0.25">
      <c r="A100" t="s">
        <v>5880</v>
      </c>
      <c r="B100" t="s">
        <v>5881</v>
      </c>
      <c r="C100" t="s">
        <v>5882</v>
      </c>
      <c r="D100">
        <v>2022</v>
      </c>
      <c r="E100" t="s">
        <v>5883</v>
      </c>
      <c r="G100">
        <v>97</v>
      </c>
      <c r="I100">
        <v>11</v>
      </c>
      <c r="J100">
        <v>43</v>
      </c>
      <c r="M100" t="s">
        <v>4576</v>
      </c>
      <c r="N100" t="s">
        <v>5884</v>
      </c>
      <c r="O100" t="s">
        <v>5885</v>
      </c>
      <c r="P100" t="s">
        <v>5886</v>
      </c>
      <c r="Q100" t="s">
        <v>5887</v>
      </c>
      <c r="R100" t="s">
        <v>5888</v>
      </c>
      <c r="AI100" t="s">
        <v>5889</v>
      </c>
      <c r="AM100" t="s">
        <v>5890</v>
      </c>
      <c r="AR100">
        <v>1202596</v>
      </c>
      <c r="AV100" t="s">
        <v>1234</v>
      </c>
      <c r="AW100" t="s">
        <v>5891</v>
      </c>
      <c r="AX100" t="s">
        <v>79</v>
      </c>
      <c r="AY100" t="s">
        <v>4620</v>
      </c>
      <c r="AZ100" t="s">
        <v>4672</v>
      </c>
      <c r="BA100" t="s">
        <v>4584</v>
      </c>
      <c r="BB100" t="s">
        <v>5892</v>
      </c>
    </row>
    <row r="101" spans="1:54" x14ac:dyDescent="0.25">
      <c r="A101" t="s">
        <v>5893</v>
      </c>
      <c r="B101" t="s">
        <v>5894</v>
      </c>
      <c r="C101" t="s">
        <v>5895</v>
      </c>
      <c r="D101">
        <v>2022</v>
      </c>
      <c r="E101" t="s">
        <v>5896</v>
      </c>
      <c r="G101">
        <v>47</v>
      </c>
      <c r="M101" t="s">
        <v>5897</v>
      </c>
      <c r="N101" t="s">
        <v>5898</v>
      </c>
      <c r="O101" t="s">
        <v>5899</v>
      </c>
      <c r="P101" t="s">
        <v>5900</v>
      </c>
      <c r="Q101" t="s">
        <v>5901</v>
      </c>
      <c r="R101" t="s">
        <v>5902</v>
      </c>
      <c r="AI101" t="s">
        <v>5903</v>
      </c>
      <c r="AM101" t="s">
        <v>5904</v>
      </c>
      <c r="AR101">
        <v>1238418</v>
      </c>
      <c r="AV101" t="s">
        <v>1234</v>
      </c>
      <c r="AW101" t="s">
        <v>5896</v>
      </c>
      <c r="AX101" t="s">
        <v>79</v>
      </c>
      <c r="AY101" t="s">
        <v>4620</v>
      </c>
      <c r="AZ101" t="s">
        <v>4672</v>
      </c>
      <c r="BA101" t="s">
        <v>4584</v>
      </c>
      <c r="BB101" t="s">
        <v>5905</v>
      </c>
    </row>
    <row r="102" spans="1:54" x14ac:dyDescent="0.25">
      <c r="A102" t="s">
        <v>5906</v>
      </c>
      <c r="B102" t="s">
        <v>5907</v>
      </c>
      <c r="C102" t="s">
        <v>5908</v>
      </c>
      <c r="D102">
        <v>2022</v>
      </c>
      <c r="E102" t="s">
        <v>5909</v>
      </c>
      <c r="F102">
        <v>25</v>
      </c>
      <c r="G102">
        <v>2</v>
      </c>
      <c r="H102" t="s">
        <v>5910</v>
      </c>
      <c r="M102" t="s">
        <v>5911</v>
      </c>
      <c r="N102" t="s">
        <v>5912</v>
      </c>
      <c r="O102" t="s">
        <v>5913</v>
      </c>
      <c r="P102" t="s">
        <v>5914</v>
      </c>
      <c r="Q102" t="s">
        <v>5915</v>
      </c>
      <c r="R102" t="s">
        <v>5916</v>
      </c>
      <c r="AI102" t="s">
        <v>5917</v>
      </c>
      <c r="AJ102" t="s">
        <v>5918</v>
      </c>
      <c r="AM102" t="s">
        <v>5919</v>
      </c>
      <c r="AR102">
        <v>1234226</v>
      </c>
      <c r="AV102" t="s">
        <v>1234</v>
      </c>
      <c r="AW102" t="s">
        <v>5920</v>
      </c>
      <c r="AX102" t="s">
        <v>79</v>
      </c>
      <c r="AY102" t="s">
        <v>4620</v>
      </c>
      <c r="AZ102" t="s">
        <v>4672</v>
      </c>
      <c r="BA102" t="s">
        <v>4584</v>
      </c>
      <c r="BB102" t="s">
        <v>5921</v>
      </c>
    </row>
    <row r="103" spans="1:54" x14ac:dyDescent="0.25">
      <c r="A103" t="s">
        <v>5922</v>
      </c>
      <c r="B103" t="s">
        <v>5923</v>
      </c>
      <c r="C103" t="s">
        <v>523</v>
      </c>
      <c r="D103">
        <v>2022</v>
      </c>
      <c r="E103" t="s">
        <v>5021</v>
      </c>
      <c r="F103">
        <v>14</v>
      </c>
      <c r="G103">
        <v>14</v>
      </c>
      <c r="H103">
        <v>8588</v>
      </c>
      <c r="M103" t="s">
        <v>536</v>
      </c>
      <c r="N103" t="s">
        <v>5924</v>
      </c>
      <c r="O103" t="s">
        <v>5925</v>
      </c>
      <c r="P103" t="s">
        <v>5926</v>
      </c>
      <c r="Q103" t="s">
        <v>5927</v>
      </c>
      <c r="R103" t="s">
        <v>5928</v>
      </c>
      <c r="S103" t="s">
        <v>5929</v>
      </c>
      <c r="X103" t="s">
        <v>5930</v>
      </c>
      <c r="Y103" t="s">
        <v>5931</v>
      </c>
      <c r="AI103" t="s">
        <v>5932</v>
      </c>
    </row>
    <row r="104" spans="1:54" x14ac:dyDescent="0.25">
      <c r="A104" t="s">
        <v>5933</v>
      </c>
      <c r="B104" t="s">
        <v>5934</v>
      </c>
      <c r="C104" t="s">
        <v>5935</v>
      </c>
      <c r="D104">
        <v>2022</v>
      </c>
      <c r="E104" t="s">
        <v>5021</v>
      </c>
      <c r="F104">
        <v>14</v>
      </c>
      <c r="G104">
        <v>14</v>
      </c>
      <c r="H104">
        <v>8728</v>
      </c>
      <c r="M104" t="s">
        <v>5936</v>
      </c>
      <c r="N104" t="s">
        <v>5937</v>
      </c>
      <c r="O104" t="s">
        <v>5938</v>
      </c>
      <c r="P104" t="s">
        <v>5939</v>
      </c>
      <c r="Q104" t="s">
        <v>5940</v>
      </c>
      <c r="R104" t="s">
        <v>5941</v>
      </c>
      <c r="S104" t="s">
        <v>5942</v>
      </c>
      <c r="AI104" t="s">
        <v>5943</v>
      </c>
      <c r="AJ104" t="s">
        <v>5944</v>
      </c>
      <c r="AM104" t="s">
        <v>92</v>
      </c>
      <c r="AR104">
        <v>20711050</v>
      </c>
      <c r="AV104" t="s">
        <v>78</v>
      </c>
      <c r="AW104" t="s">
        <v>280</v>
      </c>
      <c r="AX104" t="s">
        <v>79</v>
      </c>
      <c r="AY104" t="s">
        <v>4620</v>
      </c>
      <c r="AZ104" t="s">
        <v>4672</v>
      </c>
      <c r="BA104" t="s">
        <v>4584</v>
      </c>
      <c r="BB104" t="s">
        <v>5945</v>
      </c>
    </row>
    <row r="105" spans="1:54" x14ac:dyDescent="0.25">
      <c r="A105" t="s">
        <v>5946</v>
      </c>
      <c r="B105" t="s">
        <v>5947</v>
      </c>
      <c r="C105" t="s">
        <v>5948</v>
      </c>
      <c r="D105">
        <v>2022</v>
      </c>
      <c r="E105" t="s">
        <v>1946</v>
      </c>
      <c r="F105">
        <v>43</v>
      </c>
      <c r="G105">
        <v>2</v>
      </c>
      <c r="I105">
        <v>87</v>
      </c>
      <c r="J105">
        <v>108</v>
      </c>
      <c r="M105" t="s">
        <v>5949</v>
      </c>
      <c r="N105" t="s">
        <v>5950</v>
      </c>
      <c r="O105" t="s">
        <v>4674</v>
      </c>
      <c r="P105" t="s">
        <v>5951</v>
      </c>
      <c r="Q105" t="s">
        <v>5952</v>
      </c>
      <c r="R105" t="s">
        <v>5953</v>
      </c>
      <c r="AI105" t="s">
        <v>5954</v>
      </c>
      <c r="AM105" t="s">
        <v>5955</v>
      </c>
      <c r="AR105">
        <v>1853082</v>
      </c>
      <c r="AV105" t="s">
        <v>1234</v>
      </c>
      <c r="AW105" t="s">
        <v>1946</v>
      </c>
      <c r="AX105" t="s">
        <v>79</v>
      </c>
      <c r="AY105" t="s">
        <v>4620</v>
      </c>
      <c r="AZ105" t="s">
        <v>4688</v>
      </c>
      <c r="BA105" t="s">
        <v>4584</v>
      </c>
      <c r="BB105" t="s">
        <v>5956</v>
      </c>
    </row>
    <row r="106" spans="1:54" x14ac:dyDescent="0.25">
      <c r="A106" t="s">
        <v>5957</v>
      </c>
      <c r="B106" t="s">
        <v>5958</v>
      </c>
      <c r="C106" t="s">
        <v>2580</v>
      </c>
      <c r="D106">
        <v>2022</v>
      </c>
      <c r="E106" t="s">
        <v>2453</v>
      </c>
      <c r="F106">
        <v>10</v>
      </c>
      <c r="G106">
        <v>7</v>
      </c>
      <c r="H106">
        <v>124</v>
      </c>
      <c r="M106" t="s">
        <v>2590</v>
      </c>
      <c r="N106" t="s">
        <v>5959</v>
      </c>
      <c r="O106" t="s">
        <v>5960</v>
      </c>
      <c r="P106" t="s">
        <v>5961</v>
      </c>
      <c r="Q106" t="s">
        <v>5962</v>
      </c>
      <c r="R106" t="s">
        <v>5963</v>
      </c>
      <c r="X106" t="s">
        <v>5392</v>
      </c>
      <c r="Y106" t="s">
        <v>2589</v>
      </c>
      <c r="AI106" t="s">
        <v>5964</v>
      </c>
      <c r="AJ106" t="s">
        <v>5395</v>
      </c>
      <c r="AM106" t="s">
        <v>92</v>
      </c>
      <c r="AR106">
        <v>20793197</v>
      </c>
      <c r="AV106" t="s">
        <v>78</v>
      </c>
      <c r="AW106" t="s">
        <v>2453</v>
      </c>
      <c r="AX106" t="s">
        <v>79</v>
      </c>
      <c r="AY106" t="s">
        <v>4620</v>
      </c>
      <c r="AZ106" t="s">
        <v>4672</v>
      </c>
      <c r="BA106" t="s">
        <v>4584</v>
      </c>
      <c r="BB106" t="s">
        <v>5965</v>
      </c>
    </row>
    <row r="107" spans="1:54" x14ac:dyDescent="0.25">
      <c r="A107" t="s">
        <v>5966</v>
      </c>
      <c r="B107" t="s">
        <v>5967</v>
      </c>
      <c r="C107" t="s">
        <v>5968</v>
      </c>
      <c r="D107">
        <v>2022</v>
      </c>
      <c r="E107" t="s">
        <v>5969</v>
      </c>
      <c r="F107">
        <v>130</v>
      </c>
      <c r="I107" t="s">
        <v>5970</v>
      </c>
      <c r="J107" t="s">
        <v>5971</v>
      </c>
      <c r="M107" t="s">
        <v>5972</v>
      </c>
      <c r="N107" t="s">
        <v>5973</v>
      </c>
      <c r="O107" t="s">
        <v>5974</v>
      </c>
      <c r="P107" t="s">
        <v>5975</v>
      </c>
      <c r="Q107" t="s">
        <v>5976</v>
      </c>
      <c r="R107" t="s">
        <v>5977</v>
      </c>
      <c r="AI107" t="s">
        <v>5978</v>
      </c>
      <c r="AJ107" t="s">
        <v>5979</v>
      </c>
      <c r="AM107" t="s">
        <v>5980</v>
      </c>
      <c r="AR107">
        <v>3674762</v>
      </c>
      <c r="AT107" t="s">
        <v>5981</v>
      </c>
      <c r="AV107" t="s">
        <v>78</v>
      </c>
      <c r="AW107" t="s">
        <v>5982</v>
      </c>
      <c r="AX107" t="s">
        <v>79</v>
      </c>
      <c r="AY107" t="s">
        <v>4620</v>
      </c>
      <c r="AZ107" t="s">
        <v>4769</v>
      </c>
      <c r="BA107" t="s">
        <v>4584</v>
      </c>
      <c r="BB107" t="s">
        <v>5983</v>
      </c>
    </row>
    <row r="108" spans="1:54" x14ac:dyDescent="0.25">
      <c r="A108" t="s">
        <v>5984</v>
      </c>
      <c r="B108" t="s">
        <v>5985</v>
      </c>
      <c r="C108" t="s">
        <v>5986</v>
      </c>
      <c r="D108">
        <v>2022</v>
      </c>
      <c r="E108" t="s">
        <v>5969</v>
      </c>
      <c r="F108">
        <v>130</v>
      </c>
      <c r="I108" t="s">
        <v>5987</v>
      </c>
      <c r="J108" t="s">
        <v>5988</v>
      </c>
      <c r="M108" t="s">
        <v>5989</v>
      </c>
      <c r="N108" t="s">
        <v>5990</v>
      </c>
      <c r="O108" t="s">
        <v>4673</v>
      </c>
      <c r="P108" t="s">
        <v>5991</v>
      </c>
      <c r="Q108" t="s">
        <v>5992</v>
      </c>
      <c r="R108" t="s">
        <v>5993</v>
      </c>
      <c r="AI108" t="s">
        <v>5994</v>
      </c>
      <c r="AJ108" t="s">
        <v>5995</v>
      </c>
      <c r="AM108" t="s">
        <v>5980</v>
      </c>
      <c r="AR108">
        <v>3674762</v>
      </c>
      <c r="AT108" t="s">
        <v>5981</v>
      </c>
      <c r="AV108" t="s">
        <v>78</v>
      </c>
      <c r="AW108" t="s">
        <v>5982</v>
      </c>
      <c r="AX108" t="s">
        <v>79</v>
      </c>
      <c r="AY108" t="s">
        <v>4620</v>
      </c>
      <c r="AZ108" t="s">
        <v>4769</v>
      </c>
      <c r="BA108" t="s">
        <v>4584</v>
      </c>
      <c r="BB108" t="s">
        <v>5996</v>
      </c>
    </row>
    <row r="109" spans="1:54" x14ac:dyDescent="0.25">
      <c r="A109" t="s">
        <v>5997</v>
      </c>
      <c r="B109" t="s">
        <v>5998</v>
      </c>
      <c r="C109" t="s">
        <v>5999</v>
      </c>
      <c r="D109">
        <v>2022</v>
      </c>
      <c r="E109" t="s">
        <v>6000</v>
      </c>
      <c r="G109">
        <v>25</v>
      </c>
      <c r="I109">
        <v>103</v>
      </c>
      <c r="J109">
        <v>137</v>
      </c>
      <c r="M109" t="s">
        <v>6001</v>
      </c>
      <c r="N109" t="s">
        <v>6002</v>
      </c>
      <c r="O109" t="s">
        <v>6003</v>
      </c>
      <c r="P109" t="s">
        <v>6004</v>
      </c>
      <c r="Q109" t="s">
        <v>6005</v>
      </c>
      <c r="R109" t="s">
        <v>6006</v>
      </c>
      <c r="AI109" t="s">
        <v>6007</v>
      </c>
      <c r="AJ109" t="s">
        <v>6008</v>
      </c>
      <c r="AM109" t="s">
        <v>431</v>
      </c>
      <c r="AR109">
        <v>20275137</v>
      </c>
      <c r="AV109" t="s">
        <v>1796</v>
      </c>
      <c r="AW109" t="s">
        <v>6009</v>
      </c>
      <c r="AX109" t="s">
        <v>79</v>
      </c>
      <c r="AY109" t="s">
        <v>4620</v>
      </c>
      <c r="AZ109" t="s">
        <v>4688</v>
      </c>
      <c r="BA109" t="s">
        <v>4584</v>
      </c>
      <c r="BB109" t="s">
        <v>6010</v>
      </c>
    </row>
    <row r="110" spans="1:54" x14ac:dyDescent="0.25">
      <c r="A110" t="s">
        <v>6011</v>
      </c>
      <c r="B110" t="s">
        <v>6012</v>
      </c>
      <c r="C110" t="s">
        <v>6013</v>
      </c>
      <c r="D110">
        <v>2022</v>
      </c>
      <c r="E110" t="s">
        <v>6014</v>
      </c>
      <c r="F110">
        <v>11</v>
      </c>
      <c r="G110">
        <v>7</v>
      </c>
      <c r="H110">
        <v>300</v>
      </c>
      <c r="M110" t="s">
        <v>6015</v>
      </c>
      <c r="N110" t="s">
        <v>6016</v>
      </c>
      <c r="O110" t="s">
        <v>6017</v>
      </c>
      <c r="P110" t="s">
        <v>6018</v>
      </c>
      <c r="Q110" t="s">
        <v>6019</v>
      </c>
      <c r="R110" t="s">
        <v>6020</v>
      </c>
      <c r="AI110" t="s">
        <v>6021</v>
      </c>
      <c r="AJ110" t="s">
        <v>6022</v>
      </c>
      <c r="AM110" t="s">
        <v>92</v>
      </c>
      <c r="AR110">
        <v>20760760</v>
      </c>
      <c r="AV110" t="s">
        <v>78</v>
      </c>
      <c r="AW110" t="s">
        <v>6023</v>
      </c>
      <c r="AX110" t="s">
        <v>79</v>
      </c>
      <c r="AY110" t="s">
        <v>4620</v>
      </c>
      <c r="AZ110" t="s">
        <v>4672</v>
      </c>
      <c r="BA110" t="s">
        <v>4584</v>
      </c>
      <c r="BB110" t="s">
        <v>6024</v>
      </c>
    </row>
    <row r="111" spans="1:54" x14ac:dyDescent="0.25">
      <c r="A111" t="s">
        <v>6025</v>
      </c>
      <c r="B111" t="s">
        <v>6026</v>
      </c>
      <c r="C111" t="s">
        <v>6027</v>
      </c>
      <c r="D111">
        <v>2022</v>
      </c>
      <c r="E111" t="s">
        <v>6000</v>
      </c>
      <c r="G111">
        <v>25</v>
      </c>
      <c r="I111">
        <v>63</v>
      </c>
      <c r="J111">
        <v>101</v>
      </c>
      <c r="M111" t="s">
        <v>6028</v>
      </c>
      <c r="N111" t="s">
        <v>6029</v>
      </c>
      <c r="O111" t="s">
        <v>6030</v>
      </c>
      <c r="P111" t="s">
        <v>6031</v>
      </c>
      <c r="Q111" t="s">
        <v>6032</v>
      </c>
      <c r="R111" t="s">
        <v>6033</v>
      </c>
      <c r="AI111" t="s">
        <v>6034</v>
      </c>
      <c r="AJ111" t="s">
        <v>6035</v>
      </c>
    </row>
    <row r="112" spans="1:54" x14ac:dyDescent="0.25">
      <c r="A112" t="s">
        <v>4594</v>
      </c>
      <c r="B112" t="s">
        <v>10723</v>
      </c>
      <c r="E112" t="s">
        <v>431</v>
      </c>
      <c r="J112">
        <v>20275137</v>
      </c>
      <c r="N112" t="s">
        <v>1234</v>
      </c>
      <c r="O112" t="s">
        <v>6009</v>
      </c>
      <c r="P112" t="s">
        <v>79</v>
      </c>
      <c r="Q112" t="s">
        <v>4620</v>
      </c>
      <c r="R112" t="s">
        <v>4688</v>
      </c>
      <c r="S112" t="s">
        <v>4584</v>
      </c>
      <c r="T112" t="s">
        <v>6036</v>
      </c>
    </row>
    <row r="113" spans="1:54" x14ac:dyDescent="0.25">
      <c r="A113" t="s">
        <v>6037</v>
      </c>
      <c r="B113" t="s">
        <v>6038</v>
      </c>
      <c r="C113" t="s">
        <v>6039</v>
      </c>
      <c r="D113">
        <v>2022</v>
      </c>
      <c r="E113" t="s">
        <v>6000</v>
      </c>
      <c r="G113">
        <v>25</v>
      </c>
      <c r="I113">
        <v>345</v>
      </c>
      <c r="J113">
        <v>381</v>
      </c>
      <c r="M113" t="s">
        <v>2435</v>
      </c>
      <c r="N113" t="s">
        <v>6040</v>
      </c>
      <c r="O113" t="s">
        <v>6041</v>
      </c>
      <c r="P113" t="s">
        <v>6042</v>
      </c>
      <c r="Q113" t="s">
        <v>6043</v>
      </c>
      <c r="R113" t="s">
        <v>6044</v>
      </c>
      <c r="AI113" t="s">
        <v>6045</v>
      </c>
      <c r="AJ113" t="s">
        <v>6046</v>
      </c>
    </row>
    <row r="114" spans="1:54" x14ac:dyDescent="0.25">
      <c r="A114" t="s">
        <v>4582</v>
      </c>
      <c r="B114" t="s">
        <v>10724</v>
      </c>
      <c r="E114" t="s">
        <v>431</v>
      </c>
      <c r="J114">
        <v>20275137</v>
      </c>
      <c r="N114" t="s">
        <v>1234</v>
      </c>
      <c r="O114" t="s">
        <v>6009</v>
      </c>
      <c r="P114" t="s">
        <v>79</v>
      </c>
      <c r="Q114" t="s">
        <v>4620</v>
      </c>
      <c r="R114" t="s">
        <v>4688</v>
      </c>
      <c r="S114" t="s">
        <v>4584</v>
      </c>
      <c r="T114" t="s">
        <v>6047</v>
      </c>
    </row>
    <row r="115" spans="1:54" x14ac:dyDescent="0.25">
      <c r="A115" t="s">
        <v>6048</v>
      </c>
      <c r="B115" t="s">
        <v>6049</v>
      </c>
      <c r="C115" t="s">
        <v>6050</v>
      </c>
      <c r="D115">
        <v>2022</v>
      </c>
      <c r="E115" t="s">
        <v>6000</v>
      </c>
      <c r="G115">
        <v>25</v>
      </c>
      <c r="I115">
        <v>383</v>
      </c>
      <c r="J115">
        <v>396</v>
      </c>
      <c r="M115" t="s">
        <v>6051</v>
      </c>
      <c r="N115" t="s">
        <v>6052</v>
      </c>
      <c r="O115" t="s">
        <v>6053</v>
      </c>
      <c r="P115" t="s">
        <v>6054</v>
      </c>
      <c r="Q115" t="s">
        <v>10704</v>
      </c>
      <c r="AI115" t="s">
        <v>6055</v>
      </c>
      <c r="AJ115" t="s">
        <v>6056</v>
      </c>
      <c r="AM115" t="s">
        <v>431</v>
      </c>
      <c r="AR115">
        <v>20275137</v>
      </c>
      <c r="AV115" t="s">
        <v>1234</v>
      </c>
      <c r="AW115" t="s">
        <v>6009</v>
      </c>
      <c r="AX115" t="s">
        <v>162</v>
      </c>
      <c r="AY115" t="s">
        <v>4620</v>
      </c>
      <c r="AZ115" t="s">
        <v>4688</v>
      </c>
      <c r="BA115" t="s">
        <v>4584</v>
      </c>
      <c r="BB115" t="s">
        <v>6057</v>
      </c>
    </row>
    <row r="116" spans="1:54" x14ac:dyDescent="0.25">
      <c r="A116" t="s">
        <v>6058</v>
      </c>
      <c r="B116" t="s">
        <v>6059</v>
      </c>
      <c r="C116" t="s">
        <v>6060</v>
      </c>
      <c r="D116">
        <v>2022</v>
      </c>
      <c r="E116" t="s">
        <v>6000</v>
      </c>
      <c r="G116">
        <v>25</v>
      </c>
      <c r="I116">
        <v>171</v>
      </c>
      <c r="J116">
        <v>206</v>
      </c>
      <c r="M116" t="s">
        <v>4579</v>
      </c>
      <c r="N116" t="s">
        <v>6061</v>
      </c>
      <c r="O116" t="s">
        <v>6062</v>
      </c>
      <c r="P116" t="s">
        <v>6063</v>
      </c>
      <c r="Q116" t="s">
        <v>6064</v>
      </c>
      <c r="R116" t="s">
        <v>6065</v>
      </c>
      <c r="AI116" t="s">
        <v>6066</v>
      </c>
      <c r="AJ116" t="s">
        <v>6067</v>
      </c>
      <c r="AM116" t="s">
        <v>431</v>
      </c>
      <c r="AR116">
        <v>20275137</v>
      </c>
      <c r="AV116" t="s">
        <v>1234</v>
      </c>
      <c r="AW116" t="s">
        <v>6009</v>
      </c>
      <c r="AX116" t="s">
        <v>79</v>
      </c>
      <c r="AY116" t="s">
        <v>4620</v>
      </c>
      <c r="AZ116" t="s">
        <v>4688</v>
      </c>
      <c r="BA116" t="s">
        <v>4584</v>
      </c>
      <c r="BB116" t="s">
        <v>6068</v>
      </c>
    </row>
    <row r="117" spans="1:54" x14ac:dyDescent="0.25">
      <c r="A117" t="s">
        <v>6069</v>
      </c>
      <c r="B117" t="s">
        <v>6070</v>
      </c>
      <c r="C117" t="s">
        <v>6071</v>
      </c>
      <c r="D117">
        <v>2022</v>
      </c>
      <c r="E117" t="s">
        <v>6000</v>
      </c>
      <c r="G117">
        <v>25</v>
      </c>
      <c r="I117">
        <v>11</v>
      </c>
      <c r="J117">
        <v>18</v>
      </c>
      <c r="M117" t="s">
        <v>4573</v>
      </c>
      <c r="N117" t="s">
        <v>6072</v>
      </c>
      <c r="O117" t="s">
        <v>6073</v>
      </c>
      <c r="P117" t="s">
        <v>6074</v>
      </c>
      <c r="Q117" t="s">
        <v>10704</v>
      </c>
      <c r="AJ117" t="s">
        <v>6075</v>
      </c>
      <c r="AM117" t="s">
        <v>431</v>
      </c>
      <c r="AR117">
        <v>20275137</v>
      </c>
      <c r="AV117" t="s">
        <v>1234</v>
      </c>
      <c r="AW117" t="s">
        <v>6009</v>
      </c>
      <c r="AX117" t="s">
        <v>162</v>
      </c>
      <c r="AY117" t="s">
        <v>4620</v>
      </c>
      <c r="AZ117" t="s">
        <v>4672</v>
      </c>
      <c r="BA117" t="s">
        <v>4584</v>
      </c>
      <c r="BB117" t="s">
        <v>6076</v>
      </c>
    </row>
    <row r="118" spans="1:54" x14ac:dyDescent="0.25">
      <c r="A118" t="s">
        <v>6077</v>
      </c>
      <c r="B118" t="s">
        <v>6078</v>
      </c>
      <c r="C118" t="s">
        <v>6079</v>
      </c>
      <c r="D118">
        <v>2022</v>
      </c>
      <c r="E118" t="s">
        <v>6000</v>
      </c>
      <c r="G118">
        <v>25</v>
      </c>
      <c r="I118">
        <v>397</v>
      </c>
      <c r="J118">
        <v>404</v>
      </c>
      <c r="M118" t="s">
        <v>6080</v>
      </c>
      <c r="N118" t="s">
        <v>6081</v>
      </c>
      <c r="O118" t="s">
        <v>6082</v>
      </c>
      <c r="P118" t="s">
        <v>6083</v>
      </c>
      <c r="Q118" t="s">
        <v>10704</v>
      </c>
      <c r="AM118" t="s">
        <v>431</v>
      </c>
      <c r="AR118">
        <v>20275137</v>
      </c>
      <c r="AV118" t="s">
        <v>1234</v>
      </c>
      <c r="AW118" t="s">
        <v>6009</v>
      </c>
      <c r="AX118" t="s">
        <v>162</v>
      </c>
      <c r="AY118" t="s">
        <v>4620</v>
      </c>
      <c r="AZ118" t="s">
        <v>4688</v>
      </c>
      <c r="BA118" t="s">
        <v>4584</v>
      </c>
      <c r="BB118" t="s">
        <v>6084</v>
      </c>
    </row>
    <row r="119" spans="1:54" x14ac:dyDescent="0.25">
      <c r="A119" t="s">
        <v>6085</v>
      </c>
      <c r="B119" t="s">
        <v>6086</v>
      </c>
      <c r="C119" t="s">
        <v>6087</v>
      </c>
      <c r="D119">
        <v>2022</v>
      </c>
      <c r="E119" t="s">
        <v>6000</v>
      </c>
      <c r="G119">
        <v>25</v>
      </c>
      <c r="I119">
        <v>21</v>
      </c>
      <c r="J119">
        <v>61</v>
      </c>
      <c r="M119" t="s">
        <v>6088</v>
      </c>
      <c r="N119" t="s">
        <v>6089</v>
      </c>
      <c r="O119" t="s">
        <v>6090</v>
      </c>
      <c r="P119" t="s">
        <v>6091</v>
      </c>
      <c r="Q119" t="s">
        <v>6092</v>
      </c>
      <c r="R119" t="s">
        <v>6093</v>
      </c>
      <c r="AI119" t="s">
        <v>6094</v>
      </c>
      <c r="AM119" t="s">
        <v>431</v>
      </c>
      <c r="AR119">
        <v>20275137</v>
      </c>
      <c r="AV119" t="s">
        <v>1796</v>
      </c>
      <c r="AW119" t="s">
        <v>6009</v>
      </c>
      <c r="AX119" t="s">
        <v>79</v>
      </c>
      <c r="AY119" t="s">
        <v>4620</v>
      </c>
      <c r="AZ119" t="s">
        <v>4688</v>
      </c>
      <c r="BA119" t="s">
        <v>4584</v>
      </c>
      <c r="BB119" t="s">
        <v>6095</v>
      </c>
    </row>
    <row r="120" spans="1:54" x14ac:dyDescent="0.25">
      <c r="A120" t="s">
        <v>6096</v>
      </c>
      <c r="B120" t="s">
        <v>6097</v>
      </c>
      <c r="C120" t="s">
        <v>6098</v>
      </c>
      <c r="D120">
        <v>2022</v>
      </c>
      <c r="E120" t="s">
        <v>6000</v>
      </c>
      <c r="G120">
        <v>25</v>
      </c>
      <c r="I120">
        <v>207</v>
      </c>
      <c r="J120">
        <v>241</v>
      </c>
      <c r="M120" t="s">
        <v>6099</v>
      </c>
      <c r="N120" t="s">
        <v>6100</v>
      </c>
      <c r="O120" t="s">
        <v>6101</v>
      </c>
      <c r="P120" t="s">
        <v>6102</v>
      </c>
      <c r="Q120" t="s">
        <v>6103</v>
      </c>
      <c r="R120" t="s">
        <v>6104</v>
      </c>
      <c r="AI120" t="s">
        <v>6105</v>
      </c>
      <c r="AJ120" t="s">
        <v>6106</v>
      </c>
      <c r="AM120" t="s">
        <v>431</v>
      </c>
      <c r="AR120">
        <v>20275137</v>
      </c>
      <c r="AV120" t="s">
        <v>1234</v>
      </c>
      <c r="AW120" t="s">
        <v>6009</v>
      </c>
      <c r="AX120" t="s">
        <v>79</v>
      </c>
      <c r="AY120" t="s">
        <v>4620</v>
      </c>
      <c r="AZ120" t="s">
        <v>4688</v>
      </c>
      <c r="BA120" t="s">
        <v>4584</v>
      </c>
      <c r="BB120" t="s">
        <v>6107</v>
      </c>
    </row>
    <row r="121" spans="1:54" x14ac:dyDescent="0.25">
      <c r="A121" t="s">
        <v>6108</v>
      </c>
      <c r="B121" t="s">
        <v>6109</v>
      </c>
      <c r="C121" t="s">
        <v>6110</v>
      </c>
      <c r="D121">
        <v>2022</v>
      </c>
      <c r="E121" t="s">
        <v>6000</v>
      </c>
      <c r="G121">
        <v>25</v>
      </c>
      <c r="I121">
        <v>309</v>
      </c>
      <c r="J121">
        <v>342</v>
      </c>
      <c r="M121" t="s">
        <v>6111</v>
      </c>
      <c r="N121" t="s">
        <v>6112</v>
      </c>
      <c r="O121" t="s">
        <v>6113</v>
      </c>
      <c r="P121" t="s">
        <v>6114</v>
      </c>
      <c r="Q121" t="s">
        <v>6115</v>
      </c>
      <c r="R121" t="s">
        <v>6116</v>
      </c>
      <c r="AI121" t="s">
        <v>6117</v>
      </c>
      <c r="AM121" t="s">
        <v>431</v>
      </c>
      <c r="AR121">
        <v>20275137</v>
      </c>
      <c r="AV121" t="s">
        <v>1796</v>
      </c>
      <c r="AW121" t="s">
        <v>6009</v>
      </c>
      <c r="AX121" t="s">
        <v>79</v>
      </c>
      <c r="AY121" t="s">
        <v>4620</v>
      </c>
      <c r="AZ121" t="s">
        <v>4688</v>
      </c>
      <c r="BA121" t="s">
        <v>4584</v>
      </c>
      <c r="BB121" t="s">
        <v>6118</v>
      </c>
    </row>
    <row r="122" spans="1:54" x14ac:dyDescent="0.25">
      <c r="A122" t="s">
        <v>6119</v>
      </c>
      <c r="B122" t="s">
        <v>6120</v>
      </c>
      <c r="C122" t="s">
        <v>6121</v>
      </c>
      <c r="D122">
        <v>2022</v>
      </c>
      <c r="E122" t="s">
        <v>6000</v>
      </c>
      <c r="G122">
        <v>25</v>
      </c>
      <c r="I122">
        <v>139</v>
      </c>
      <c r="J122">
        <v>170</v>
      </c>
      <c r="M122" t="s">
        <v>6122</v>
      </c>
      <c r="N122" t="s">
        <v>6123</v>
      </c>
      <c r="O122" t="s">
        <v>6124</v>
      </c>
      <c r="P122" t="s">
        <v>6125</v>
      </c>
      <c r="Q122" t="s">
        <v>6126</v>
      </c>
      <c r="R122" t="s">
        <v>6127</v>
      </c>
      <c r="AI122" t="s">
        <v>6128</v>
      </c>
      <c r="AJ122" t="s">
        <v>6129</v>
      </c>
    </row>
    <row r="123" spans="1:54" x14ac:dyDescent="0.25">
      <c r="A123" t="s">
        <v>10725</v>
      </c>
      <c r="B123" t="s">
        <v>10726</v>
      </c>
      <c r="E123" t="s">
        <v>431</v>
      </c>
      <c r="J123">
        <v>20275137</v>
      </c>
      <c r="N123" t="s">
        <v>1234</v>
      </c>
      <c r="O123" t="s">
        <v>6009</v>
      </c>
      <c r="P123" t="s">
        <v>79</v>
      </c>
      <c r="Q123" t="s">
        <v>4620</v>
      </c>
      <c r="R123" t="s">
        <v>4688</v>
      </c>
      <c r="S123" t="s">
        <v>4584</v>
      </c>
      <c r="T123" t="s">
        <v>6130</v>
      </c>
    </row>
    <row r="124" spans="1:54" x14ac:dyDescent="0.25">
      <c r="A124" t="s">
        <v>6131</v>
      </c>
      <c r="B124" t="s">
        <v>6132</v>
      </c>
      <c r="C124" t="s">
        <v>6133</v>
      </c>
      <c r="D124">
        <v>2022</v>
      </c>
      <c r="E124" t="s">
        <v>6000</v>
      </c>
      <c r="G124">
        <v>25</v>
      </c>
      <c r="I124">
        <v>243</v>
      </c>
      <c r="J124">
        <v>273</v>
      </c>
      <c r="M124" t="s">
        <v>6134</v>
      </c>
      <c r="N124" t="s">
        <v>6135</v>
      </c>
      <c r="O124" t="s">
        <v>6136</v>
      </c>
      <c r="P124" t="s">
        <v>6137</v>
      </c>
      <c r="Q124" t="s">
        <v>6138</v>
      </c>
      <c r="R124" t="s">
        <v>6139</v>
      </c>
      <c r="AI124" t="s">
        <v>6140</v>
      </c>
      <c r="AM124" t="s">
        <v>431</v>
      </c>
      <c r="AR124">
        <v>20275137</v>
      </c>
      <c r="AV124" t="s">
        <v>1234</v>
      </c>
      <c r="AW124" t="s">
        <v>6009</v>
      </c>
      <c r="AX124" t="s">
        <v>79</v>
      </c>
      <c r="AY124" t="s">
        <v>4620</v>
      </c>
      <c r="AZ124" t="s">
        <v>4688</v>
      </c>
      <c r="BA124" t="s">
        <v>4584</v>
      </c>
      <c r="BB124" t="s">
        <v>6141</v>
      </c>
    </row>
    <row r="125" spans="1:54" x14ac:dyDescent="0.25">
      <c r="A125" t="s">
        <v>6142</v>
      </c>
      <c r="B125" t="s">
        <v>6143</v>
      </c>
      <c r="C125" t="s">
        <v>6144</v>
      </c>
      <c r="D125">
        <v>2022</v>
      </c>
      <c r="E125" t="s">
        <v>6000</v>
      </c>
      <c r="G125">
        <v>25</v>
      </c>
      <c r="I125">
        <v>275</v>
      </c>
      <c r="J125">
        <v>308</v>
      </c>
      <c r="M125" t="s">
        <v>6145</v>
      </c>
      <c r="N125" t="s">
        <v>6146</v>
      </c>
      <c r="O125" t="s">
        <v>6147</v>
      </c>
      <c r="P125" t="s">
        <v>6148</v>
      </c>
      <c r="Q125" t="s">
        <v>6149</v>
      </c>
      <c r="R125" t="s">
        <v>6150</v>
      </c>
      <c r="AI125" t="s">
        <v>6151</v>
      </c>
      <c r="AJ125" t="s">
        <v>6152</v>
      </c>
      <c r="AM125" t="s">
        <v>431</v>
      </c>
      <c r="AR125">
        <v>20275137</v>
      </c>
      <c r="AV125" t="s">
        <v>78</v>
      </c>
      <c r="AW125" t="s">
        <v>6009</v>
      </c>
      <c r="AX125" t="s">
        <v>79</v>
      </c>
      <c r="AY125" t="s">
        <v>4620</v>
      </c>
      <c r="AZ125" t="s">
        <v>4688</v>
      </c>
      <c r="BA125" t="s">
        <v>4584</v>
      </c>
      <c r="BB125" t="s">
        <v>6153</v>
      </c>
    </row>
    <row r="126" spans="1:54" x14ac:dyDescent="0.25">
      <c r="A126" t="s">
        <v>6154</v>
      </c>
      <c r="B126" t="s">
        <v>6155</v>
      </c>
      <c r="C126" t="s">
        <v>6156</v>
      </c>
      <c r="D126">
        <v>2022</v>
      </c>
      <c r="E126" t="s">
        <v>6157</v>
      </c>
      <c r="G126">
        <v>525</v>
      </c>
      <c r="I126">
        <v>223</v>
      </c>
      <c r="J126">
        <v>241</v>
      </c>
      <c r="M126" t="s">
        <v>6158</v>
      </c>
      <c r="N126" t="s">
        <v>6159</v>
      </c>
      <c r="O126" t="s">
        <v>6160</v>
      </c>
      <c r="P126" t="s">
        <v>6161</v>
      </c>
      <c r="Q126" t="s">
        <v>6162</v>
      </c>
      <c r="R126" t="s">
        <v>6163</v>
      </c>
      <c r="AI126" t="s">
        <v>6164</v>
      </c>
      <c r="AJ126" t="s">
        <v>6165</v>
      </c>
      <c r="AM126" t="s">
        <v>6166</v>
      </c>
      <c r="AR126">
        <v>7180462</v>
      </c>
      <c r="AV126" t="s">
        <v>1234</v>
      </c>
      <c r="AW126" t="s">
        <v>6157</v>
      </c>
      <c r="AX126" t="s">
        <v>79</v>
      </c>
      <c r="AY126" t="s">
        <v>4620</v>
      </c>
      <c r="AZ126" t="s">
        <v>5329</v>
      </c>
      <c r="BA126" t="s">
        <v>4584</v>
      </c>
      <c r="BB126" t="s">
        <v>6167</v>
      </c>
    </row>
    <row r="127" spans="1:54" x14ac:dyDescent="0.25">
      <c r="A127" t="s">
        <v>6168</v>
      </c>
      <c r="B127" t="s">
        <v>6169</v>
      </c>
      <c r="C127" t="s">
        <v>6170</v>
      </c>
      <c r="D127">
        <v>2022</v>
      </c>
      <c r="E127" t="s">
        <v>6171</v>
      </c>
      <c r="F127">
        <v>17</v>
      </c>
      <c r="G127" t="s">
        <v>6172</v>
      </c>
      <c r="H127" t="s">
        <v>6173</v>
      </c>
      <c r="L127">
        <v>1</v>
      </c>
      <c r="M127" t="s">
        <v>6174</v>
      </c>
      <c r="N127" t="s">
        <v>6175</v>
      </c>
      <c r="O127" t="s">
        <v>6176</v>
      </c>
      <c r="P127" t="s">
        <v>6177</v>
      </c>
      <c r="Q127" t="s">
        <v>6178</v>
      </c>
      <c r="S127" t="s">
        <v>6179</v>
      </c>
      <c r="AI127" t="s">
        <v>6180</v>
      </c>
      <c r="AJ127" t="s">
        <v>6181</v>
      </c>
      <c r="AM127" t="s">
        <v>6182</v>
      </c>
      <c r="AR127">
        <v>19326203</v>
      </c>
      <c r="AT127" t="s">
        <v>6183</v>
      </c>
      <c r="AU127">
        <v>35895627</v>
      </c>
      <c r="AV127" t="s">
        <v>78</v>
      </c>
      <c r="AW127" t="s">
        <v>6171</v>
      </c>
      <c r="AX127" t="s">
        <v>79</v>
      </c>
      <c r="AY127" t="s">
        <v>4620</v>
      </c>
      <c r="AZ127" t="s">
        <v>4688</v>
      </c>
      <c r="BA127" t="s">
        <v>4584</v>
      </c>
      <c r="BB127" t="s">
        <v>6184</v>
      </c>
    </row>
    <row r="128" spans="1:54" x14ac:dyDescent="0.25">
      <c r="A128" t="s">
        <v>6185</v>
      </c>
      <c r="B128" t="s">
        <v>6186</v>
      </c>
      <c r="C128" t="s">
        <v>4550</v>
      </c>
      <c r="D128">
        <v>2022</v>
      </c>
      <c r="E128" t="s">
        <v>6187</v>
      </c>
      <c r="F128">
        <v>8</v>
      </c>
      <c r="G128">
        <v>26</v>
      </c>
      <c r="H128" t="s">
        <v>4569</v>
      </c>
      <c r="L128">
        <v>3</v>
      </c>
      <c r="M128" t="s">
        <v>4570</v>
      </c>
      <c r="N128" t="s">
        <v>6188</v>
      </c>
      <c r="O128" t="s">
        <v>6189</v>
      </c>
      <c r="P128" t="s">
        <v>6190</v>
      </c>
      <c r="Q128" t="s">
        <v>6191</v>
      </c>
      <c r="S128" t="s">
        <v>6192</v>
      </c>
      <c r="X128" t="s">
        <v>6193</v>
      </c>
      <c r="Y128" t="s">
        <v>6194</v>
      </c>
      <c r="AI128" t="s">
        <v>6195</v>
      </c>
      <c r="AJ128" t="s">
        <v>6196</v>
      </c>
      <c r="AM128" t="s">
        <v>6197</v>
      </c>
      <c r="AR128">
        <v>23752548</v>
      </c>
      <c r="AU128">
        <v>35776785</v>
      </c>
      <c r="AV128" t="s">
        <v>78</v>
      </c>
      <c r="AW128" t="s">
        <v>4567</v>
      </c>
      <c r="AX128" t="s">
        <v>79</v>
      </c>
      <c r="AY128" t="s">
        <v>4620</v>
      </c>
      <c r="AZ128" t="s">
        <v>4688</v>
      </c>
      <c r="BA128" t="s">
        <v>4584</v>
      </c>
      <c r="BB128" t="s">
        <v>6198</v>
      </c>
    </row>
    <row r="129" spans="1:54" x14ac:dyDescent="0.25">
      <c r="A129" t="s">
        <v>6199</v>
      </c>
      <c r="B129" t="s">
        <v>6200</v>
      </c>
      <c r="C129" t="s">
        <v>627</v>
      </c>
      <c r="D129">
        <v>2022</v>
      </c>
      <c r="E129" t="s">
        <v>330</v>
      </c>
      <c r="F129">
        <v>22</v>
      </c>
      <c r="G129">
        <v>13</v>
      </c>
      <c r="H129">
        <v>4898</v>
      </c>
      <c r="M129" t="s">
        <v>638</v>
      </c>
      <c r="N129" t="s">
        <v>6201</v>
      </c>
      <c r="O129" t="s">
        <v>6202</v>
      </c>
      <c r="P129" t="s">
        <v>6203</v>
      </c>
      <c r="Q129" t="s">
        <v>6204</v>
      </c>
      <c r="R129" t="s">
        <v>6205</v>
      </c>
      <c r="S129" t="s">
        <v>6206</v>
      </c>
      <c r="X129" t="s">
        <v>6207</v>
      </c>
      <c r="Y129" t="s">
        <v>6208</v>
      </c>
      <c r="AI129" t="s">
        <v>6209</v>
      </c>
      <c r="AJ129" t="s">
        <v>6210</v>
      </c>
      <c r="AM129" t="s">
        <v>92</v>
      </c>
      <c r="AR129">
        <v>14248220</v>
      </c>
      <c r="AU129">
        <v>35808393</v>
      </c>
      <c r="AV129" t="s">
        <v>78</v>
      </c>
      <c r="AW129" t="s">
        <v>330</v>
      </c>
      <c r="AX129" t="s">
        <v>79</v>
      </c>
      <c r="AY129" t="s">
        <v>4620</v>
      </c>
      <c r="AZ129" t="s">
        <v>4688</v>
      </c>
      <c r="BA129" t="s">
        <v>4584</v>
      </c>
      <c r="BB129" t="s">
        <v>6211</v>
      </c>
    </row>
    <row r="130" spans="1:54" x14ac:dyDescent="0.25">
      <c r="A130" t="s">
        <v>6212</v>
      </c>
      <c r="B130" t="s">
        <v>6213</v>
      </c>
      <c r="C130" t="s">
        <v>3014</v>
      </c>
      <c r="D130">
        <v>2022</v>
      </c>
      <c r="E130" t="s">
        <v>355</v>
      </c>
      <c r="F130">
        <v>12</v>
      </c>
      <c r="G130">
        <v>7</v>
      </c>
      <c r="H130">
        <v>1582</v>
      </c>
      <c r="M130" t="s">
        <v>3028</v>
      </c>
      <c r="N130" t="s">
        <v>6214</v>
      </c>
      <c r="O130" t="s">
        <v>6215</v>
      </c>
      <c r="P130" t="s">
        <v>6216</v>
      </c>
      <c r="Q130" t="s">
        <v>6217</v>
      </c>
      <c r="R130" t="s">
        <v>6218</v>
      </c>
      <c r="Y130" t="s">
        <v>6219</v>
      </c>
      <c r="AI130" t="s">
        <v>6220</v>
      </c>
      <c r="AJ130" t="s">
        <v>6221</v>
      </c>
      <c r="AM130" t="s">
        <v>92</v>
      </c>
      <c r="AR130">
        <v>20734395</v>
      </c>
      <c r="AV130" t="s">
        <v>78</v>
      </c>
      <c r="AW130" t="s">
        <v>355</v>
      </c>
      <c r="AX130" t="s">
        <v>79</v>
      </c>
      <c r="AY130" t="s">
        <v>4620</v>
      </c>
      <c r="AZ130" t="s">
        <v>4672</v>
      </c>
      <c r="BA130" t="s">
        <v>4584</v>
      </c>
      <c r="BB130" t="s">
        <v>6222</v>
      </c>
    </row>
    <row r="131" spans="1:54" x14ac:dyDescent="0.25">
      <c r="A131" t="s">
        <v>6223</v>
      </c>
      <c r="B131" t="s">
        <v>6224</v>
      </c>
      <c r="C131" t="s">
        <v>3195</v>
      </c>
      <c r="D131">
        <v>2022</v>
      </c>
      <c r="E131" t="s">
        <v>6225</v>
      </c>
      <c r="F131">
        <v>114</v>
      </c>
      <c r="H131">
        <v>105402</v>
      </c>
      <c r="M131" t="s">
        <v>3213</v>
      </c>
      <c r="N131" t="s">
        <v>6226</v>
      </c>
      <c r="O131" t="s">
        <v>6227</v>
      </c>
      <c r="P131" t="s">
        <v>6228</v>
      </c>
      <c r="Q131" t="s">
        <v>6229</v>
      </c>
      <c r="R131" t="s">
        <v>6230</v>
      </c>
      <c r="S131" t="s">
        <v>6231</v>
      </c>
      <c r="AI131" t="s">
        <v>6232</v>
      </c>
      <c r="AJ131" t="s">
        <v>6233</v>
      </c>
      <c r="AM131" t="s">
        <v>6234</v>
      </c>
      <c r="AR131">
        <v>2606917</v>
      </c>
      <c r="AU131">
        <v>35594694</v>
      </c>
      <c r="AV131" t="s">
        <v>78</v>
      </c>
      <c r="AW131" t="s">
        <v>3212</v>
      </c>
      <c r="AX131" t="s">
        <v>79</v>
      </c>
      <c r="AY131" t="s">
        <v>4620</v>
      </c>
      <c r="AZ131" t="s">
        <v>6235</v>
      </c>
      <c r="BA131" t="s">
        <v>4584</v>
      </c>
      <c r="BB131" t="s">
        <v>6236</v>
      </c>
    </row>
    <row r="132" spans="1:54" x14ac:dyDescent="0.25">
      <c r="A132" t="s">
        <v>6237</v>
      </c>
      <c r="B132" t="s">
        <v>6238</v>
      </c>
      <c r="C132" t="s">
        <v>3280</v>
      </c>
      <c r="D132">
        <v>2022</v>
      </c>
      <c r="E132" t="s">
        <v>6239</v>
      </c>
      <c r="F132">
        <v>214</v>
      </c>
      <c r="H132">
        <v>103793</v>
      </c>
      <c r="M132" t="s">
        <v>3293</v>
      </c>
      <c r="N132" t="s">
        <v>6240</v>
      </c>
      <c r="O132" t="s">
        <v>6241</v>
      </c>
      <c r="P132" t="s">
        <v>6242</v>
      </c>
      <c r="Q132" t="s">
        <v>10704</v>
      </c>
      <c r="R132" t="s">
        <v>6243</v>
      </c>
      <c r="AI132" t="s">
        <v>6244</v>
      </c>
      <c r="AJ132" t="s">
        <v>6245</v>
      </c>
      <c r="AM132" t="s">
        <v>4650</v>
      </c>
      <c r="AR132">
        <v>9218181</v>
      </c>
      <c r="AT132" t="s">
        <v>6246</v>
      </c>
      <c r="AV132" t="s">
        <v>78</v>
      </c>
      <c r="AW132" t="s">
        <v>6247</v>
      </c>
      <c r="AX132" t="s">
        <v>5004</v>
      </c>
      <c r="AY132" t="s">
        <v>4620</v>
      </c>
      <c r="BA132" t="s">
        <v>4584</v>
      </c>
      <c r="BB132" t="s">
        <v>6248</v>
      </c>
    </row>
    <row r="133" spans="1:54" x14ac:dyDescent="0.25">
      <c r="A133" t="s">
        <v>6249</v>
      </c>
      <c r="B133" t="s">
        <v>6250</v>
      </c>
      <c r="C133" t="s">
        <v>6251</v>
      </c>
      <c r="D133">
        <v>2022</v>
      </c>
      <c r="E133" t="s">
        <v>6252</v>
      </c>
      <c r="F133">
        <v>281</v>
      </c>
      <c r="H133">
        <v>115762</v>
      </c>
      <c r="M133" t="s">
        <v>2909</v>
      </c>
      <c r="N133" t="s">
        <v>6253</v>
      </c>
      <c r="O133" t="s">
        <v>6254</v>
      </c>
      <c r="P133" t="s">
        <v>6255</v>
      </c>
      <c r="Q133" t="s">
        <v>6256</v>
      </c>
      <c r="AJ133" t="s">
        <v>6257</v>
      </c>
      <c r="AM133" t="s">
        <v>4635</v>
      </c>
      <c r="AR133">
        <v>9215107</v>
      </c>
      <c r="AT133" t="s">
        <v>6258</v>
      </c>
      <c r="AV133" t="s">
        <v>78</v>
      </c>
      <c r="AW133" t="s">
        <v>6259</v>
      </c>
      <c r="AX133" t="s">
        <v>6260</v>
      </c>
      <c r="AY133" t="s">
        <v>4620</v>
      </c>
      <c r="AZ133" t="s">
        <v>4768</v>
      </c>
      <c r="BA133" t="s">
        <v>4584</v>
      </c>
      <c r="BB133" t="s">
        <v>6261</v>
      </c>
    </row>
    <row r="134" spans="1:54" x14ac:dyDescent="0.25">
      <c r="A134" t="s">
        <v>6262</v>
      </c>
      <c r="B134" t="s">
        <v>6263</v>
      </c>
      <c r="C134" t="s">
        <v>211</v>
      </c>
      <c r="D134">
        <v>2022</v>
      </c>
      <c r="E134" t="s">
        <v>230</v>
      </c>
      <c r="F134">
        <v>19</v>
      </c>
      <c r="G134">
        <v>7</v>
      </c>
      <c r="I134">
        <v>1689</v>
      </c>
      <c r="J134">
        <v>1716</v>
      </c>
      <c r="L134">
        <v>1</v>
      </c>
      <c r="M134" t="s">
        <v>232</v>
      </c>
      <c r="N134" t="s">
        <v>6264</v>
      </c>
      <c r="O134" t="s">
        <v>6265</v>
      </c>
      <c r="P134" t="s">
        <v>6266</v>
      </c>
      <c r="Q134" t="s">
        <v>6267</v>
      </c>
      <c r="R134" t="s">
        <v>6268</v>
      </c>
      <c r="S134" t="s">
        <v>6269</v>
      </c>
      <c r="Y134" t="s">
        <v>6270</v>
      </c>
      <c r="AI134" t="s">
        <v>6271</v>
      </c>
      <c r="AJ134" t="s">
        <v>6272</v>
      </c>
      <c r="AM134" t="s">
        <v>4748</v>
      </c>
      <c r="AR134" t="s">
        <v>6273</v>
      </c>
      <c r="AV134" t="s">
        <v>78</v>
      </c>
      <c r="AW134" t="s">
        <v>230</v>
      </c>
      <c r="AX134" t="s">
        <v>79</v>
      </c>
      <c r="AY134" t="s">
        <v>4620</v>
      </c>
      <c r="BA134" t="s">
        <v>4584</v>
      </c>
      <c r="BB134" t="s">
        <v>6274</v>
      </c>
    </row>
    <row r="135" spans="1:54" x14ac:dyDescent="0.25">
      <c r="A135" t="s">
        <v>6275</v>
      </c>
      <c r="B135" t="s">
        <v>6276</v>
      </c>
      <c r="C135" t="s">
        <v>6277</v>
      </c>
      <c r="D135">
        <v>2022</v>
      </c>
      <c r="E135" t="s">
        <v>6278</v>
      </c>
      <c r="F135">
        <v>37</v>
      </c>
      <c r="G135" t="s">
        <v>6279</v>
      </c>
      <c r="I135" t="s">
        <v>6280</v>
      </c>
      <c r="J135" t="s">
        <v>6281</v>
      </c>
      <c r="L135">
        <v>1</v>
      </c>
      <c r="M135" t="s">
        <v>6282</v>
      </c>
      <c r="N135" t="s">
        <v>6283</v>
      </c>
      <c r="O135" t="s">
        <v>6284</v>
      </c>
      <c r="P135" t="s">
        <v>6285</v>
      </c>
      <c r="Q135" t="s">
        <v>6286</v>
      </c>
      <c r="R135" t="s">
        <v>6287</v>
      </c>
      <c r="S135" t="s">
        <v>6288</v>
      </c>
      <c r="Y135" t="s">
        <v>6289</v>
      </c>
      <c r="AI135" t="s">
        <v>6290</v>
      </c>
      <c r="AJ135" t="s">
        <v>6291</v>
      </c>
      <c r="AM135" t="s">
        <v>6292</v>
      </c>
      <c r="AR135">
        <v>8862605</v>
      </c>
      <c r="AU135">
        <v>33607931</v>
      </c>
      <c r="AV135" t="s">
        <v>78</v>
      </c>
      <c r="AW135" t="s">
        <v>6293</v>
      </c>
      <c r="AX135" t="s">
        <v>79</v>
      </c>
      <c r="AY135" t="s">
        <v>4620</v>
      </c>
      <c r="BA135" t="s">
        <v>4584</v>
      </c>
      <c r="BB135" t="s">
        <v>6294</v>
      </c>
    </row>
    <row r="136" spans="1:54" x14ac:dyDescent="0.25">
      <c r="A136" t="s">
        <v>6295</v>
      </c>
      <c r="B136" t="s">
        <v>6296</v>
      </c>
      <c r="C136" t="s">
        <v>6297</v>
      </c>
      <c r="D136">
        <v>2022</v>
      </c>
      <c r="E136" t="s">
        <v>6298</v>
      </c>
      <c r="F136">
        <v>51</v>
      </c>
      <c r="G136">
        <v>3</v>
      </c>
      <c r="I136">
        <v>176</v>
      </c>
      <c r="J136">
        <v>182</v>
      </c>
      <c r="M136" t="s">
        <v>4614</v>
      </c>
      <c r="N136" t="s">
        <v>6299</v>
      </c>
      <c r="O136" t="s">
        <v>6300</v>
      </c>
      <c r="P136" t="s">
        <v>6301</v>
      </c>
      <c r="Q136" t="s">
        <v>6302</v>
      </c>
      <c r="R136" t="s">
        <v>6303</v>
      </c>
      <c r="S136" t="s">
        <v>6304</v>
      </c>
      <c r="AI136" t="s">
        <v>6305</v>
      </c>
      <c r="AJ136" t="s">
        <v>6306</v>
      </c>
      <c r="AM136" t="s">
        <v>6307</v>
      </c>
      <c r="AR136">
        <v>347450</v>
      </c>
      <c r="AT136" t="s">
        <v>6308</v>
      </c>
      <c r="AU136">
        <v>33735043</v>
      </c>
      <c r="AV136" t="s">
        <v>5228</v>
      </c>
      <c r="AW136" t="s">
        <v>6309</v>
      </c>
      <c r="AX136" t="s">
        <v>79</v>
      </c>
      <c r="AY136" t="s">
        <v>4620</v>
      </c>
      <c r="BA136" t="s">
        <v>4584</v>
      </c>
      <c r="BB136" t="s">
        <v>6310</v>
      </c>
    </row>
    <row r="137" spans="1:54" x14ac:dyDescent="0.25">
      <c r="A137" t="s">
        <v>6311</v>
      </c>
      <c r="B137" t="s">
        <v>6312</v>
      </c>
      <c r="C137" t="s">
        <v>1834</v>
      </c>
      <c r="D137">
        <v>2022</v>
      </c>
      <c r="E137" t="s">
        <v>6313</v>
      </c>
      <c r="F137">
        <v>596</v>
      </c>
      <c r="H137">
        <v>127114</v>
      </c>
      <c r="M137" t="s">
        <v>1846</v>
      </c>
      <c r="N137" t="s">
        <v>6314</v>
      </c>
      <c r="O137" t="s">
        <v>6315</v>
      </c>
      <c r="P137" t="s">
        <v>6316</v>
      </c>
      <c r="Q137" t="s">
        <v>6317</v>
      </c>
      <c r="R137" t="s">
        <v>6318</v>
      </c>
      <c r="S137" t="s">
        <v>6319</v>
      </c>
      <c r="X137" t="s">
        <v>4690</v>
      </c>
      <c r="Y137" t="s">
        <v>6320</v>
      </c>
      <c r="AI137" t="s">
        <v>6321</v>
      </c>
      <c r="AJ137" t="s">
        <v>6322</v>
      </c>
      <c r="AM137" t="s">
        <v>4650</v>
      </c>
      <c r="AR137">
        <v>3784371</v>
      </c>
      <c r="AT137" t="s">
        <v>6323</v>
      </c>
      <c r="AV137" t="s">
        <v>78</v>
      </c>
      <c r="AW137" t="s">
        <v>6324</v>
      </c>
      <c r="AX137" t="s">
        <v>79</v>
      </c>
      <c r="AY137" t="s">
        <v>4620</v>
      </c>
      <c r="BA137" t="s">
        <v>4584</v>
      </c>
      <c r="BB137" t="s">
        <v>6325</v>
      </c>
    </row>
    <row r="138" spans="1:54" x14ac:dyDescent="0.25">
      <c r="A138" t="s">
        <v>6326</v>
      </c>
      <c r="B138" t="s">
        <v>6327</v>
      </c>
      <c r="C138" t="s">
        <v>558</v>
      </c>
      <c r="D138">
        <v>2022</v>
      </c>
      <c r="E138" t="s">
        <v>6328</v>
      </c>
      <c r="F138">
        <v>2022</v>
      </c>
      <c r="G138">
        <v>2</v>
      </c>
      <c r="H138" t="s">
        <v>574</v>
      </c>
      <c r="M138" t="s">
        <v>575</v>
      </c>
      <c r="N138" t="s">
        <v>6329</v>
      </c>
      <c r="O138" t="s">
        <v>6330</v>
      </c>
      <c r="P138" t="s">
        <v>6331</v>
      </c>
      <c r="Q138" t="s">
        <v>6332</v>
      </c>
      <c r="R138" t="s">
        <v>6333</v>
      </c>
      <c r="X138" t="s">
        <v>6334</v>
      </c>
      <c r="Y138" t="s">
        <v>6335</v>
      </c>
      <c r="AI138" t="s">
        <v>6336</v>
      </c>
      <c r="AJ138" t="s">
        <v>4772</v>
      </c>
    </row>
    <row r="139" spans="1:54" x14ac:dyDescent="0.25">
      <c r="A139" t="s">
        <v>4585</v>
      </c>
      <c r="B139" t="s">
        <v>10727</v>
      </c>
      <c r="C139" t="s">
        <v>10728</v>
      </c>
      <c r="D139" t="s">
        <v>10729</v>
      </c>
      <c r="G139" t="s">
        <v>92</v>
      </c>
      <c r="L139">
        <v>14228599</v>
      </c>
      <c r="P139" t="s">
        <v>78</v>
      </c>
      <c r="Q139" t="s">
        <v>6328</v>
      </c>
      <c r="R139" t="s">
        <v>79</v>
      </c>
      <c r="S139" t="s">
        <v>4620</v>
      </c>
      <c r="T139" t="s">
        <v>4672</v>
      </c>
      <c r="U139" t="s">
        <v>4584</v>
      </c>
      <c r="V139" t="s">
        <v>6337</v>
      </c>
    </row>
    <row r="140" spans="1:54" x14ac:dyDescent="0.25">
      <c r="A140" t="s">
        <v>6338</v>
      </c>
      <c r="B140" t="s">
        <v>6339</v>
      </c>
      <c r="C140" t="s">
        <v>3628</v>
      </c>
      <c r="D140">
        <v>2022</v>
      </c>
      <c r="E140" t="s">
        <v>6340</v>
      </c>
      <c r="F140">
        <v>15</v>
      </c>
      <c r="G140">
        <v>6</v>
      </c>
      <c r="I140">
        <v>1550</v>
      </c>
      <c r="J140">
        <v>1556</v>
      </c>
      <c r="M140" t="s">
        <v>3647</v>
      </c>
      <c r="N140" t="s">
        <v>6341</v>
      </c>
      <c r="O140" t="s">
        <v>6342</v>
      </c>
      <c r="P140" t="s">
        <v>6343</v>
      </c>
      <c r="Q140" t="s">
        <v>6344</v>
      </c>
      <c r="R140" t="s">
        <v>3630</v>
      </c>
      <c r="S140" t="s">
        <v>6345</v>
      </c>
      <c r="Y140" t="s">
        <v>6346</v>
      </c>
      <c r="Z140" t="s">
        <v>6347</v>
      </c>
      <c r="AI140" t="s">
        <v>6348</v>
      </c>
      <c r="AJ140" t="s">
        <v>6349</v>
      </c>
      <c r="AM140" t="s">
        <v>6340</v>
      </c>
      <c r="AR140">
        <v>9728988</v>
      </c>
      <c r="AV140" t="s">
        <v>78</v>
      </c>
      <c r="AW140" t="s">
        <v>3646</v>
      </c>
      <c r="AX140" t="s">
        <v>79</v>
      </c>
      <c r="AY140" t="s">
        <v>4620</v>
      </c>
      <c r="AZ140" t="s">
        <v>4688</v>
      </c>
      <c r="BA140" t="s">
        <v>4584</v>
      </c>
      <c r="BB140" t="s">
        <v>6350</v>
      </c>
    </row>
    <row r="141" spans="1:54" x14ac:dyDescent="0.25">
      <c r="A141" t="s">
        <v>6351</v>
      </c>
      <c r="B141" t="s">
        <v>6352</v>
      </c>
      <c r="C141" t="s">
        <v>6353</v>
      </c>
      <c r="D141">
        <v>2022</v>
      </c>
      <c r="E141" t="s">
        <v>6354</v>
      </c>
      <c r="F141">
        <v>52</v>
      </c>
      <c r="G141">
        <v>2</v>
      </c>
      <c r="I141">
        <v>275</v>
      </c>
      <c r="J141">
        <v>282</v>
      </c>
      <c r="M141" t="s">
        <v>6355</v>
      </c>
      <c r="N141" t="s">
        <v>6356</v>
      </c>
      <c r="O141" t="s">
        <v>6357</v>
      </c>
      <c r="P141" t="s">
        <v>6358</v>
      </c>
      <c r="Q141" t="s">
        <v>6359</v>
      </c>
      <c r="R141" t="s">
        <v>6360</v>
      </c>
      <c r="S141" t="s">
        <v>6361</v>
      </c>
      <c r="V141" t="s">
        <v>6362</v>
      </c>
      <c r="W141" t="s">
        <v>6363</v>
      </c>
      <c r="Y141" t="s">
        <v>6364</v>
      </c>
      <c r="AI141" t="s">
        <v>6365</v>
      </c>
      <c r="AJ141" t="s">
        <v>6366</v>
      </c>
      <c r="AM141" t="s">
        <v>6367</v>
      </c>
      <c r="AR141">
        <v>1256491</v>
      </c>
      <c r="AV141" t="s">
        <v>78</v>
      </c>
      <c r="AW141" t="s">
        <v>6368</v>
      </c>
      <c r="AX141" t="s">
        <v>79</v>
      </c>
      <c r="AY141" t="s">
        <v>4620</v>
      </c>
      <c r="BA141" t="s">
        <v>4584</v>
      </c>
      <c r="BB141" t="s">
        <v>6369</v>
      </c>
    </row>
    <row r="142" spans="1:54" x14ac:dyDescent="0.25">
      <c r="A142" t="s">
        <v>6370</v>
      </c>
      <c r="B142" t="s">
        <v>6371</v>
      </c>
      <c r="C142" t="s">
        <v>3300</v>
      </c>
      <c r="D142">
        <v>2022</v>
      </c>
      <c r="E142" t="s">
        <v>733</v>
      </c>
      <c r="F142">
        <v>10</v>
      </c>
      <c r="G142">
        <v>12</v>
      </c>
      <c r="H142">
        <v>2100</v>
      </c>
      <c r="L142">
        <v>1</v>
      </c>
      <c r="M142" t="s">
        <v>3316</v>
      </c>
      <c r="N142" t="s">
        <v>6372</v>
      </c>
      <c r="O142" t="s">
        <v>6373</v>
      </c>
      <c r="P142" t="s">
        <v>6374</v>
      </c>
      <c r="Q142" t="s">
        <v>6375</v>
      </c>
      <c r="R142" t="s">
        <v>6376</v>
      </c>
      <c r="X142" t="s">
        <v>6377</v>
      </c>
      <c r="Y142" t="s">
        <v>6378</v>
      </c>
      <c r="Z142" t="s">
        <v>6379</v>
      </c>
      <c r="AI142" t="s">
        <v>6380</v>
      </c>
      <c r="AJ142" t="s">
        <v>6381</v>
      </c>
      <c r="AM142" t="s">
        <v>92</v>
      </c>
      <c r="AR142">
        <v>22277390</v>
      </c>
      <c r="AV142" t="s">
        <v>78</v>
      </c>
      <c r="AW142" t="s">
        <v>733</v>
      </c>
      <c r="AX142" t="s">
        <v>79</v>
      </c>
      <c r="AY142" t="s">
        <v>4620</v>
      </c>
      <c r="AZ142" t="s">
        <v>4672</v>
      </c>
      <c r="BA142" t="s">
        <v>4584</v>
      </c>
      <c r="BB142" t="s">
        <v>6382</v>
      </c>
    </row>
    <row r="143" spans="1:54" x14ac:dyDescent="0.25">
      <c r="A143" t="s">
        <v>6383</v>
      </c>
      <c r="B143" t="s">
        <v>6384</v>
      </c>
      <c r="C143" t="s">
        <v>108</v>
      </c>
      <c r="D143">
        <v>2022</v>
      </c>
      <c r="E143" t="s">
        <v>123</v>
      </c>
      <c r="F143">
        <v>15</v>
      </c>
      <c r="G143">
        <v>6</v>
      </c>
      <c r="H143">
        <v>687</v>
      </c>
      <c r="M143" t="s">
        <v>125</v>
      </c>
      <c r="N143" t="s">
        <v>6385</v>
      </c>
      <c r="O143" t="s">
        <v>6386</v>
      </c>
      <c r="P143" t="s">
        <v>6387</v>
      </c>
      <c r="Q143" t="s">
        <v>6388</v>
      </c>
      <c r="R143" t="s">
        <v>6389</v>
      </c>
      <c r="S143" t="s">
        <v>6390</v>
      </c>
      <c r="U143" t="s">
        <v>6391</v>
      </c>
      <c r="X143" t="s">
        <v>6392</v>
      </c>
      <c r="Y143" t="s">
        <v>6393</v>
      </c>
      <c r="Z143" t="s">
        <v>6394</v>
      </c>
      <c r="AI143" t="s">
        <v>6395</v>
      </c>
      <c r="AJ143" t="s">
        <v>6396</v>
      </c>
      <c r="AM143" t="s">
        <v>92</v>
      </c>
      <c r="AR143">
        <v>14248247</v>
      </c>
      <c r="AV143" t="s">
        <v>78</v>
      </c>
      <c r="AW143" t="s">
        <v>123</v>
      </c>
      <c r="AX143" t="s">
        <v>79</v>
      </c>
      <c r="AY143" t="s">
        <v>4620</v>
      </c>
      <c r="AZ143" t="s">
        <v>4688</v>
      </c>
      <c r="BA143" t="s">
        <v>4584</v>
      </c>
      <c r="BB143" t="s">
        <v>6397</v>
      </c>
    </row>
    <row r="144" spans="1:54" x14ac:dyDescent="0.25">
      <c r="A144" t="s">
        <v>6398</v>
      </c>
      <c r="B144" t="s">
        <v>6399</v>
      </c>
      <c r="C144" t="s">
        <v>314</v>
      </c>
      <c r="D144">
        <v>2022</v>
      </c>
      <c r="E144" t="s">
        <v>330</v>
      </c>
      <c r="F144">
        <v>22</v>
      </c>
      <c r="G144">
        <v>12</v>
      </c>
      <c r="H144">
        <v>4559</v>
      </c>
      <c r="L144">
        <v>1</v>
      </c>
      <c r="M144" t="s">
        <v>331</v>
      </c>
      <c r="N144" t="s">
        <v>6400</v>
      </c>
      <c r="O144" t="s">
        <v>6401</v>
      </c>
      <c r="P144" t="s">
        <v>6402</v>
      </c>
      <c r="Q144" t="s">
        <v>6403</v>
      </c>
      <c r="R144" t="s">
        <v>6404</v>
      </c>
      <c r="S144" t="s">
        <v>6405</v>
      </c>
      <c r="X144" t="s">
        <v>6406</v>
      </c>
      <c r="Y144" t="s">
        <v>6407</v>
      </c>
      <c r="AI144" t="s">
        <v>6408</v>
      </c>
      <c r="AJ144" t="s">
        <v>6409</v>
      </c>
      <c r="AM144" t="s">
        <v>92</v>
      </c>
      <c r="AR144">
        <v>14248220</v>
      </c>
      <c r="AU144">
        <v>35746340</v>
      </c>
      <c r="AV144" t="s">
        <v>78</v>
      </c>
      <c r="AW144" t="s">
        <v>330</v>
      </c>
      <c r="AX144" t="s">
        <v>79</v>
      </c>
      <c r="AY144" t="s">
        <v>4620</v>
      </c>
      <c r="AZ144" t="s">
        <v>4688</v>
      </c>
      <c r="BA144" t="s">
        <v>4584</v>
      </c>
      <c r="BB144" t="s">
        <v>6410</v>
      </c>
    </row>
    <row r="145" spans="1:54" x14ac:dyDescent="0.25">
      <c r="A145" t="s">
        <v>6411</v>
      </c>
      <c r="B145" t="s">
        <v>10730</v>
      </c>
      <c r="C145" t="s">
        <v>473</v>
      </c>
      <c r="D145">
        <v>2022</v>
      </c>
      <c r="E145" t="s">
        <v>489</v>
      </c>
      <c r="F145">
        <v>8</v>
      </c>
      <c r="G145">
        <v>6</v>
      </c>
      <c r="H145" t="s">
        <v>490</v>
      </c>
      <c r="L145">
        <v>1</v>
      </c>
      <c r="M145" t="s">
        <v>491</v>
      </c>
      <c r="N145" t="s">
        <v>6412</v>
      </c>
      <c r="O145" t="s">
        <v>6413</v>
      </c>
      <c r="P145" t="s">
        <v>6414</v>
      </c>
      <c r="Q145" t="s">
        <v>6415</v>
      </c>
      <c r="R145" t="s">
        <v>6416</v>
      </c>
      <c r="X145" t="s">
        <v>6417</v>
      </c>
      <c r="Y145" t="s">
        <v>6418</v>
      </c>
      <c r="Z145" t="s">
        <v>6419</v>
      </c>
      <c r="AI145" t="s">
        <v>6420</v>
      </c>
      <c r="AJ145" t="s">
        <v>6421</v>
      </c>
      <c r="AM145" t="s">
        <v>4635</v>
      </c>
      <c r="AR145">
        <v>24058440</v>
      </c>
      <c r="AV145" t="s">
        <v>78</v>
      </c>
      <c r="AW145" t="s">
        <v>489</v>
      </c>
      <c r="AX145" t="s">
        <v>79</v>
      </c>
      <c r="AY145" t="s">
        <v>4620</v>
      </c>
      <c r="AZ145" t="s">
        <v>4688</v>
      </c>
      <c r="BA145" t="s">
        <v>4584</v>
      </c>
      <c r="BB145" t="s">
        <v>6422</v>
      </c>
    </row>
    <row r="146" spans="1:54" x14ac:dyDescent="0.25">
      <c r="A146" t="s">
        <v>6423</v>
      </c>
      <c r="B146" t="s">
        <v>6424</v>
      </c>
      <c r="C146" t="s">
        <v>6425</v>
      </c>
      <c r="D146">
        <v>2022</v>
      </c>
      <c r="E146" t="s">
        <v>6426</v>
      </c>
      <c r="F146">
        <v>25</v>
      </c>
      <c r="G146">
        <v>2</v>
      </c>
      <c r="I146">
        <v>175</v>
      </c>
      <c r="J146">
        <v>186</v>
      </c>
      <c r="M146" t="s">
        <v>6427</v>
      </c>
      <c r="N146" t="s">
        <v>6428</v>
      </c>
      <c r="O146" t="s">
        <v>6429</v>
      </c>
      <c r="P146" t="s">
        <v>6430</v>
      </c>
      <c r="Q146" t="s">
        <v>6431</v>
      </c>
      <c r="R146" t="s">
        <v>6432</v>
      </c>
      <c r="S146" t="s">
        <v>6433</v>
      </c>
      <c r="U146" t="s">
        <v>6434</v>
      </c>
      <c r="AI146" t="s">
        <v>6435</v>
      </c>
      <c r="AJ146" t="s">
        <v>6436</v>
      </c>
      <c r="AM146" t="s">
        <v>6437</v>
      </c>
      <c r="AR146">
        <v>13111477</v>
      </c>
      <c r="AV146" t="s">
        <v>78</v>
      </c>
      <c r="AW146" t="s">
        <v>6438</v>
      </c>
      <c r="AX146" t="s">
        <v>162</v>
      </c>
      <c r="AY146" t="s">
        <v>4620</v>
      </c>
      <c r="BA146" t="s">
        <v>4584</v>
      </c>
      <c r="BB146" t="s">
        <v>6439</v>
      </c>
    </row>
    <row r="147" spans="1:54" x14ac:dyDescent="0.25">
      <c r="A147" t="s">
        <v>6440</v>
      </c>
      <c r="B147" t="s">
        <v>6441</v>
      </c>
      <c r="C147" t="s">
        <v>6442</v>
      </c>
      <c r="D147">
        <v>2022</v>
      </c>
      <c r="E147" t="s">
        <v>6443</v>
      </c>
      <c r="F147">
        <v>233</v>
      </c>
      <c r="G147">
        <v>6</v>
      </c>
      <c r="H147">
        <v>217</v>
      </c>
      <c r="M147" t="s">
        <v>6444</v>
      </c>
      <c r="N147" t="s">
        <v>6445</v>
      </c>
      <c r="O147" t="s">
        <v>6446</v>
      </c>
      <c r="P147" t="s">
        <v>6447</v>
      </c>
      <c r="Q147" t="s">
        <v>6448</v>
      </c>
      <c r="R147" t="s">
        <v>6449</v>
      </c>
      <c r="S147" t="s">
        <v>6450</v>
      </c>
      <c r="Y147" t="s">
        <v>6451</v>
      </c>
      <c r="AI147" t="s">
        <v>6452</v>
      </c>
      <c r="AJ147" t="s">
        <v>6453</v>
      </c>
      <c r="AM147" t="s">
        <v>4748</v>
      </c>
      <c r="AR147">
        <v>496979</v>
      </c>
      <c r="AT147" t="s">
        <v>6454</v>
      </c>
      <c r="AV147" t="s">
        <v>78</v>
      </c>
      <c r="AW147" t="s">
        <v>6455</v>
      </c>
      <c r="AX147" t="s">
        <v>79</v>
      </c>
      <c r="AY147" t="s">
        <v>4620</v>
      </c>
      <c r="BA147" t="s">
        <v>4584</v>
      </c>
      <c r="BB147" t="s">
        <v>6456</v>
      </c>
    </row>
    <row r="148" spans="1:54" x14ac:dyDescent="0.25">
      <c r="A148" t="s">
        <v>6457</v>
      </c>
      <c r="B148" t="s">
        <v>6458</v>
      </c>
      <c r="C148" t="s">
        <v>541</v>
      </c>
      <c r="D148">
        <v>2022</v>
      </c>
      <c r="E148" t="s">
        <v>330</v>
      </c>
      <c r="F148">
        <v>22</v>
      </c>
      <c r="G148">
        <v>11</v>
      </c>
      <c r="H148">
        <v>3999</v>
      </c>
      <c r="L148">
        <v>1</v>
      </c>
      <c r="M148" t="s">
        <v>553</v>
      </c>
      <c r="N148" t="s">
        <v>6459</v>
      </c>
      <c r="O148" t="s">
        <v>6460</v>
      </c>
      <c r="P148" t="s">
        <v>6461</v>
      </c>
      <c r="Q148" t="s">
        <v>6462</v>
      </c>
      <c r="R148" t="s">
        <v>6463</v>
      </c>
      <c r="S148" t="s">
        <v>6464</v>
      </c>
      <c r="X148" t="s">
        <v>6465</v>
      </c>
      <c r="Y148" t="s">
        <v>6466</v>
      </c>
      <c r="AI148" t="s">
        <v>6467</v>
      </c>
      <c r="AJ148" t="s">
        <v>6468</v>
      </c>
      <c r="AM148" t="s">
        <v>92</v>
      </c>
      <c r="AR148">
        <v>14248220</v>
      </c>
      <c r="AU148">
        <v>35684618</v>
      </c>
      <c r="AV148" t="s">
        <v>78</v>
      </c>
      <c r="AW148" t="s">
        <v>330</v>
      </c>
      <c r="AX148" t="s">
        <v>79</v>
      </c>
      <c r="AY148" t="s">
        <v>4620</v>
      </c>
      <c r="AZ148" t="s">
        <v>4688</v>
      </c>
      <c r="BA148" t="s">
        <v>4584</v>
      </c>
      <c r="BB148" t="s">
        <v>6469</v>
      </c>
    </row>
    <row r="149" spans="1:54" x14ac:dyDescent="0.25">
      <c r="A149" t="s">
        <v>6470</v>
      </c>
      <c r="B149" t="s">
        <v>6471</v>
      </c>
      <c r="C149" t="s">
        <v>3157</v>
      </c>
      <c r="D149">
        <v>2022</v>
      </c>
      <c r="E149" t="s">
        <v>6472</v>
      </c>
      <c r="F149">
        <v>14</v>
      </c>
      <c r="G149">
        <v>2</v>
      </c>
      <c r="I149">
        <v>103</v>
      </c>
      <c r="J149">
        <v>115</v>
      </c>
      <c r="M149" t="s">
        <v>3172</v>
      </c>
      <c r="N149" t="s">
        <v>6473</v>
      </c>
      <c r="O149" t="s">
        <v>6474</v>
      </c>
      <c r="P149" t="s">
        <v>6475</v>
      </c>
      <c r="Q149" t="s">
        <v>6476</v>
      </c>
      <c r="R149" t="s">
        <v>6477</v>
      </c>
      <c r="Y149" t="s">
        <v>6478</v>
      </c>
      <c r="AI149" t="s">
        <v>6479</v>
      </c>
      <c r="AJ149" t="s">
        <v>6480</v>
      </c>
    </row>
    <row r="150" spans="1:54" x14ac:dyDescent="0.25">
      <c r="A150" t="s">
        <v>6481</v>
      </c>
      <c r="B150" t="s">
        <v>10731</v>
      </c>
      <c r="C150" t="s">
        <v>10732</v>
      </c>
    </row>
    <row r="151" spans="1:54" x14ac:dyDescent="0.25">
      <c r="A151" t="s">
        <v>6482</v>
      </c>
      <c r="B151" t="s">
        <v>10733</v>
      </c>
      <c r="C151" t="s">
        <v>10734</v>
      </c>
      <c r="F151" t="s">
        <v>6483</v>
      </c>
      <c r="K151">
        <v>20700466</v>
      </c>
      <c r="O151" t="s">
        <v>78</v>
      </c>
      <c r="P151" t="s">
        <v>6484</v>
      </c>
      <c r="Q151" t="s">
        <v>79</v>
      </c>
      <c r="R151" t="s">
        <v>4620</v>
      </c>
      <c r="T151" t="s">
        <v>4584</v>
      </c>
      <c r="U151" t="s">
        <v>6485</v>
      </c>
    </row>
    <row r="152" spans="1:54" x14ac:dyDescent="0.25">
      <c r="A152" t="s">
        <v>6486</v>
      </c>
      <c r="B152" t="s">
        <v>6487</v>
      </c>
      <c r="C152" t="s">
        <v>6488</v>
      </c>
      <c r="D152">
        <v>2022</v>
      </c>
      <c r="E152" t="s">
        <v>6489</v>
      </c>
      <c r="F152">
        <v>43</v>
      </c>
      <c r="H152">
        <v>100477</v>
      </c>
      <c r="M152" t="s">
        <v>3683</v>
      </c>
      <c r="N152" t="s">
        <v>6490</v>
      </c>
      <c r="O152" t="s">
        <v>6491</v>
      </c>
      <c r="P152" t="s">
        <v>6492</v>
      </c>
      <c r="Q152" t="s">
        <v>10704</v>
      </c>
      <c r="R152" t="s">
        <v>6493</v>
      </c>
      <c r="S152" t="s">
        <v>6494</v>
      </c>
      <c r="AI152" t="s">
        <v>6495</v>
      </c>
      <c r="AJ152" t="s">
        <v>6496</v>
      </c>
      <c r="AM152" t="s">
        <v>4635</v>
      </c>
      <c r="AR152">
        <v>24058572</v>
      </c>
      <c r="AV152" t="s">
        <v>78</v>
      </c>
      <c r="AW152" t="s">
        <v>6497</v>
      </c>
      <c r="AX152" t="s">
        <v>1816</v>
      </c>
      <c r="AY152" t="s">
        <v>4620</v>
      </c>
      <c r="AZ152" t="s">
        <v>4672</v>
      </c>
      <c r="BA152" t="s">
        <v>4584</v>
      </c>
      <c r="BB152" t="s">
        <v>6498</v>
      </c>
    </row>
    <row r="153" spans="1:54" x14ac:dyDescent="0.25">
      <c r="A153" t="s">
        <v>6249</v>
      </c>
      <c r="B153" t="s">
        <v>6250</v>
      </c>
      <c r="C153" t="s">
        <v>6499</v>
      </c>
      <c r="D153">
        <v>2022</v>
      </c>
      <c r="E153" t="s">
        <v>6252</v>
      </c>
      <c r="F153">
        <v>280</v>
      </c>
      <c r="H153">
        <v>115719</v>
      </c>
      <c r="L153">
        <v>1</v>
      </c>
      <c r="M153" t="s">
        <v>2804</v>
      </c>
      <c r="N153" t="s">
        <v>6500</v>
      </c>
      <c r="O153" t="s">
        <v>6501</v>
      </c>
      <c r="P153" t="s">
        <v>6502</v>
      </c>
      <c r="Q153" t="s">
        <v>6503</v>
      </c>
      <c r="R153" t="s">
        <v>6504</v>
      </c>
      <c r="S153" t="s">
        <v>6505</v>
      </c>
      <c r="Y153" t="s">
        <v>6506</v>
      </c>
      <c r="AI153" t="s">
        <v>6507</v>
      </c>
      <c r="AJ153" t="s">
        <v>6257</v>
      </c>
      <c r="AM153" t="s">
        <v>4635</v>
      </c>
      <c r="AR153">
        <v>9215107</v>
      </c>
      <c r="AT153" t="s">
        <v>6258</v>
      </c>
      <c r="AV153" t="s">
        <v>78</v>
      </c>
      <c r="AW153" t="s">
        <v>6259</v>
      </c>
      <c r="AX153" t="s">
        <v>6508</v>
      </c>
      <c r="AY153" t="s">
        <v>4620</v>
      </c>
      <c r="BA153" t="s">
        <v>4584</v>
      </c>
      <c r="BB153" t="s">
        <v>6509</v>
      </c>
    </row>
    <row r="154" spans="1:54" x14ac:dyDescent="0.25">
      <c r="A154" t="s">
        <v>6510</v>
      </c>
      <c r="B154" t="s">
        <v>6511</v>
      </c>
      <c r="C154" t="s">
        <v>6512</v>
      </c>
      <c r="D154">
        <v>2022</v>
      </c>
      <c r="E154" t="s">
        <v>6000</v>
      </c>
      <c r="G154">
        <v>24</v>
      </c>
      <c r="I154">
        <v>227</v>
      </c>
      <c r="J154">
        <v>264</v>
      </c>
      <c r="M154" t="s">
        <v>6513</v>
      </c>
      <c r="N154" t="s">
        <v>6514</v>
      </c>
      <c r="O154" t="s">
        <v>6515</v>
      </c>
      <c r="P154" t="s">
        <v>6516</v>
      </c>
      <c r="Q154" t="s">
        <v>6517</v>
      </c>
      <c r="R154" t="s">
        <v>6518</v>
      </c>
      <c r="AI154" t="s">
        <v>6519</v>
      </c>
      <c r="AM154" t="s">
        <v>6520</v>
      </c>
      <c r="AR154">
        <v>20275137</v>
      </c>
      <c r="AV154" t="s">
        <v>1796</v>
      </c>
      <c r="AW154" t="s">
        <v>6009</v>
      </c>
      <c r="AX154" t="s">
        <v>79</v>
      </c>
      <c r="AY154" t="s">
        <v>4620</v>
      </c>
      <c r="AZ154" t="s">
        <v>4688</v>
      </c>
      <c r="BA154" t="s">
        <v>4584</v>
      </c>
      <c r="BB154" t="s">
        <v>6521</v>
      </c>
    </row>
    <row r="155" spans="1:54" x14ac:dyDescent="0.25">
      <c r="A155" t="s">
        <v>6522</v>
      </c>
      <c r="B155" t="s">
        <v>6523</v>
      </c>
      <c r="C155" t="s">
        <v>6524</v>
      </c>
      <c r="D155">
        <v>2022</v>
      </c>
      <c r="E155" t="s">
        <v>6000</v>
      </c>
      <c r="G155">
        <v>24</v>
      </c>
      <c r="I155">
        <v>151</v>
      </c>
      <c r="J155">
        <v>176</v>
      </c>
      <c r="M155" t="s">
        <v>6525</v>
      </c>
      <c r="N155" t="s">
        <v>6526</v>
      </c>
      <c r="O155" t="s">
        <v>6527</v>
      </c>
      <c r="P155" t="s">
        <v>6528</v>
      </c>
      <c r="Q155" t="s">
        <v>6529</v>
      </c>
      <c r="R155" t="s">
        <v>6530</v>
      </c>
      <c r="AI155" t="s">
        <v>6531</v>
      </c>
      <c r="AJ155" t="s">
        <v>6532</v>
      </c>
      <c r="AM155" t="s">
        <v>6520</v>
      </c>
      <c r="AR155">
        <v>20275137</v>
      </c>
      <c r="AV155" t="s">
        <v>1234</v>
      </c>
      <c r="AW155" t="s">
        <v>6009</v>
      </c>
      <c r="AX155" t="s">
        <v>79</v>
      </c>
      <c r="AY155" t="s">
        <v>4620</v>
      </c>
      <c r="AZ155" t="s">
        <v>4688</v>
      </c>
      <c r="BA155" t="s">
        <v>4584</v>
      </c>
      <c r="BB155" t="s">
        <v>6533</v>
      </c>
    </row>
    <row r="156" spans="1:54" x14ac:dyDescent="0.25">
      <c r="A156" t="s">
        <v>6534</v>
      </c>
      <c r="B156" t="s">
        <v>6535</v>
      </c>
      <c r="C156" t="s">
        <v>6536</v>
      </c>
      <c r="D156">
        <v>2022</v>
      </c>
      <c r="E156" t="s">
        <v>6000</v>
      </c>
      <c r="G156">
        <v>24</v>
      </c>
      <c r="I156">
        <v>265</v>
      </c>
      <c r="J156">
        <v>303</v>
      </c>
      <c r="M156" t="s">
        <v>6537</v>
      </c>
      <c r="N156" t="s">
        <v>6538</v>
      </c>
      <c r="O156" t="s">
        <v>6539</v>
      </c>
      <c r="P156" t="s">
        <v>6540</v>
      </c>
      <c r="Q156" t="s">
        <v>6541</v>
      </c>
      <c r="R156" t="s">
        <v>6542</v>
      </c>
      <c r="AI156" t="s">
        <v>6543</v>
      </c>
      <c r="AJ156" t="s">
        <v>6544</v>
      </c>
      <c r="AM156" t="s">
        <v>6520</v>
      </c>
      <c r="AR156">
        <v>20275137</v>
      </c>
      <c r="AV156" t="s">
        <v>1234</v>
      </c>
      <c r="AW156" t="s">
        <v>6009</v>
      </c>
      <c r="AX156" t="s">
        <v>79</v>
      </c>
      <c r="AY156" t="s">
        <v>4620</v>
      </c>
      <c r="AZ156" t="s">
        <v>4688</v>
      </c>
      <c r="BA156" t="s">
        <v>4584</v>
      </c>
      <c r="BB156" t="s">
        <v>6545</v>
      </c>
    </row>
    <row r="157" spans="1:54" x14ac:dyDescent="0.25">
      <c r="A157" t="s">
        <v>6546</v>
      </c>
      <c r="B157" t="s">
        <v>6547</v>
      </c>
      <c r="C157" t="s">
        <v>6548</v>
      </c>
      <c r="D157">
        <v>2022</v>
      </c>
      <c r="E157" t="s">
        <v>6000</v>
      </c>
      <c r="G157">
        <v>24</v>
      </c>
      <c r="I157">
        <v>177</v>
      </c>
      <c r="J157">
        <v>224</v>
      </c>
      <c r="M157" t="s">
        <v>6549</v>
      </c>
      <c r="N157" t="s">
        <v>6550</v>
      </c>
      <c r="O157" t="s">
        <v>6551</v>
      </c>
      <c r="P157" t="s">
        <v>6552</v>
      </c>
      <c r="Q157" t="s">
        <v>6553</v>
      </c>
      <c r="R157" t="s">
        <v>6554</v>
      </c>
      <c r="AI157" t="s">
        <v>6555</v>
      </c>
      <c r="AJ157" t="s">
        <v>6556</v>
      </c>
      <c r="AM157" t="s">
        <v>6520</v>
      </c>
      <c r="AR157">
        <v>20275137</v>
      </c>
      <c r="AV157" t="s">
        <v>1234</v>
      </c>
      <c r="AW157" t="s">
        <v>6009</v>
      </c>
      <c r="AX157" t="s">
        <v>79</v>
      </c>
      <c r="AY157" t="s">
        <v>4620</v>
      </c>
      <c r="AZ157" t="s">
        <v>4672</v>
      </c>
      <c r="BA157" t="s">
        <v>4584</v>
      </c>
      <c r="BB157" t="s">
        <v>6557</v>
      </c>
    </row>
    <row r="158" spans="1:54" x14ac:dyDescent="0.25">
      <c r="A158" t="s">
        <v>6558</v>
      </c>
      <c r="B158" t="s">
        <v>6559</v>
      </c>
      <c r="C158" t="s">
        <v>6560</v>
      </c>
      <c r="D158">
        <v>2022</v>
      </c>
      <c r="E158" t="s">
        <v>6000</v>
      </c>
      <c r="G158">
        <v>24</v>
      </c>
      <c r="I158">
        <v>11</v>
      </c>
      <c r="J158">
        <v>18</v>
      </c>
      <c r="M158" t="s">
        <v>6561</v>
      </c>
      <c r="N158" t="s">
        <v>6562</v>
      </c>
      <c r="O158" t="s">
        <v>6563</v>
      </c>
      <c r="P158" t="s">
        <v>6564</v>
      </c>
      <c r="Q158" t="s">
        <v>10704</v>
      </c>
      <c r="AM158" t="s">
        <v>6520</v>
      </c>
      <c r="AR158">
        <v>20275137</v>
      </c>
      <c r="AV158" t="s">
        <v>1234</v>
      </c>
      <c r="AW158" t="s">
        <v>6009</v>
      </c>
      <c r="AX158" t="s">
        <v>1500</v>
      </c>
      <c r="AY158" t="s">
        <v>4620</v>
      </c>
      <c r="AZ158" t="s">
        <v>4672</v>
      </c>
      <c r="BA158" t="s">
        <v>4584</v>
      </c>
      <c r="BB158" t="s">
        <v>6565</v>
      </c>
    </row>
    <row r="159" spans="1:54" x14ac:dyDescent="0.25">
      <c r="A159" t="s">
        <v>6566</v>
      </c>
      <c r="B159" t="s">
        <v>6567</v>
      </c>
      <c r="C159" t="s">
        <v>6568</v>
      </c>
      <c r="D159">
        <v>2022</v>
      </c>
      <c r="E159" t="s">
        <v>6000</v>
      </c>
      <c r="G159">
        <v>24</v>
      </c>
      <c r="I159">
        <v>305</v>
      </c>
      <c r="J159">
        <v>343</v>
      </c>
      <c r="M159" t="s">
        <v>6569</v>
      </c>
      <c r="N159" t="s">
        <v>6570</v>
      </c>
      <c r="O159" t="s">
        <v>6571</v>
      </c>
      <c r="P159" t="s">
        <v>6572</v>
      </c>
      <c r="Q159" t="s">
        <v>6573</v>
      </c>
      <c r="R159" t="s">
        <v>6574</v>
      </c>
      <c r="AI159" t="s">
        <v>6575</v>
      </c>
      <c r="AJ159" t="s">
        <v>6576</v>
      </c>
      <c r="AM159" t="s">
        <v>6520</v>
      </c>
      <c r="AR159">
        <v>20275137</v>
      </c>
      <c r="AV159" t="s">
        <v>1234</v>
      </c>
      <c r="AW159" t="s">
        <v>6009</v>
      </c>
      <c r="AX159" t="s">
        <v>79</v>
      </c>
      <c r="AY159" t="s">
        <v>4620</v>
      </c>
      <c r="AZ159" t="s">
        <v>4672</v>
      </c>
      <c r="BA159" t="s">
        <v>4584</v>
      </c>
      <c r="BB159" t="s">
        <v>6577</v>
      </c>
    </row>
    <row r="160" spans="1:54" x14ac:dyDescent="0.25">
      <c r="A160" t="s">
        <v>6578</v>
      </c>
      <c r="B160" t="s">
        <v>6579</v>
      </c>
      <c r="C160" t="s">
        <v>6580</v>
      </c>
      <c r="D160">
        <v>2022</v>
      </c>
      <c r="E160" t="s">
        <v>6000</v>
      </c>
      <c r="G160">
        <v>24</v>
      </c>
      <c r="I160">
        <v>21</v>
      </c>
      <c r="J160">
        <v>54</v>
      </c>
      <c r="M160" t="s">
        <v>6581</v>
      </c>
      <c r="N160" t="s">
        <v>6582</v>
      </c>
      <c r="O160" t="s">
        <v>6583</v>
      </c>
      <c r="P160" t="s">
        <v>6584</v>
      </c>
      <c r="Q160" t="s">
        <v>6585</v>
      </c>
      <c r="R160" t="s">
        <v>6586</v>
      </c>
      <c r="AI160" t="s">
        <v>6587</v>
      </c>
      <c r="AJ160" t="s">
        <v>6588</v>
      </c>
      <c r="AM160" t="s">
        <v>6520</v>
      </c>
      <c r="AR160">
        <v>20275137</v>
      </c>
      <c r="AV160" t="s">
        <v>1234</v>
      </c>
      <c r="AW160" t="s">
        <v>6009</v>
      </c>
      <c r="AX160" t="s">
        <v>79</v>
      </c>
      <c r="AY160" t="s">
        <v>4620</v>
      </c>
      <c r="AZ160" t="s">
        <v>4688</v>
      </c>
      <c r="BA160" t="s">
        <v>4584</v>
      </c>
      <c r="BB160" t="s">
        <v>6589</v>
      </c>
    </row>
    <row r="161" spans="1:54" x14ac:dyDescent="0.25">
      <c r="A161" t="s">
        <v>6590</v>
      </c>
      <c r="B161" t="s">
        <v>6591</v>
      </c>
      <c r="C161" t="s">
        <v>6592</v>
      </c>
      <c r="D161">
        <v>2022</v>
      </c>
      <c r="E161" t="s">
        <v>6000</v>
      </c>
      <c r="G161">
        <v>24</v>
      </c>
      <c r="I161">
        <v>79</v>
      </c>
      <c r="J161">
        <v>117</v>
      </c>
      <c r="M161" t="s">
        <v>6593</v>
      </c>
      <c r="N161" t="s">
        <v>6594</v>
      </c>
      <c r="O161" t="s">
        <v>6595</v>
      </c>
      <c r="P161" t="s">
        <v>6596</v>
      </c>
      <c r="Q161" t="s">
        <v>6597</v>
      </c>
      <c r="R161" t="s">
        <v>6598</v>
      </c>
      <c r="AI161" t="s">
        <v>6599</v>
      </c>
      <c r="AJ161" t="s">
        <v>6600</v>
      </c>
      <c r="AM161" t="s">
        <v>6520</v>
      </c>
      <c r="AR161">
        <v>20275137</v>
      </c>
      <c r="AV161" t="s">
        <v>1234</v>
      </c>
      <c r="AW161" t="s">
        <v>6009</v>
      </c>
      <c r="AX161" t="s">
        <v>79</v>
      </c>
      <c r="AY161" t="s">
        <v>4620</v>
      </c>
      <c r="AZ161" t="s">
        <v>4688</v>
      </c>
      <c r="BA161" t="s">
        <v>4584</v>
      </c>
      <c r="BB161" t="s">
        <v>6601</v>
      </c>
    </row>
    <row r="162" spans="1:54" x14ac:dyDescent="0.25">
      <c r="A162" t="s">
        <v>6602</v>
      </c>
      <c r="B162" t="s">
        <v>6603</v>
      </c>
      <c r="C162" t="s">
        <v>6604</v>
      </c>
      <c r="D162">
        <v>2022</v>
      </c>
      <c r="E162" t="s">
        <v>6000</v>
      </c>
      <c r="G162">
        <v>24</v>
      </c>
      <c r="I162">
        <v>119</v>
      </c>
      <c r="J162">
        <v>150</v>
      </c>
      <c r="M162" t="s">
        <v>4589</v>
      </c>
      <c r="N162" t="s">
        <v>6605</v>
      </c>
      <c r="O162" t="s">
        <v>6606</v>
      </c>
      <c r="P162" t="s">
        <v>6607</v>
      </c>
      <c r="Q162" t="s">
        <v>6608</v>
      </c>
      <c r="R162" t="s">
        <v>6609</v>
      </c>
      <c r="AI162" t="s">
        <v>6610</v>
      </c>
      <c r="AJ162" t="s">
        <v>6611</v>
      </c>
      <c r="AM162" t="s">
        <v>6520</v>
      </c>
      <c r="AR162">
        <v>20275137</v>
      </c>
      <c r="AV162" t="s">
        <v>1234</v>
      </c>
      <c r="AW162" t="s">
        <v>6009</v>
      </c>
      <c r="AX162" t="s">
        <v>79</v>
      </c>
      <c r="AY162" t="s">
        <v>4620</v>
      </c>
      <c r="AZ162" t="s">
        <v>4688</v>
      </c>
      <c r="BA162" t="s">
        <v>4584</v>
      </c>
      <c r="BB162" t="s">
        <v>6612</v>
      </c>
    </row>
    <row r="163" spans="1:54" x14ac:dyDescent="0.25">
      <c r="A163" t="s">
        <v>6613</v>
      </c>
      <c r="B163" t="s">
        <v>6614</v>
      </c>
      <c r="C163" t="s">
        <v>6615</v>
      </c>
      <c r="D163">
        <v>2022</v>
      </c>
      <c r="E163" t="s">
        <v>6000</v>
      </c>
      <c r="G163">
        <v>24</v>
      </c>
      <c r="I163">
        <v>55</v>
      </c>
      <c r="J163">
        <v>77</v>
      </c>
      <c r="M163" t="s">
        <v>6616</v>
      </c>
      <c r="N163" t="s">
        <v>6617</v>
      </c>
      <c r="O163" t="s">
        <v>6618</v>
      </c>
      <c r="P163" t="s">
        <v>6619</v>
      </c>
      <c r="Q163" t="s">
        <v>6620</v>
      </c>
      <c r="R163" t="s">
        <v>6621</v>
      </c>
      <c r="AI163" t="s">
        <v>6622</v>
      </c>
      <c r="AJ163" t="s">
        <v>6623</v>
      </c>
      <c r="AM163" t="s">
        <v>6520</v>
      </c>
      <c r="AR163">
        <v>20275137</v>
      </c>
      <c r="AV163" t="s">
        <v>1234</v>
      </c>
      <c r="AW163" t="s">
        <v>6009</v>
      </c>
      <c r="AX163" t="s">
        <v>79</v>
      </c>
      <c r="AY163" t="s">
        <v>4620</v>
      </c>
      <c r="AZ163" t="s">
        <v>4688</v>
      </c>
      <c r="BA163" t="s">
        <v>4584</v>
      </c>
      <c r="BB163" t="s">
        <v>6624</v>
      </c>
    </row>
    <row r="164" spans="1:54" x14ac:dyDescent="0.25">
      <c r="A164" t="s">
        <v>6625</v>
      </c>
      <c r="B164" t="s">
        <v>6626</v>
      </c>
      <c r="C164" t="s">
        <v>6627</v>
      </c>
      <c r="D164">
        <v>2022</v>
      </c>
      <c r="E164" t="s">
        <v>6000</v>
      </c>
      <c r="G164">
        <v>24</v>
      </c>
      <c r="I164">
        <v>347</v>
      </c>
      <c r="J164">
        <v>381</v>
      </c>
      <c r="M164" t="s">
        <v>6628</v>
      </c>
      <c r="N164" t="s">
        <v>6629</v>
      </c>
      <c r="O164" t="s">
        <v>6630</v>
      </c>
      <c r="P164" t="s">
        <v>6631</v>
      </c>
      <c r="Q164" t="s">
        <v>6632</v>
      </c>
      <c r="R164" t="s">
        <v>6633</v>
      </c>
      <c r="AI164" t="s">
        <v>6634</v>
      </c>
      <c r="AJ164" t="s">
        <v>6635</v>
      </c>
      <c r="AM164" t="s">
        <v>6520</v>
      </c>
      <c r="AR164">
        <v>20275137</v>
      </c>
      <c r="AV164" t="s">
        <v>78</v>
      </c>
      <c r="AW164" t="s">
        <v>6009</v>
      </c>
      <c r="AX164" t="s">
        <v>79</v>
      </c>
      <c r="AY164" t="s">
        <v>4620</v>
      </c>
      <c r="AZ164" t="s">
        <v>4688</v>
      </c>
      <c r="BA164" t="s">
        <v>4584</v>
      </c>
      <c r="BB164" t="s">
        <v>6636</v>
      </c>
    </row>
    <row r="165" spans="1:54" x14ac:dyDescent="0.25">
      <c r="A165" t="s">
        <v>6637</v>
      </c>
      <c r="B165" t="s">
        <v>6638</v>
      </c>
      <c r="C165" t="s">
        <v>6639</v>
      </c>
      <c r="D165">
        <v>2022</v>
      </c>
      <c r="E165" t="s">
        <v>6640</v>
      </c>
      <c r="F165">
        <v>45</v>
      </c>
      <c r="G165">
        <v>6</v>
      </c>
      <c r="I165">
        <v>1201</v>
      </c>
      <c r="J165">
        <v>1208</v>
      </c>
      <c r="M165" t="s">
        <v>6641</v>
      </c>
      <c r="N165" t="s">
        <v>6642</v>
      </c>
      <c r="O165" t="s">
        <v>6643</v>
      </c>
      <c r="P165" t="s">
        <v>6644</v>
      </c>
      <c r="Q165" t="s">
        <v>6645</v>
      </c>
      <c r="R165" t="s">
        <v>6646</v>
      </c>
      <c r="S165" t="s">
        <v>6647</v>
      </c>
      <c r="X165" t="s">
        <v>6648</v>
      </c>
      <c r="AI165" t="s">
        <v>6649</v>
      </c>
      <c r="AJ165" t="s">
        <v>6650</v>
      </c>
      <c r="AM165" t="s">
        <v>4748</v>
      </c>
      <c r="AR165">
        <v>3914097</v>
      </c>
      <c r="AT165" t="s">
        <v>6651</v>
      </c>
      <c r="AU165">
        <v>35157251</v>
      </c>
      <c r="AV165" t="s">
        <v>78</v>
      </c>
      <c r="AW165" t="s">
        <v>6652</v>
      </c>
      <c r="AX165" t="s">
        <v>79</v>
      </c>
      <c r="AY165" t="s">
        <v>4620</v>
      </c>
      <c r="AZ165" t="s">
        <v>6235</v>
      </c>
      <c r="BA165" t="s">
        <v>4584</v>
      </c>
      <c r="BB165" t="s">
        <v>6653</v>
      </c>
    </row>
    <row r="166" spans="1:54" x14ac:dyDescent="0.25">
      <c r="A166" t="s">
        <v>6654</v>
      </c>
      <c r="B166" t="s">
        <v>6655</v>
      </c>
      <c r="C166" t="s">
        <v>960</v>
      </c>
      <c r="D166">
        <v>2022</v>
      </c>
      <c r="E166" t="s">
        <v>6656</v>
      </c>
      <c r="F166">
        <v>42</v>
      </c>
      <c r="G166">
        <v>3</v>
      </c>
      <c r="I166">
        <v>2259</v>
      </c>
      <c r="J166">
        <v>2268</v>
      </c>
      <c r="M166" t="s">
        <v>979</v>
      </c>
      <c r="N166" t="s">
        <v>6657</v>
      </c>
      <c r="O166" t="s">
        <v>6658</v>
      </c>
      <c r="P166" t="s">
        <v>6659</v>
      </c>
      <c r="Q166" t="s">
        <v>6660</v>
      </c>
      <c r="R166" t="s">
        <v>962</v>
      </c>
      <c r="X166" t="s">
        <v>6661</v>
      </c>
      <c r="Y166" t="s">
        <v>6662</v>
      </c>
      <c r="Z166" t="s">
        <v>6662</v>
      </c>
      <c r="AI166" t="s">
        <v>6663</v>
      </c>
      <c r="AJ166" t="s">
        <v>6664</v>
      </c>
      <c r="AM166" t="s">
        <v>4748</v>
      </c>
      <c r="AR166">
        <v>17427584</v>
      </c>
      <c r="AV166" t="s">
        <v>78</v>
      </c>
      <c r="AW166" t="s">
        <v>978</v>
      </c>
      <c r="AX166" t="s">
        <v>79</v>
      </c>
      <c r="AY166" t="s">
        <v>4620</v>
      </c>
      <c r="BA166" t="s">
        <v>4584</v>
      </c>
      <c r="BB166" t="s">
        <v>6665</v>
      </c>
    </row>
    <row r="167" spans="1:54" x14ac:dyDescent="0.25">
      <c r="A167" t="s">
        <v>6666</v>
      </c>
      <c r="B167" t="s">
        <v>6667</v>
      </c>
      <c r="C167" t="s">
        <v>6668</v>
      </c>
      <c r="D167">
        <v>2022</v>
      </c>
      <c r="E167" t="s">
        <v>6669</v>
      </c>
      <c r="F167">
        <v>74</v>
      </c>
      <c r="G167">
        <v>2</v>
      </c>
      <c r="I167">
        <v>347</v>
      </c>
      <c r="J167">
        <v>355</v>
      </c>
      <c r="M167" t="s">
        <v>2310</v>
      </c>
      <c r="N167" t="s">
        <v>6670</v>
      </c>
      <c r="O167" t="s">
        <v>6671</v>
      </c>
      <c r="P167" t="s">
        <v>6672</v>
      </c>
      <c r="Q167" t="s">
        <v>6673</v>
      </c>
      <c r="R167" t="s">
        <v>6674</v>
      </c>
      <c r="S167" t="s">
        <v>6675</v>
      </c>
      <c r="X167" t="s">
        <v>4690</v>
      </c>
      <c r="Y167" t="s">
        <v>6676</v>
      </c>
      <c r="Z167" t="s">
        <v>6677</v>
      </c>
      <c r="AI167" t="s">
        <v>6678</v>
      </c>
      <c r="AJ167" t="s">
        <v>6679</v>
      </c>
      <c r="AM167" t="s">
        <v>4748</v>
      </c>
      <c r="AR167">
        <v>3674223</v>
      </c>
      <c r="AV167" t="s">
        <v>78</v>
      </c>
      <c r="AW167" t="s">
        <v>352</v>
      </c>
      <c r="AX167" t="s">
        <v>79</v>
      </c>
      <c r="AY167" t="s">
        <v>4620</v>
      </c>
      <c r="BA167" t="s">
        <v>4584</v>
      </c>
      <c r="BB167" t="s">
        <v>6680</v>
      </c>
    </row>
    <row r="168" spans="1:54" x14ac:dyDescent="0.25">
      <c r="A168" t="s">
        <v>6681</v>
      </c>
      <c r="B168" t="s">
        <v>6682</v>
      </c>
      <c r="C168" t="s">
        <v>6683</v>
      </c>
      <c r="D168">
        <v>2022</v>
      </c>
      <c r="E168" t="s">
        <v>6669</v>
      </c>
      <c r="F168">
        <v>74</v>
      </c>
      <c r="G168">
        <v>2</v>
      </c>
      <c r="I168">
        <v>249</v>
      </c>
      <c r="J168">
        <v>257</v>
      </c>
      <c r="M168" t="s">
        <v>353</v>
      </c>
      <c r="N168" t="s">
        <v>6684</v>
      </c>
      <c r="O168" t="s">
        <v>6685</v>
      </c>
      <c r="P168" t="s">
        <v>6686</v>
      </c>
      <c r="Q168" t="s">
        <v>6687</v>
      </c>
      <c r="R168" t="s">
        <v>6688</v>
      </c>
      <c r="S168" t="s">
        <v>6689</v>
      </c>
      <c r="X168" t="s">
        <v>4690</v>
      </c>
      <c r="Y168" t="s">
        <v>6690</v>
      </c>
      <c r="Z168" t="s">
        <v>6690</v>
      </c>
      <c r="AI168" t="s">
        <v>6691</v>
      </c>
      <c r="AJ168" t="s">
        <v>6692</v>
      </c>
      <c r="AM168" t="s">
        <v>4748</v>
      </c>
      <c r="AR168">
        <v>3674223</v>
      </c>
      <c r="AV168" t="s">
        <v>78</v>
      </c>
      <c r="AW168" t="s">
        <v>352</v>
      </c>
      <c r="AX168" t="s">
        <v>79</v>
      </c>
      <c r="AY168" t="s">
        <v>4620</v>
      </c>
      <c r="BA168" t="s">
        <v>4584</v>
      </c>
      <c r="BB168" t="s">
        <v>6693</v>
      </c>
    </row>
    <row r="169" spans="1:54" x14ac:dyDescent="0.25">
      <c r="A169" t="s">
        <v>6694</v>
      </c>
      <c r="B169" t="s">
        <v>6695</v>
      </c>
      <c r="C169" t="s">
        <v>6696</v>
      </c>
      <c r="D169">
        <v>2022</v>
      </c>
      <c r="E169" t="s">
        <v>6697</v>
      </c>
      <c r="F169">
        <v>15</v>
      </c>
      <c r="G169">
        <v>2</v>
      </c>
      <c r="I169">
        <v>1</v>
      </c>
      <c r="J169">
        <v>22</v>
      </c>
      <c r="M169" t="s">
        <v>3190</v>
      </c>
      <c r="N169" t="s">
        <v>6698</v>
      </c>
      <c r="O169" t="s">
        <v>6699</v>
      </c>
      <c r="P169" t="s">
        <v>6700</v>
      </c>
      <c r="Q169" t="s">
        <v>6701</v>
      </c>
      <c r="R169" t="s">
        <v>6702</v>
      </c>
      <c r="AI169" t="s">
        <v>6703</v>
      </c>
      <c r="AJ169" t="s">
        <v>6704</v>
      </c>
      <c r="AM169" t="s">
        <v>6705</v>
      </c>
      <c r="AR169">
        <v>20113080</v>
      </c>
      <c r="AV169" t="s">
        <v>1234</v>
      </c>
      <c r="AW169" t="s">
        <v>3189</v>
      </c>
      <c r="AX169" t="s">
        <v>79</v>
      </c>
      <c r="AY169" t="s">
        <v>4620</v>
      </c>
      <c r="AZ169" t="s">
        <v>4672</v>
      </c>
      <c r="BA169" t="s">
        <v>4584</v>
      </c>
      <c r="BB169" t="s">
        <v>6706</v>
      </c>
    </row>
    <row r="170" spans="1:54" x14ac:dyDescent="0.25">
      <c r="A170" t="s">
        <v>6708</v>
      </c>
      <c r="B170" t="s">
        <v>6709</v>
      </c>
      <c r="C170" t="s">
        <v>6710</v>
      </c>
      <c r="D170">
        <v>2022</v>
      </c>
      <c r="E170" t="s">
        <v>6707</v>
      </c>
      <c r="F170">
        <v>2022</v>
      </c>
      <c r="G170">
        <v>44</v>
      </c>
      <c r="H170" t="s">
        <v>6711</v>
      </c>
      <c r="M170" t="s">
        <v>6712</v>
      </c>
      <c r="N170" t="s">
        <v>6713</v>
      </c>
      <c r="O170" t="s">
        <v>6147</v>
      </c>
      <c r="P170" t="s">
        <v>6714</v>
      </c>
      <c r="Q170" t="s">
        <v>6715</v>
      </c>
      <c r="R170" t="s">
        <v>6716</v>
      </c>
      <c r="AI170" t="s">
        <v>6717</v>
      </c>
      <c r="AJ170" t="s">
        <v>6718</v>
      </c>
      <c r="AM170" t="s">
        <v>431</v>
      </c>
      <c r="AR170">
        <v>1218530</v>
      </c>
      <c r="AV170" t="s">
        <v>1234</v>
      </c>
      <c r="AW170" t="s">
        <v>6707</v>
      </c>
      <c r="AX170" t="s">
        <v>79</v>
      </c>
      <c r="AY170" t="s">
        <v>4620</v>
      </c>
      <c r="BA170" t="s">
        <v>4584</v>
      </c>
      <c r="BB170" t="s">
        <v>6719</v>
      </c>
    </row>
    <row r="171" spans="1:54" x14ac:dyDescent="0.25">
      <c r="A171" t="s">
        <v>6720</v>
      </c>
      <c r="B171" t="s">
        <v>6721</v>
      </c>
      <c r="C171" t="s">
        <v>6722</v>
      </c>
      <c r="D171">
        <v>2022</v>
      </c>
      <c r="E171" t="s">
        <v>6707</v>
      </c>
      <c r="F171">
        <v>2022</v>
      </c>
      <c r="G171">
        <v>44</v>
      </c>
      <c r="H171" t="s">
        <v>6723</v>
      </c>
      <c r="M171" t="s">
        <v>6724</v>
      </c>
      <c r="N171" t="s">
        <v>6725</v>
      </c>
      <c r="O171" t="s">
        <v>6726</v>
      </c>
      <c r="P171" t="s">
        <v>6727</v>
      </c>
      <c r="Q171" t="s">
        <v>6728</v>
      </c>
      <c r="R171" t="s">
        <v>6729</v>
      </c>
      <c r="AI171" t="s">
        <v>6730</v>
      </c>
      <c r="AJ171" t="s">
        <v>6731</v>
      </c>
      <c r="AM171" t="s">
        <v>431</v>
      </c>
      <c r="AR171">
        <v>1218530</v>
      </c>
      <c r="AV171" t="s">
        <v>1234</v>
      </c>
      <c r="AW171" t="s">
        <v>6707</v>
      </c>
      <c r="AX171" t="s">
        <v>79</v>
      </c>
      <c r="AY171" t="s">
        <v>4620</v>
      </c>
      <c r="AZ171" t="s">
        <v>4688</v>
      </c>
      <c r="BA171" t="s">
        <v>4584</v>
      </c>
      <c r="BB171" t="s">
        <v>6732</v>
      </c>
    </row>
    <row r="172" spans="1:54" x14ac:dyDescent="0.25">
      <c r="A172" t="s">
        <v>6733</v>
      </c>
      <c r="B172" t="s">
        <v>6734</v>
      </c>
      <c r="C172" t="s">
        <v>3749</v>
      </c>
      <c r="D172">
        <v>2022</v>
      </c>
      <c r="E172" t="s">
        <v>6735</v>
      </c>
      <c r="F172">
        <v>433</v>
      </c>
      <c r="H172">
        <v>128019</v>
      </c>
      <c r="M172" t="s">
        <v>3767</v>
      </c>
      <c r="N172" t="s">
        <v>6736</v>
      </c>
      <c r="O172" t="s">
        <v>6737</v>
      </c>
      <c r="P172" t="s">
        <v>6738</v>
      </c>
      <c r="Q172" t="s">
        <v>6739</v>
      </c>
      <c r="R172" t="s">
        <v>3751</v>
      </c>
      <c r="S172" t="s">
        <v>6740</v>
      </c>
      <c r="X172" t="s">
        <v>6741</v>
      </c>
      <c r="Y172" t="s">
        <v>6742</v>
      </c>
      <c r="AI172" t="s">
        <v>6743</v>
      </c>
      <c r="AJ172" t="s">
        <v>6744</v>
      </c>
      <c r="AM172" t="s">
        <v>4650</v>
      </c>
      <c r="AR172">
        <v>3759601</v>
      </c>
      <c r="AT172" t="s">
        <v>6745</v>
      </c>
      <c r="AV172" t="s">
        <v>78</v>
      </c>
      <c r="AW172" t="s">
        <v>6746</v>
      </c>
      <c r="AX172" t="s">
        <v>79</v>
      </c>
      <c r="AY172" t="s">
        <v>4620</v>
      </c>
      <c r="BA172" t="s">
        <v>4584</v>
      </c>
      <c r="BB172" t="s">
        <v>6747</v>
      </c>
    </row>
    <row r="173" spans="1:54" x14ac:dyDescent="0.25">
      <c r="A173" t="s">
        <v>6749</v>
      </c>
      <c r="B173" t="s">
        <v>6750</v>
      </c>
      <c r="C173" t="s">
        <v>6751</v>
      </c>
      <c r="D173">
        <v>2022</v>
      </c>
      <c r="E173" t="s">
        <v>6752</v>
      </c>
      <c r="F173">
        <v>16</v>
      </c>
      <c r="G173">
        <v>2</v>
      </c>
      <c r="H173" t="s">
        <v>6753</v>
      </c>
      <c r="M173" t="s">
        <v>6754</v>
      </c>
      <c r="N173" t="s">
        <v>6755</v>
      </c>
      <c r="O173" t="s">
        <v>6756</v>
      </c>
      <c r="P173" t="s">
        <v>6757</v>
      </c>
      <c r="Q173" t="s">
        <v>6758</v>
      </c>
      <c r="R173" t="s">
        <v>6759</v>
      </c>
      <c r="AI173" t="s">
        <v>6760</v>
      </c>
      <c r="AJ173" t="s">
        <v>6761</v>
      </c>
      <c r="AM173" t="s">
        <v>431</v>
      </c>
      <c r="AR173">
        <v>24223719</v>
      </c>
      <c r="AV173" t="s">
        <v>78</v>
      </c>
      <c r="AW173" t="s">
        <v>6762</v>
      </c>
      <c r="AX173" t="s">
        <v>79</v>
      </c>
      <c r="AY173" t="s">
        <v>4620</v>
      </c>
      <c r="AZ173" t="s">
        <v>4672</v>
      </c>
      <c r="BA173" t="s">
        <v>4584</v>
      </c>
      <c r="BB173" t="s">
        <v>6763</v>
      </c>
    </row>
    <row r="174" spans="1:54" x14ac:dyDescent="0.25">
      <c r="A174" t="s">
        <v>6764</v>
      </c>
      <c r="B174" t="s">
        <v>6765</v>
      </c>
      <c r="C174" t="s">
        <v>6766</v>
      </c>
      <c r="D174">
        <v>2022</v>
      </c>
      <c r="E174" t="s">
        <v>6752</v>
      </c>
      <c r="F174">
        <v>16</v>
      </c>
      <c r="G174">
        <v>2</v>
      </c>
      <c r="H174" t="s">
        <v>6767</v>
      </c>
      <c r="M174" t="s">
        <v>6768</v>
      </c>
      <c r="N174" t="s">
        <v>6769</v>
      </c>
      <c r="O174" t="s">
        <v>6770</v>
      </c>
      <c r="P174" t="s">
        <v>6771</v>
      </c>
      <c r="Q174" t="s">
        <v>6772</v>
      </c>
      <c r="R174" t="s">
        <v>6773</v>
      </c>
      <c r="X174" t="s">
        <v>6774</v>
      </c>
      <c r="Y174" t="s">
        <v>6775</v>
      </c>
      <c r="Z174" t="s">
        <v>6776</v>
      </c>
      <c r="AI174" t="s">
        <v>6777</v>
      </c>
      <c r="AJ174" t="s">
        <v>6778</v>
      </c>
      <c r="AM174" t="s">
        <v>431</v>
      </c>
      <c r="AR174">
        <v>24223719</v>
      </c>
      <c r="AV174" t="s">
        <v>78</v>
      </c>
      <c r="AW174" t="s">
        <v>6762</v>
      </c>
      <c r="AX174" t="s">
        <v>79</v>
      </c>
      <c r="AY174" t="s">
        <v>4620</v>
      </c>
      <c r="AZ174" t="s">
        <v>4672</v>
      </c>
      <c r="BA174" t="s">
        <v>4584</v>
      </c>
      <c r="BB174" t="s">
        <v>6779</v>
      </c>
    </row>
    <row r="175" spans="1:54" x14ac:dyDescent="0.25">
      <c r="A175" t="s">
        <v>6780</v>
      </c>
      <c r="B175" t="s">
        <v>6781</v>
      </c>
      <c r="C175" t="s">
        <v>6782</v>
      </c>
      <c r="D175">
        <v>2022</v>
      </c>
      <c r="E175" t="s">
        <v>6752</v>
      </c>
      <c r="F175">
        <v>16</v>
      </c>
      <c r="G175">
        <v>2</v>
      </c>
      <c r="H175" t="s">
        <v>6783</v>
      </c>
      <c r="M175" t="s">
        <v>6784</v>
      </c>
      <c r="N175" t="s">
        <v>6785</v>
      </c>
      <c r="O175" t="s">
        <v>6786</v>
      </c>
      <c r="P175" t="s">
        <v>6787</v>
      </c>
      <c r="Q175" t="s">
        <v>6788</v>
      </c>
      <c r="R175" t="s">
        <v>6789</v>
      </c>
      <c r="X175" t="s">
        <v>6790</v>
      </c>
      <c r="Y175" t="s">
        <v>6791</v>
      </c>
      <c r="AI175" t="s">
        <v>6792</v>
      </c>
      <c r="AJ175" t="s">
        <v>6793</v>
      </c>
      <c r="AM175" t="s">
        <v>431</v>
      </c>
      <c r="AR175">
        <v>24223719</v>
      </c>
      <c r="AV175" t="s">
        <v>78</v>
      </c>
      <c r="AW175" t="s">
        <v>6762</v>
      </c>
      <c r="AX175" t="s">
        <v>79</v>
      </c>
      <c r="AY175" t="s">
        <v>4620</v>
      </c>
      <c r="AZ175" t="s">
        <v>4672</v>
      </c>
      <c r="BA175" t="s">
        <v>4584</v>
      </c>
      <c r="BB175" t="s">
        <v>6794</v>
      </c>
    </row>
    <row r="176" spans="1:54" x14ac:dyDescent="0.25">
      <c r="A176" t="s">
        <v>6795</v>
      </c>
      <c r="B176" t="s">
        <v>6796</v>
      </c>
      <c r="C176" t="s">
        <v>6797</v>
      </c>
      <c r="D176">
        <v>2022</v>
      </c>
      <c r="E176" t="s">
        <v>5348</v>
      </c>
      <c r="F176">
        <v>14</v>
      </c>
      <c r="G176">
        <v>30</v>
      </c>
      <c r="I176">
        <v>144</v>
      </c>
      <c r="J176">
        <v>176</v>
      </c>
      <c r="M176" t="s">
        <v>1458</v>
      </c>
      <c r="N176" t="s">
        <v>6798</v>
      </c>
      <c r="O176" t="s">
        <v>4674</v>
      </c>
      <c r="P176" t="s">
        <v>6799</v>
      </c>
      <c r="Q176" t="s">
        <v>6800</v>
      </c>
      <c r="R176" t="s">
        <v>6801</v>
      </c>
      <c r="AI176" t="s">
        <v>6802</v>
      </c>
      <c r="AJ176" t="s">
        <v>6803</v>
      </c>
      <c r="AM176" t="s">
        <v>5356</v>
      </c>
      <c r="AR176" t="s">
        <v>5357</v>
      </c>
      <c r="AV176" t="s">
        <v>1234</v>
      </c>
      <c r="AW176" t="s">
        <v>1457</v>
      </c>
      <c r="AX176" t="s">
        <v>79</v>
      </c>
      <c r="AY176" t="s">
        <v>4620</v>
      </c>
      <c r="AZ176" t="s">
        <v>4688</v>
      </c>
      <c r="BA176" t="s">
        <v>4584</v>
      </c>
      <c r="BB176" t="s">
        <v>6804</v>
      </c>
    </row>
    <row r="177" spans="1:54" x14ac:dyDescent="0.25">
      <c r="A177" t="s">
        <v>6805</v>
      </c>
      <c r="B177" t="s">
        <v>6806</v>
      </c>
      <c r="C177" t="s">
        <v>6807</v>
      </c>
      <c r="D177">
        <v>2022</v>
      </c>
      <c r="E177" t="s">
        <v>5348</v>
      </c>
      <c r="F177">
        <v>14</v>
      </c>
      <c r="G177">
        <v>30</v>
      </c>
      <c r="I177">
        <v>214</v>
      </c>
      <c r="J177">
        <v>250</v>
      </c>
      <c r="M177" t="s">
        <v>6808</v>
      </c>
      <c r="N177" t="s">
        <v>6809</v>
      </c>
      <c r="O177" t="s">
        <v>6124</v>
      </c>
      <c r="P177" t="s">
        <v>6810</v>
      </c>
      <c r="Q177" t="s">
        <v>6811</v>
      </c>
      <c r="R177" t="s">
        <v>6812</v>
      </c>
      <c r="AI177" t="s">
        <v>6813</v>
      </c>
      <c r="AJ177" t="s">
        <v>6814</v>
      </c>
      <c r="AM177" t="s">
        <v>5356</v>
      </c>
      <c r="AR177" t="s">
        <v>5357</v>
      </c>
      <c r="AV177" t="s">
        <v>1234</v>
      </c>
      <c r="AW177" t="s">
        <v>1457</v>
      </c>
      <c r="AX177" t="s">
        <v>79</v>
      </c>
      <c r="AY177" t="s">
        <v>4620</v>
      </c>
      <c r="AZ177" t="s">
        <v>4688</v>
      </c>
      <c r="BA177" t="s">
        <v>4584</v>
      </c>
      <c r="BB177" t="s">
        <v>6815</v>
      </c>
    </row>
    <row r="178" spans="1:54" x14ac:dyDescent="0.25">
      <c r="A178" t="s">
        <v>6816</v>
      </c>
      <c r="B178" t="s">
        <v>6817</v>
      </c>
      <c r="C178" t="s">
        <v>6818</v>
      </c>
      <c r="D178">
        <v>2022</v>
      </c>
      <c r="E178" t="s">
        <v>6819</v>
      </c>
      <c r="F178">
        <v>82</v>
      </c>
      <c r="G178">
        <v>271</v>
      </c>
      <c r="I178">
        <v>547</v>
      </c>
      <c r="J178">
        <v>571</v>
      </c>
      <c r="M178" t="s">
        <v>6820</v>
      </c>
      <c r="N178" t="s">
        <v>6821</v>
      </c>
      <c r="O178" t="s">
        <v>6822</v>
      </c>
      <c r="P178" t="s">
        <v>6823</v>
      </c>
      <c r="Q178" t="s">
        <v>6824</v>
      </c>
      <c r="R178" t="s">
        <v>6825</v>
      </c>
      <c r="AI178" t="s">
        <v>6826</v>
      </c>
      <c r="AJ178" t="s">
        <v>6827</v>
      </c>
      <c r="AM178" t="s">
        <v>6828</v>
      </c>
      <c r="AR178">
        <v>182141</v>
      </c>
      <c r="AV178" t="s">
        <v>1234</v>
      </c>
      <c r="AW178" t="s">
        <v>6829</v>
      </c>
      <c r="AX178" t="s">
        <v>79</v>
      </c>
      <c r="AY178" t="s">
        <v>4620</v>
      </c>
      <c r="AZ178" t="s">
        <v>4672</v>
      </c>
      <c r="BA178" t="s">
        <v>4584</v>
      </c>
      <c r="BB178" t="s">
        <v>6830</v>
      </c>
    </row>
    <row r="179" spans="1:54" x14ac:dyDescent="0.25">
      <c r="A179" t="s">
        <v>6833</v>
      </c>
      <c r="B179" t="s">
        <v>6834</v>
      </c>
      <c r="C179" t="s">
        <v>6835</v>
      </c>
      <c r="D179">
        <v>2022</v>
      </c>
      <c r="E179" t="s">
        <v>1438</v>
      </c>
      <c r="F179">
        <v>31</v>
      </c>
      <c r="G179">
        <v>2</v>
      </c>
      <c r="H179">
        <v>2280</v>
      </c>
      <c r="L179">
        <v>1</v>
      </c>
      <c r="M179" t="s">
        <v>1439</v>
      </c>
      <c r="N179" t="s">
        <v>6836</v>
      </c>
      <c r="O179" t="s">
        <v>6837</v>
      </c>
      <c r="P179" t="s">
        <v>6838</v>
      </c>
      <c r="Q179" t="s">
        <v>6839</v>
      </c>
      <c r="R179" t="s">
        <v>1428</v>
      </c>
      <c r="AI179" t="s">
        <v>6840</v>
      </c>
      <c r="AJ179" t="s">
        <v>6841</v>
      </c>
      <c r="AM179" t="s">
        <v>6842</v>
      </c>
      <c r="AR179">
        <v>16972473</v>
      </c>
      <c r="AV179" t="s">
        <v>1234</v>
      </c>
      <c r="AW179" t="s">
        <v>1438</v>
      </c>
      <c r="AX179" t="s">
        <v>79</v>
      </c>
      <c r="AY179" t="s">
        <v>4620</v>
      </c>
      <c r="AZ179" t="s">
        <v>4672</v>
      </c>
      <c r="BA179" t="s">
        <v>4584</v>
      </c>
      <c r="BB179" t="s">
        <v>6843</v>
      </c>
    </row>
    <row r="180" spans="1:54" x14ac:dyDescent="0.25">
      <c r="A180" t="s">
        <v>6844</v>
      </c>
      <c r="B180" t="s">
        <v>6845</v>
      </c>
      <c r="C180" t="s">
        <v>6846</v>
      </c>
      <c r="D180">
        <v>2022</v>
      </c>
      <c r="E180" t="s">
        <v>6847</v>
      </c>
      <c r="F180">
        <v>13</v>
      </c>
      <c r="G180">
        <v>2</v>
      </c>
      <c r="H180" t="s">
        <v>3152</v>
      </c>
      <c r="M180" t="s">
        <v>3153</v>
      </c>
      <c r="N180" t="s">
        <v>6848</v>
      </c>
      <c r="O180" t="s">
        <v>6849</v>
      </c>
      <c r="P180" t="s">
        <v>6850</v>
      </c>
      <c r="Q180" t="s">
        <v>6851</v>
      </c>
      <c r="R180" t="s">
        <v>6852</v>
      </c>
      <c r="AI180" t="s">
        <v>6853</v>
      </c>
      <c r="AJ180" t="s">
        <v>6854</v>
      </c>
      <c r="AM180" t="s">
        <v>6748</v>
      </c>
      <c r="AR180">
        <v>22160973</v>
      </c>
      <c r="AV180" t="s">
        <v>1234</v>
      </c>
      <c r="AW180" t="s">
        <v>6855</v>
      </c>
      <c r="AX180" t="s">
        <v>162</v>
      </c>
      <c r="AY180" t="s">
        <v>4620</v>
      </c>
      <c r="AZ180" t="s">
        <v>4672</v>
      </c>
      <c r="BA180" t="s">
        <v>4584</v>
      </c>
      <c r="BB180" t="s">
        <v>6856</v>
      </c>
    </row>
    <row r="181" spans="1:54" x14ac:dyDescent="0.25">
      <c r="A181" t="s">
        <v>6857</v>
      </c>
      <c r="B181" t="s">
        <v>6858</v>
      </c>
      <c r="C181" t="s">
        <v>6859</v>
      </c>
      <c r="D181">
        <v>2022</v>
      </c>
      <c r="E181" t="s">
        <v>5362</v>
      </c>
      <c r="F181">
        <v>75</v>
      </c>
      <c r="G181">
        <v>2</v>
      </c>
      <c r="I181">
        <v>9895</v>
      </c>
      <c r="J181">
        <v>9907</v>
      </c>
      <c r="M181" t="s">
        <v>4602</v>
      </c>
      <c r="N181" t="s">
        <v>6860</v>
      </c>
      <c r="O181" t="s">
        <v>6861</v>
      </c>
      <c r="P181" t="s">
        <v>6862</v>
      </c>
      <c r="Q181" t="s">
        <v>6863</v>
      </c>
      <c r="R181" t="s">
        <v>6864</v>
      </c>
      <c r="AI181" t="s">
        <v>6865</v>
      </c>
      <c r="AJ181" t="s">
        <v>6866</v>
      </c>
      <c r="AM181" t="s">
        <v>5356</v>
      </c>
      <c r="AR181">
        <v>3042847</v>
      </c>
      <c r="AV181" t="s">
        <v>78</v>
      </c>
      <c r="AW181" t="s">
        <v>5373</v>
      </c>
      <c r="AX181" t="s">
        <v>79</v>
      </c>
      <c r="AY181" t="s">
        <v>4620</v>
      </c>
      <c r="AZ181" t="s">
        <v>4672</v>
      </c>
      <c r="BA181" t="s">
        <v>4584</v>
      </c>
      <c r="BB181" t="s">
        <v>6867</v>
      </c>
    </row>
    <row r="182" spans="1:54" x14ac:dyDescent="0.25">
      <c r="A182" t="s">
        <v>6868</v>
      </c>
      <c r="B182" t="s">
        <v>6869</v>
      </c>
      <c r="C182" t="s">
        <v>3850</v>
      </c>
      <c r="D182">
        <v>2022</v>
      </c>
      <c r="E182" t="s">
        <v>355</v>
      </c>
      <c r="F182">
        <v>12</v>
      </c>
      <c r="G182">
        <v>5</v>
      </c>
      <c r="H182">
        <v>1159</v>
      </c>
      <c r="M182" t="s">
        <v>3861</v>
      </c>
      <c r="N182" t="s">
        <v>6870</v>
      </c>
      <c r="O182" t="s">
        <v>6871</v>
      </c>
      <c r="P182" t="s">
        <v>6872</v>
      </c>
      <c r="Q182" t="s">
        <v>6873</v>
      </c>
      <c r="R182" t="s">
        <v>6874</v>
      </c>
      <c r="AI182" t="s">
        <v>6875</v>
      </c>
      <c r="AJ182" t="s">
        <v>6876</v>
      </c>
    </row>
    <row r="183" spans="1:54" x14ac:dyDescent="0.25">
      <c r="A183" t="s">
        <v>6877</v>
      </c>
      <c r="B183" t="s">
        <v>10735</v>
      </c>
      <c r="C183" t="s">
        <v>10736</v>
      </c>
      <c r="D183" t="s">
        <v>10737</v>
      </c>
      <c r="G183" t="s">
        <v>92</v>
      </c>
      <c r="L183">
        <v>20734395</v>
      </c>
      <c r="P183" t="s">
        <v>78</v>
      </c>
      <c r="Q183" t="s">
        <v>355</v>
      </c>
      <c r="R183" t="s">
        <v>79</v>
      </c>
      <c r="S183" t="s">
        <v>4620</v>
      </c>
      <c r="T183" t="s">
        <v>4672</v>
      </c>
      <c r="U183" t="s">
        <v>4584</v>
      </c>
      <c r="V183" t="s">
        <v>6878</v>
      </c>
    </row>
    <row r="184" spans="1:54" x14ac:dyDescent="0.25">
      <c r="A184" t="s">
        <v>6879</v>
      </c>
      <c r="B184" t="s">
        <v>6880</v>
      </c>
      <c r="C184" t="s">
        <v>6881</v>
      </c>
      <c r="D184">
        <v>2022</v>
      </c>
      <c r="E184" t="s">
        <v>6882</v>
      </c>
      <c r="F184">
        <v>105</v>
      </c>
      <c r="G184">
        <v>9</v>
      </c>
      <c r="H184">
        <v>95026</v>
      </c>
      <c r="L184">
        <v>2</v>
      </c>
      <c r="M184" t="s">
        <v>2365</v>
      </c>
      <c r="N184" t="s">
        <v>6883</v>
      </c>
      <c r="O184" t="s">
        <v>6884</v>
      </c>
      <c r="P184" t="s">
        <v>6885</v>
      </c>
      <c r="Q184" t="s">
        <v>6886</v>
      </c>
      <c r="X184" t="s">
        <v>6887</v>
      </c>
      <c r="Y184" t="s">
        <v>6888</v>
      </c>
      <c r="AI184" t="s">
        <v>6889</v>
      </c>
      <c r="AM184" t="s">
        <v>4770</v>
      </c>
      <c r="AR184">
        <v>24700010</v>
      </c>
      <c r="AV184" t="s">
        <v>78</v>
      </c>
      <c r="AW184" t="s">
        <v>6890</v>
      </c>
      <c r="AX184" t="s">
        <v>79</v>
      </c>
      <c r="AY184" t="s">
        <v>4620</v>
      </c>
      <c r="AZ184" t="s">
        <v>6235</v>
      </c>
      <c r="BA184" t="s">
        <v>4584</v>
      </c>
      <c r="BB184" t="s">
        <v>6891</v>
      </c>
    </row>
    <row r="185" spans="1:54" x14ac:dyDescent="0.25">
      <c r="A185" t="s">
        <v>6892</v>
      </c>
      <c r="B185" t="s">
        <v>6893</v>
      </c>
      <c r="C185" t="s">
        <v>3429</v>
      </c>
      <c r="D185">
        <v>2022</v>
      </c>
      <c r="E185" t="s">
        <v>2571</v>
      </c>
      <c r="F185">
        <v>12</v>
      </c>
      <c r="G185">
        <v>5</v>
      </c>
      <c r="H185">
        <v>714</v>
      </c>
      <c r="M185" t="s">
        <v>3440</v>
      </c>
      <c r="N185" t="s">
        <v>6894</v>
      </c>
      <c r="O185" t="s">
        <v>6895</v>
      </c>
      <c r="P185" t="s">
        <v>6896</v>
      </c>
      <c r="Q185" t="s">
        <v>6897</v>
      </c>
      <c r="R185" t="s">
        <v>6898</v>
      </c>
      <c r="X185" t="s">
        <v>6899</v>
      </c>
      <c r="Y185" t="s">
        <v>6900</v>
      </c>
      <c r="Z185" t="s">
        <v>6901</v>
      </c>
      <c r="AI185" t="s">
        <v>6902</v>
      </c>
      <c r="AJ185" t="s">
        <v>6903</v>
      </c>
    </row>
    <row r="186" spans="1:54" x14ac:dyDescent="0.25">
      <c r="A186" t="s">
        <v>10708</v>
      </c>
      <c r="B186" t="s">
        <v>10709</v>
      </c>
      <c r="C186" t="s">
        <v>10710</v>
      </c>
      <c r="D186" t="s">
        <v>10711</v>
      </c>
      <c r="G186" t="s">
        <v>92</v>
      </c>
      <c r="L186">
        <v>20734352</v>
      </c>
      <c r="P186" t="s">
        <v>78</v>
      </c>
      <c r="Q186" t="s">
        <v>2571</v>
      </c>
      <c r="R186" t="s">
        <v>79</v>
      </c>
      <c r="S186" t="s">
        <v>4620</v>
      </c>
      <c r="T186" t="s">
        <v>4672</v>
      </c>
      <c r="U186" t="s">
        <v>4584</v>
      </c>
      <c r="V186" t="s">
        <v>6904</v>
      </c>
    </row>
    <row r="187" spans="1:54" x14ac:dyDescent="0.25">
      <c r="A187" t="s">
        <v>6905</v>
      </c>
      <c r="B187" t="s">
        <v>6906</v>
      </c>
      <c r="C187" t="s">
        <v>6907</v>
      </c>
      <c r="D187">
        <v>2022</v>
      </c>
      <c r="E187" t="s">
        <v>6847</v>
      </c>
      <c r="F187">
        <v>13</v>
      </c>
      <c r="G187">
        <v>2</v>
      </c>
      <c r="H187" t="s">
        <v>6908</v>
      </c>
      <c r="M187" t="s">
        <v>6909</v>
      </c>
      <c r="N187" t="s">
        <v>6910</v>
      </c>
      <c r="O187" t="s">
        <v>6911</v>
      </c>
      <c r="P187" t="s">
        <v>6912</v>
      </c>
      <c r="Q187" t="s">
        <v>6913</v>
      </c>
      <c r="R187" t="s">
        <v>6914</v>
      </c>
      <c r="AI187" t="s">
        <v>6915</v>
      </c>
      <c r="AJ187" t="s">
        <v>6916</v>
      </c>
      <c r="AM187" t="s">
        <v>6748</v>
      </c>
      <c r="AR187">
        <v>22160973</v>
      </c>
      <c r="AV187" t="s">
        <v>1234</v>
      </c>
      <c r="AW187" t="s">
        <v>6855</v>
      </c>
      <c r="AX187" t="s">
        <v>79</v>
      </c>
      <c r="AY187" t="s">
        <v>4620</v>
      </c>
      <c r="AZ187" t="s">
        <v>4672</v>
      </c>
      <c r="BA187" t="s">
        <v>4584</v>
      </c>
      <c r="BB187" t="s">
        <v>6917</v>
      </c>
    </row>
    <row r="188" spans="1:54" x14ac:dyDescent="0.25">
      <c r="A188" t="s">
        <v>6918</v>
      </c>
      <c r="B188" t="s">
        <v>6919</v>
      </c>
      <c r="C188" t="s">
        <v>692</v>
      </c>
      <c r="D188">
        <v>2022</v>
      </c>
      <c r="E188" t="s">
        <v>6920</v>
      </c>
      <c r="F188">
        <v>137</v>
      </c>
      <c r="G188">
        <v>5</v>
      </c>
      <c r="H188">
        <v>553</v>
      </c>
      <c r="M188" t="s">
        <v>709</v>
      </c>
      <c r="N188" t="s">
        <v>6921</v>
      </c>
      <c r="O188" t="s">
        <v>6922</v>
      </c>
      <c r="P188" t="s">
        <v>6923</v>
      </c>
      <c r="Q188" t="s">
        <v>6924</v>
      </c>
      <c r="X188" t="s">
        <v>6925</v>
      </c>
      <c r="Y188" t="s">
        <v>6926</v>
      </c>
      <c r="Z188" t="s">
        <v>6927</v>
      </c>
      <c r="AI188" t="s">
        <v>6928</v>
      </c>
      <c r="AJ188" t="s">
        <v>6929</v>
      </c>
      <c r="AM188" t="s">
        <v>4748</v>
      </c>
      <c r="AR188">
        <v>21905444</v>
      </c>
      <c r="AV188" t="s">
        <v>78</v>
      </c>
      <c r="AW188" t="s">
        <v>707</v>
      </c>
      <c r="AX188" t="s">
        <v>79</v>
      </c>
      <c r="AY188" t="s">
        <v>4620</v>
      </c>
      <c r="BA188" t="s">
        <v>4584</v>
      </c>
      <c r="BB188" t="s">
        <v>6930</v>
      </c>
    </row>
    <row r="189" spans="1:54" x14ac:dyDescent="0.25">
      <c r="A189" t="s">
        <v>6931</v>
      </c>
      <c r="B189" t="s">
        <v>6932</v>
      </c>
      <c r="C189" t="s">
        <v>4038</v>
      </c>
      <c r="D189">
        <v>2022</v>
      </c>
      <c r="E189" t="s">
        <v>6933</v>
      </c>
      <c r="F189">
        <v>158</v>
      </c>
      <c r="H189">
        <v>112009</v>
      </c>
      <c r="M189" t="s">
        <v>4052</v>
      </c>
      <c r="N189" t="s">
        <v>6934</v>
      </c>
      <c r="O189" t="s">
        <v>6935</v>
      </c>
      <c r="P189" t="s">
        <v>6936</v>
      </c>
      <c r="Q189" t="s">
        <v>6937</v>
      </c>
      <c r="R189" t="s">
        <v>6938</v>
      </c>
      <c r="S189" t="s">
        <v>6939</v>
      </c>
      <c r="Y189" t="s">
        <v>6940</v>
      </c>
      <c r="AI189" t="s">
        <v>6941</v>
      </c>
      <c r="AJ189" t="s">
        <v>6942</v>
      </c>
      <c r="AM189" t="s">
        <v>4635</v>
      </c>
      <c r="AR189">
        <v>9600779</v>
      </c>
      <c r="AT189" t="s">
        <v>6943</v>
      </c>
      <c r="AV189" t="s">
        <v>78</v>
      </c>
      <c r="AW189" t="s">
        <v>4051</v>
      </c>
      <c r="AX189" t="s">
        <v>162</v>
      </c>
      <c r="AY189" t="s">
        <v>4620</v>
      </c>
      <c r="AZ189" t="s">
        <v>4771</v>
      </c>
      <c r="BA189" t="s">
        <v>4584</v>
      </c>
      <c r="BB189" t="s">
        <v>6944</v>
      </c>
    </row>
    <row r="190" spans="1:54" x14ac:dyDescent="0.25">
      <c r="A190" t="s">
        <v>6945</v>
      </c>
      <c r="B190" t="s">
        <v>6946</v>
      </c>
      <c r="C190" t="s">
        <v>6947</v>
      </c>
      <c r="D190">
        <v>2022</v>
      </c>
      <c r="E190" t="s">
        <v>6948</v>
      </c>
      <c r="F190">
        <v>17</v>
      </c>
      <c r="G190">
        <v>5</v>
      </c>
      <c r="I190">
        <v>1445</v>
      </c>
      <c r="J190">
        <v>1449</v>
      </c>
      <c r="M190" t="s">
        <v>6949</v>
      </c>
      <c r="N190" t="s">
        <v>6950</v>
      </c>
      <c r="O190" t="s">
        <v>6951</v>
      </c>
      <c r="P190" t="s">
        <v>6952</v>
      </c>
      <c r="Q190" t="s">
        <v>6953</v>
      </c>
      <c r="R190" t="s">
        <v>6954</v>
      </c>
      <c r="S190" t="s">
        <v>6955</v>
      </c>
      <c r="U190" t="s">
        <v>6956</v>
      </c>
      <c r="AI190" t="s">
        <v>6957</v>
      </c>
      <c r="AJ190" t="s">
        <v>6958</v>
      </c>
      <c r="AM190" t="s">
        <v>5553</v>
      </c>
      <c r="AR190">
        <v>19300433</v>
      </c>
      <c r="AV190" t="s">
        <v>78</v>
      </c>
      <c r="AW190" t="s">
        <v>6959</v>
      </c>
      <c r="AX190" t="s">
        <v>79</v>
      </c>
      <c r="AY190" t="s">
        <v>4620</v>
      </c>
      <c r="AZ190" t="s">
        <v>4688</v>
      </c>
      <c r="BA190" t="s">
        <v>4584</v>
      </c>
      <c r="BB190" t="s">
        <v>6960</v>
      </c>
    </row>
    <row r="191" spans="1:54" x14ac:dyDescent="0.25">
      <c r="A191" t="s">
        <v>6961</v>
      </c>
      <c r="B191" t="s">
        <v>6962</v>
      </c>
      <c r="C191" t="s">
        <v>3126</v>
      </c>
      <c r="D191">
        <v>2022</v>
      </c>
      <c r="E191" t="s">
        <v>5247</v>
      </c>
      <c r="F191">
        <v>183</v>
      </c>
      <c r="H191">
        <v>110154</v>
      </c>
      <c r="M191" t="s">
        <v>3140</v>
      </c>
      <c r="N191" t="s">
        <v>6963</v>
      </c>
      <c r="O191" t="s">
        <v>6964</v>
      </c>
      <c r="P191" t="s">
        <v>6965</v>
      </c>
      <c r="Q191" t="s">
        <v>6966</v>
      </c>
      <c r="R191" t="s">
        <v>6967</v>
      </c>
      <c r="S191" t="s">
        <v>6968</v>
      </c>
      <c r="Y191" t="s">
        <v>6969</v>
      </c>
      <c r="AI191" t="s">
        <v>6970</v>
      </c>
      <c r="AJ191" t="s">
        <v>6971</v>
      </c>
      <c r="AM191" t="s">
        <v>4635</v>
      </c>
      <c r="AR191">
        <v>9698043</v>
      </c>
      <c r="AT191" t="s">
        <v>5258</v>
      </c>
      <c r="AU191">
        <v>35217326</v>
      </c>
      <c r="AV191" t="s">
        <v>78</v>
      </c>
      <c r="AW191" t="s">
        <v>2071</v>
      </c>
      <c r="AX191" t="s">
        <v>79</v>
      </c>
      <c r="AY191" t="s">
        <v>4620</v>
      </c>
      <c r="BA191" t="s">
        <v>4584</v>
      </c>
      <c r="BB191" t="s">
        <v>6972</v>
      </c>
    </row>
    <row r="192" spans="1:54" x14ac:dyDescent="0.25">
      <c r="A192" t="s">
        <v>6973</v>
      </c>
      <c r="B192" t="s">
        <v>6974</v>
      </c>
      <c r="C192" t="s">
        <v>6975</v>
      </c>
      <c r="D192">
        <v>2022</v>
      </c>
      <c r="E192" t="s">
        <v>6976</v>
      </c>
      <c r="F192">
        <v>97</v>
      </c>
      <c r="G192">
        <v>5</v>
      </c>
      <c r="I192">
        <v>251</v>
      </c>
      <c r="J192">
        <v>263</v>
      </c>
      <c r="M192" t="s">
        <v>6977</v>
      </c>
      <c r="N192" t="s">
        <v>6978</v>
      </c>
      <c r="O192" t="s">
        <v>6979</v>
      </c>
      <c r="P192" t="s">
        <v>6980</v>
      </c>
      <c r="Q192" t="s">
        <v>6981</v>
      </c>
      <c r="R192" t="s">
        <v>6982</v>
      </c>
      <c r="Y192" t="s">
        <v>6983</v>
      </c>
      <c r="AI192" t="s">
        <v>6984</v>
      </c>
      <c r="AJ192" t="s">
        <v>6985</v>
      </c>
      <c r="AM192" t="s">
        <v>4635</v>
      </c>
      <c r="AR192">
        <v>3656691</v>
      </c>
      <c r="AT192" t="s">
        <v>6986</v>
      </c>
      <c r="AV192" t="s">
        <v>5228</v>
      </c>
      <c r="AW192" t="s">
        <v>6987</v>
      </c>
      <c r="AX192" t="s">
        <v>79</v>
      </c>
      <c r="AY192" t="s">
        <v>4620</v>
      </c>
      <c r="BA192" t="s">
        <v>4584</v>
      </c>
      <c r="BB192" t="s">
        <v>6988</v>
      </c>
    </row>
    <row r="193" spans="1:54" x14ac:dyDescent="0.25">
      <c r="A193" t="s">
        <v>6989</v>
      </c>
      <c r="B193" t="s">
        <v>6990</v>
      </c>
      <c r="C193" t="s">
        <v>6991</v>
      </c>
      <c r="D193">
        <v>2022</v>
      </c>
      <c r="E193" t="s">
        <v>6992</v>
      </c>
      <c r="F193">
        <v>2238</v>
      </c>
      <c r="G193">
        <v>1</v>
      </c>
      <c r="H193">
        <v>12004</v>
      </c>
      <c r="M193" t="s">
        <v>6993</v>
      </c>
      <c r="N193" t="s">
        <v>6994</v>
      </c>
      <c r="O193" t="s">
        <v>6995</v>
      </c>
      <c r="P193" t="s">
        <v>6996</v>
      </c>
      <c r="Q193" t="s">
        <v>6997</v>
      </c>
      <c r="S193" t="s">
        <v>6998</v>
      </c>
      <c r="X193" t="s">
        <v>6999</v>
      </c>
      <c r="Y193" t="s">
        <v>7000</v>
      </c>
      <c r="AI193" t="s">
        <v>7001</v>
      </c>
      <c r="AM193" t="s">
        <v>7002</v>
      </c>
      <c r="AN193" t="s">
        <v>7003</v>
      </c>
      <c r="AO193" t="s">
        <v>7004</v>
      </c>
      <c r="AQ193">
        <v>178923</v>
      </c>
      <c r="AR193">
        <v>17426588</v>
      </c>
      <c r="AV193" t="s">
        <v>78</v>
      </c>
      <c r="AW193" t="s">
        <v>7005</v>
      </c>
      <c r="AX193" t="s">
        <v>10683</v>
      </c>
      <c r="AY193" t="s">
        <v>4620</v>
      </c>
      <c r="AZ193" t="s">
        <v>4672</v>
      </c>
      <c r="BA193" t="s">
        <v>4584</v>
      </c>
      <c r="BB193" t="s">
        <v>7006</v>
      </c>
    </row>
    <row r="194" spans="1:54" x14ac:dyDescent="0.25">
      <c r="A194" t="s">
        <v>7007</v>
      </c>
      <c r="B194" t="s">
        <v>7008</v>
      </c>
      <c r="C194" t="s">
        <v>7009</v>
      </c>
      <c r="D194">
        <v>2022</v>
      </c>
      <c r="E194" t="s">
        <v>7010</v>
      </c>
      <c r="F194">
        <v>20</v>
      </c>
      <c r="G194">
        <v>4</v>
      </c>
      <c r="I194">
        <v>589</v>
      </c>
      <c r="J194">
        <v>600</v>
      </c>
      <c r="M194" t="s">
        <v>7011</v>
      </c>
      <c r="N194" t="s">
        <v>7012</v>
      </c>
      <c r="O194" t="s">
        <v>7013</v>
      </c>
      <c r="P194" t="s">
        <v>7014</v>
      </c>
      <c r="Q194" t="s">
        <v>7015</v>
      </c>
      <c r="R194" t="s">
        <v>7016</v>
      </c>
      <c r="S194" t="s">
        <v>7017</v>
      </c>
      <c r="U194" t="s">
        <v>7018</v>
      </c>
      <c r="AI194" t="s">
        <v>7019</v>
      </c>
      <c r="AJ194" t="s">
        <v>7020</v>
      </c>
      <c r="AM194" t="s">
        <v>7021</v>
      </c>
      <c r="AR194">
        <v>14778920</v>
      </c>
      <c r="AU194">
        <v>35482376</v>
      </c>
      <c r="AV194" t="s">
        <v>78</v>
      </c>
      <c r="AW194" t="s">
        <v>7022</v>
      </c>
      <c r="AX194" t="s">
        <v>79</v>
      </c>
      <c r="AY194" t="s">
        <v>4620</v>
      </c>
      <c r="AZ194" t="s">
        <v>4672</v>
      </c>
      <c r="BA194" t="s">
        <v>4584</v>
      </c>
      <c r="BB194" t="s">
        <v>7023</v>
      </c>
    </row>
    <row r="195" spans="1:54" x14ac:dyDescent="0.25">
      <c r="A195" t="s">
        <v>7024</v>
      </c>
      <c r="B195" t="s">
        <v>7025</v>
      </c>
      <c r="C195" t="s">
        <v>240</v>
      </c>
      <c r="D195">
        <v>2022</v>
      </c>
      <c r="E195" t="s">
        <v>255</v>
      </c>
      <c r="F195">
        <v>11</v>
      </c>
      <c r="H195" t="s">
        <v>257</v>
      </c>
      <c r="M195" t="s">
        <v>258</v>
      </c>
      <c r="N195" t="s">
        <v>7026</v>
      </c>
      <c r="O195" t="s">
        <v>7027</v>
      </c>
      <c r="P195" t="s">
        <v>7028</v>
      </c>
      <c r="Q195" t="s">
        <v>7029</v>
      </c>
      <c r="R195" t="s">
        <v>7030</v>
      </c>
      <c r="S195" t="s">
        <v>7031</v>
      </c>
      <c r="Y195" t="s">
        <v>7032</v>
      </c>
      <c r="Z195" t="s">
        <v>7033</v>
      </c>
      <c r="AI195" t="s">
        <v>7034</v>
      </c>
      <c r="AJ195" t="s">
        <v>7035</v>
      </c>
      <c r="AM195" t="s">
        <v>4635</v>
      </c>
      <c r="AR195">
        <v>24680672</v>
      </c>
      <c r="AV195" t="s">
        <v>78</v>
      </c>
      <c r="AW195" t="s">
        <v>255</v>
      </c>
      <c r="AX195" t="s">
        <v>79</v>
      </c>
      <c r="AY195" t="s">
        <v>4620</v>
      </c>
      <c r="AZ195" t="s">
        <v>4688</v>
      </c>
      <c r="BA195" t="s">
        <v>4584</v>
      </c>
      <c r="BB195" t="s">
        <v>7036</v>
      </c>
    </row>
    <row r="196" spans="1:54" x14ac:dyDescent="0.25">
      <c r="A196" t="s">
        <v>7037</v>
      </c>
      <c r="B196" t="s">
        <v>7038</v>
      </c>
      <c r="C196" t="s">
        <v>1568</v>
      </c>
      <c r="D196">
        <v>2022</v>
      </c>
      <c r="E196" t="s">
        <v>1578</v>
      </c>
      <c r="F196">
        <v>13</v>
      </c>
      <c r="G196">
        <v>4</v>
      </c>
      <c r="H196">
        <v>497</v>
      </c>
      <c r="L196">
        <v>4</v>
      </c>
      <c r="M196" t="s">
        <v>1579</v>
      </c>
      <c r="N196" t="s">
        <v>7039</v>
      </c>
      <c r="O196" t="s">
        <v>7040</v>
      </c>
      <c r="P196" t="s">
        <v>7041</v>
      </c>
      <c r="Q196" t="s">
        <v>7042</v>
      </c>
      <c r="R196" t="s">
        <v>7043</v>
      </c>
      <c r="S196" t="s">
        <v>7044</v>
      </c>
      <c r="AI196" t="s">
        <v>7045</v>
      </c>
      <c r="AJ196" t="s">
        <v>5406</v>
      </c>
      <c r="AM196" t="s">
        <v>92</v>
      </c>
      <c r="AR196" t="s">
        <v>5407</v>
      </c>
      <c r="AV196" t="s">
        <v>78</v>
      </c>
      <c r="AW196" t="s">
        <v>1578</v>
      </c>
      <c r="AX196" t="s">
        <v>79</v>
      </c>
      <c r="AY196" t="s">
        <v>4620</v>
      </c>
      <c r="AZ196" t="s">
        <v>4688</v>
      </c>
      <c r="BA196" t="s">
        <v>4584</v>
      </c>
      <c r="BB196" t="s">
        <v>7046</v>
      </c>
    </row>
    <row r="197" spans="1:54" x14ac:dyDescent="0.25">
      <c r="A197" t="s">
        <v>7047</v>
      </c>
      <c r="B197" t="s">
        <v>7048</v>
      </c>
      <c r="C197" t="s">
        <v>4526</v>
      </c>
      <c r="D197">
        <v>2022</v>
      </c>
      <c r="E197" t="s">
        <v>7049</v>
      </c>
      <c r="F197">
        <v>15</v>
      </c>
      <c r="G197">
        <v>4</v>
      </c>
      <c r="I197">
        <v>269</v>
      </c>
      <c r="J197">
        <v>276</v>
      </c>
      <c r="L197">
        <v>10</v>
      </c>
      <c r="M197" t="s">
        <v>4544</v>
      </c>
      <c r="N197" t="s">
        <v>7050</v>
      </c>
      <c r="O197" t="s">
        <v>7051</v>
      </c>
      <c r="P197" t="s">
        <v>7052</v>
      </c>
      <c r="Q197" t="s">
        <v>7053</v>
      </c>
      <c r="S197" t="s">
        <v>7054</v>
      </c>
      <c r="X197" t="s">
        <v>7055</v>
      </c>
      <c r="Y197" t="s">
        <v>7056</v>
      </c>
      <c r="Z197" t="s">
        <v>7056</v>
      </c>
      <c r="AI197" t="s">
        <v>7057</v>
      </c>
      <c r="AJ197" t="s">
        <v>7058</v>
      </c>
      <c r="AM197" t="s">
        <v>4774</v>
      </c>
      <c r="AR197">
        <v>17520894</v>
      </c>
      <c r="AV197" t="s">
        <v>78</v>
      </c>
      <c r="AW197" t="s">
        <v>4542</v>
      </c>
      <c r="AX197" t="s">
        <v>79</v>
      </c>
      <c r="AY197" t="s">
        <v>4620</v>
      </c>
      <c r="AZ197" t="s">
        <v>4771</v>
      </c>
      <c r="BA197" t="s">
        <v>4584</v>
      </c>
      <c r="BB197" t="s">
        <v>7059</v>
      </c>
    </row>
    <row r="198" spans="1:54" x14ac:dyDescent="0.25">
      <c r="A198" t="s">
        <v>7060</v>
      </c>
      <c r="B198" t="s">
        <v>7061</v>
      </c>
      <c r="C198" t="s">
        <v>4294</v>
      </c>
      <c r="D198">
        <v>2022</v>
      </c>
      <c r="E198" t="s">
        <v>7062</v>
      </c>
      <c r="F198">
        <v>5</v>
      </c>
      <c r="G198">
        <v>2</v>
      </c>
      <c r="H198">
        <v>32</v>
      </c>
      <c r="L198">
        <v>3</v>
      </c>
      <c r="M198" t="s">
        <v>4311</v>
      </c>
      <c r="N198" t="s">
        <v>7063</v>
      </c>
      <c r="O198" t="s">
        <v>7064</v>
      </c>
      <c r="P198" t="s">
        <v>7065</v>
      </c>
      <c r="Q198" t="s">
        <v>7066</v>
      </c>
      <c r="R198" t="s">
        <v>7067</v>
      </c>
      <c r="X198" t="s">
        <v>7068</v>
      </c>
      <c r="Y198" t="s">
        <v>7069</v>
      </c>
      <c r="AI198" t="s">
        <v>7070</v>
      </c>
      <c r="AJ198" t="s">
        <v>7071</v>
      </c>
      <c r="AM198" t="s">
        <v>92</v>
      </c>
      <c r="AR198">
        <v>25715577</v>
      </c>
      <c r="AV198" t="s">
        <v>78</v>
      </c>
      <c r="AW198" t="s">
        <v>4310</v>
      </c>
      <c r="AX198" t="s">
        <v>79</v>
      </c>
      <c r="AY198" t="s">
        <v>4620</v>
      </c>
      <c r="AZ198" t="s">
        <v>4672</v>
      </c>
      <c r="BA198" t="s">
        <v>4584</v>
      </c>
      <c r="BB198" t="s">
        <v>7072</v>
      </c>
    </row>
    <row r="199" spans="1:54" x14ac:dyDescent="0.25">
      <c r="A199" t="s">
        <v>7073</v>
      </c>
      <c r="B199" t="s">
        <v>7074</v>
      </c>
      <c r="C199" t="s">
        <v>863</v>
      </c>
      <c r="D199">
        <v>2022</v>
      </c>
      <c r="E199" t="s">
        <v>7075</v>
      </c>
      <c r="F199">
        <v>256</v>
      </c>
      <c r="H199">
        <v>113997</v>
      </c>
      <c r="M199" t="s">
        <v>880</v>
      </c>
      <c r="N199" t="s">
        <v>7076</v>
      </c>
      <c r="O199" t="s">
        <v>7077</v>
      </c>
      <c r="P199" t="s">
        <v>7078</v>
      </c>
      <c r="Q199" t="s">
        <v>7079</v>
      </c>
      <c r="R199" t="s">
        <v>7080</v>
      </c>
      <c r="S199" t="s">
        <v>7081</v>
      </c>
      <c r="Y199" t="s">
        <v>7082</v>
      </c>
      <c r="Z199" t="s">
        <v>7083</v>
      </c>
      <c r="AI199" t="s">
        <v>7084</v>
      </c>
      <c r="AJ199" t="s">
        <v>7085</v>
      </c>
      <c r="AM199" t="s">
        <v>4635</v>
      </c>
      <c r="AR199">
        <v>1410296</v>
      </c>
      <c r="AT199" t="s">
        <v>7086</v>
      </c>
      <c r="AV199" t="s">
        <v>78</v>
      </c>
      <c r="AW199" t="s">
        <v>878</v>
      </c>
      <c r="AX199" t="s">
        <v>79</v>
      </c>
      <c r="AY199" t="s">
        <v>4620</v>
      </c>
      <c r="BA199" t="s">
        <v>4584</v>
      </c>
      <c r="BB199" t="s">
        <v>7087</v>
      </c>
    </row>
    <row r="200" spans="1:54" x14ac:dyDescent="0.25">
      <c r="A200" t="s">
        <v>7088</v>
      </c>
      <c r="B200" t="s">
        <v>7089</v>
      </c>
      <c r="C200" t="s">
        <v>2188</v>
      </c>
      <c r="D200">
        <v>2022</v>
      </c>
      <c r="E200" t="s">
        <v>7090</v>
      </c>
      <c r="F200">
        <v>46</v>
      </c>
      <c r="H200">
        <v>101577</v>
      </c>
      <c r="L200">
        <v>4</v>
      </c>
      <c r="M200" t="s">
        <v>2206</v>
      </c>
      <c r="N200" t="s">
        <v>7091</v>
      </c>
      <c r="O200" t="s">
        <v>7092</v>
      </c>
      <c r="P200" t="s">
        <v>7093</v>
      </c>
      <c r="Q200" t="s">
        <v>7094</v>
      </c>
      <c r="R200" t="s">
        <v>7095</v>
      </c>
      <c r="X200" t="s">
        <v>7096</v>
      </c>
      <c r="Y200" t="s">
        <v>7097</v>
      </c>
      <c r="Z200" t="s">
        <v>7098</v>
      </c>
      <c r="AA200" t="s">
        <v>7099</v>
      </c>
      <c r="AB200" t="s">
        <v>7100</v>
      </c>
      <c r="AI200" t="s">
        <v>7101</v>
      </c>
    </row>
    <row r="201" spans="1:54" x14ac:dyDescent="0.25">
      <c r="A201" t="s">
        <v>7102</v>
      </c>
      <c r="B201" t="s">
        <v>7103</v>
      </c>
      <c r="C201" t="s">
        <v>2211</v>
      </c>
      <c r="D201">
        <v>2022</v>
      </c>
      <c r="E201" t="s">
        <v>7104</v>
      </c>
      <c r="F201">
        <v>27</v>
      </c>
      <c r="G201">
        <v>4</v>
      </c>
      <c r="I201">
        <v>364</v>
      </c>
      <c r="J201">
        <v>378</v>
      </c>
      <c r="L201">
        <v>15</v>
      </c>
      <c r="M201" t="s">
        <v>2230</v>
      </c>
      <c r="N201" t="s">
        <v>7105</v>
      </c>
      <c r="O201" t="s">
        <v>7106</v>
      </c>
      <c r="P201" t="s">
        <v>7107</v>
      </c>
      <c r="Q201" t="s">
        <v>7108</v>
      </c>
      <c r="R201" t="s">
        <v>7109</v>
      </c>
      <c r="S201" t="s">
        <v>7110</v>
      </c>
      <c r="X201" t="s">
        <v>7111</v>
      </c>
      <c r="Y201" t="s">
        <v>7112</v>
      </c>
      <c r="Z201" t="s">
        <v>7113</v>
      </c>
      <c r="AI201" t="s">
        <v>7114</v>
      </c>
      <c r="AJ201" t="s">
        <v>7115</v>
      </c>
      <c r="AM201" t="s">
        <v>4635</v>
      </c>
      <c r="AR201">
        <v>13601385</v>
      </c>
      <c r="AT201" t="s">
        <v>7116</v>
      </c>
      <c r="AU201">
        <v>35000859</v>
      </c>
      <c r="AV201" t="s">
        <v>78</v>
      </c>
      <c r="AW201" t="s">
        <v>2229</v>
      </c>
      <c r="AX201" t="s">
        <v>162</v>
      </c>
      <c r="AY201" t="s">
        <v>4620</v>
      </c>
      <c r="AZ201" t="s">
        <v>6235</v>
      </c>
      <c r="BA201" t="s">
        <v>4584</v>
      </c>
      <c r="BB201" t="s">
        <v>7117</v>
      </c>
    </row>
    <row r="202" spans="1:54" x14ac:dyDescent="0.25">
      <c r="A202" t="s">
        <v>7118</v>
      </c>
      <c r="B202" t="s">
        <v>7119</v>
      </c>
      <c r="C202" t="s">
        <v>3500</v>
      </c>
      <c r="D202">
        <v>2022</v>
      </c>
      <c r="E202" t="s">
        <v>7120</v>
      </c>
      <c r="F202">
        <v>25</v>
      </c>
      <c r="G202">
        <v>4</v>
      </c>
      <c r="H202" t="s">
        <v>3519</v>
      </c>
      <c r="M202" t="s">
        <v>3520</v>
      </c>
      <c r="N202" t="s">
        <v>7121</v>
      </c>
      <c r="O202" t="s">
        <v>7122</v>
      </c>
      <c r="P202" t="s">
        <v>7123</v>
      </c>
      <c r="Q202" t="s">
        <v>7124</v>
      </c>
      <c r="R202" t="s">
        <v>3502</v>
      </c>
      <c r="S202" t="s">
        <v>7125</v>
      </c>
      <c r="X202" t="s">
        <v>7126</v>
      </c>
      <c r="Y202" t="s">
        <v>7127</v>
      </c>
      <c r="AI202" t="s">
        <v>7128</v>
      </c>
      <c r="AJ202" t="s">
        <v>7129</v>
      </c>
      <c r="AM202" t="s">
        <v>7130</v>
      </c>
      <c r="AR202">
        <v>11387416</v>
      </c>
      <c r="AU202">
        <v>35343420</v>
      </c>
      <c r="AV202" t="s">
        <v>78</v>
      </c>
      <c r="AW202" t="s">
        <v>3517</v>
      </c>
      <c r="AX202" t="s">
        <v>79</v>
      </c>
      <c r="AY202" t="s">
        <v>4620</v>
      </c>
      <c r="BA202" t="s">
        <v>4584</v>
      </c>
      <c r="BB202" t="s">
        <v>7131</v>
      </c>
    </row>
    <row r="203" spans="1:54" x14ac:dyDescent="0.25">
      <c r="A203" t="s">
        <v>7132</v>
      </c>
      <c r="B203" t="s">
        <v>7133</v>
      </c>
      <c r="C203" t="s">
        <v>7134</v>
      </c>
      <c r="D203">
        <v>2022</v>
      </c>
      <c r="E203" t="s">
        <v>7135</v>
      </c>
      <c r="F203">
        <v>33</v>
      </c>
      <c r="H203" t="s">
        <v>7136</v>
      </c>
      <c r="N203" t="s">
        <v>7137</v>
      </c>
      <c r="O203" t="s">
        <v>10738</v>
      </c>
      <c r="P203" t="s">
        <v>10739</v>
      </c>
      <c r="Q203" t="s">
        <v>7138</v>
      </c>
      <c r="R203" t="s">
        <v>7139</v>
      </c>
      <c r="AI203" t="s">
        <v>7140</v>
      </c>
      <c r="AJ203" t="s">
        <v>7141</v>
      </c>
      <c r="AM203" t="s">
        <v>7142</v>
      </c>
      <c r="AR203">
        <v>23072113</v>
      </c>
      <c r="AV203" t="s">
        <v>1234</v>
      </c>
      <c r="AW203" t="s">
        <v>7143</v>
      </c>
      <c r="AX203" t="s">
        <v>79</v>
      </c>
      <c r="AY203" t="s">
        <v>4620</v>
      </c>
      <c r="BA203" t="s">
        <v>4584</v>
      </c>
      <c r="BB203" t="s">
        <v>7144</v>
      </c>
    </row>
    <row r="204" spans="1:54" x14ac:dyDescent="0.25">
      <c r="A204" t="s">
        <v>7145</v>
      </c>
      <c r="B204" t="s">
        <v>7146</v>
      </c>
      <c r="C204" t="s">
        <v>985</v>
      </c>
      <c r="D204">
        <v>2022</v>
      </c>
      <c r="E204" t="s">
        <v>1000</v>
      </c>
      <c r="F204">
        <v>7</v>
      </c>
      <c r="G204">
        <v>10</v>
      </c>
      <c r="H204" t="s">
        <v>1002</v>
      </c>
      <c r="L204">
        <v>3</v>
      </c>
      <c r="M204" t="s">
        <v>1003</v>
      </c>
      <c r="N204" t="s">
        <v>7147</v>
      </c>
      <c r="O204" t="s">
        <v>7148</v>
      </c>
      <c r="P204" t="s">
        <v>7149</v>
      </c>
      <c r="Q204" t="s">
        <v>7150</v>
      </c>
      <c r="R204" t="s">
        <v>987</v>
      </c>
      <c r="X204" t="s">
        <v>7151</v>
      </c>
      <c r="Y204" t="s">
        <v>7152</v>
      </c>
      <c r="AI204" t="s">
        <v>7153</v>
      </c>
      <c r="AJ204" t="s">
        <v>7154</v>
      </c>
    </row>
    <row r="205" spans="1:54" x14ac:dyDescent="0.25">
      <c r="A205" t="s">
        <v>4585</v>
      </c>
      <c r="B205" t="s">
        <v>10740</v>
      </c>
      <c r="C205" t="s">
        <v>10741</v>
      </c>
      <c r="D205" t="s">
        <v>10729</v>
      </c>
      <c r="G205" t="s">
        <v>5109</v>
      </c>
      <c r="L205">
        <v>23656549</v>
      </c>
      <c r="P205" t="s">
        <v>78</v>
      </c>
      <c r="Q205" t="s">
        <v>1000</v>
      </c>
      <c r="R205" t="s">
        <v>79</v>
      </c>
      <c r="S205" t="s">
        <v>4620</v>
      </c>
      <c r="U205" t="s">
        <v>4584</v>
      </c>
      <c r="V205" t="s">
        <v>7155</v>
      </c>
    </row>
    <row r="206" spans="1:54" x14ac:dyDescent="0.25">
      <c r="A206" t="s">
        <v>7156</v>
      </c>
      <c r="B206" t="s">
        <v>7157</v>
      </c>
      <c r="C206" t="s">
        <v>7158</v>
      </c>
      <c r="D206">
        <v>2022</v>
      </c>
      <c r="E206" t="s">
        <v>4638</v>
      </c>
      <c r="F206">
        <v>1252</v>
      </c>
      <c r="H206">
        <v>132098</v>
      </c>
      <c r="L206">
        <v>1</v>
      </c>
      <c r="M206" t="s">
        <v>7159</v>
      </c>
      <c r="N206" t="s">
        <v>7160</v>
      </c>
      <c r="O206" t="s">
        <v>7161</v>
      </c>
      <c r="P206" t="s">
        <v>7162</v>
      </c>
      <c r="Q206" t="s">
        <v>7163</v>
      </c>
      <c r="R206" t="s">
        <v>7164</v>
      </c>
      <c r="S206" t="s">
        <v>7165</v>
      </c>
      <c r="X206" t="s">
        <v>7166</v>
      </c>
      <c r="Y206" t="s">
        <v>7167</v>
      </c>
      <c r="Z206" t="s">
        <v>7168</v>
      </c>
      <c r="AI206" t="s">
        <v>7169</v>
      </c>
      <c r="AJ206" t="s">
        <v>7170</v>
      </c>
      <c r="AM206" t="s">
        <v>4650</v>
      </c>
      <c r="AR206">
        <v>222860</v>
      </c>
      <c r="AT206" t="s">
        <v>4651</v>
      </c>
      <c r="AV206" t="s">
        <v>78</v>
      </c>
      <c r="AW206" t="s">
        <v>597</v>
      </c>
      <c r="AX206" t="s">
        <v>79</v>
      </c>
      <c r="AY206" t="s">
        <v>4620</v>
      </c>
      <c r="BA206" t="s">
        <v>4584</v>
      </c>
      <c r="BB206" t="s">
        <v>7171</v>
      </c>
    </row>
    <row r="207" spans="1:54" x14ac:dyDescent="0.25">
      <c r="A207" t="s">
        <v>7172</v>
      </c>
      <c r="B207" t="s">
        <v>7173</v>
      </c>
      <c r="C207" t="s">
        <v>7174</v>
      </c>
      <c r="D207">
        <v>2022</v>
      </c>
      <c r="E207" t="s">
        <v>4669</v>
      </c>
      <c r="F207">
        <v>27</v>
      </c>
      <c r="G207">
        <v>98</v>
      </c>
      <c r="I207">
        <v>713</v>
      </c>
      <c r="J207">
        <v>728</v>
      </c>
      <c r="M207" t="s">
        <v>7175</v>
      </c>
      <c r="N207" t="s">
        <v>7176</v>
      </c>
      <c r="O207" t="s">
        <v>7177</v>
      </c>
      <c r="P207" t="s">
        <v>7178</v>
      </c>
      <c r="Q207" t="s">
        <v>7179</v>
      </c>
      <c r="R207" t="s">
        <v>7180</v>
      </c>
      <c r="S207" t="s">
        <v>7181</v>
      </c>
      <c r="AI207" t="s">
        <v>7182</v>
      </c>
      <c r="AM207" t="s">
        <v>4670</v>
      </c>
      <c r="AR207">
        <v>13159984</v>
      </c>
      <c r="AV207" t="s">
        <v>1234</v>
      </c>
      <c r="AW207" t="s">
        <v>4671</v>
      </c>
      <c r="AX207" t="s">
        <v>79</v>
      </c>
      <c r="AY207" t="s">
        <v>4620</v>
      </c>
      <c r="AZ207" t="s">
        <v>4688</v>
      </c>
      <c r="BA207" t="s">
        <v>4584</v>
      </c>
      <c r="BB207" t="s">
        <v>7183</v>
      </c>
    </row>
    <row r="208" spans="1:54" x14ac:dyDescent="0.25">
      <c r="A208" t="s">
        <v>7184</v>
      </c>
      <c r="B208" t="s">
        <v>7185</v>
      </c>
      <c r="C208" t="s">
        <v>7186</v>
      </c>
      <c r="D208">
        <v>2022</v>
      </c>
      <c r="E208" t="s">
        <v>4669</v>
      </c>
      <c r="F208">
        <v>27</v>
      </c>
      <c r="G208">
        <v>98</v>
      </c>
      <c r="I208">
        <v>619</v>
      </c>
      <c r="J208">
        <v>633</v>
      </c>
      <c r="M208" t="s">
        <v>7187</v>
      </c>
      <c r="N208" t="s">
        <v>7188</v>
      </c>
      <c r="O208" t="s">
        <v>7189</v>
      </c>
      <c r="P208" t="s">
        <v>7190</v>
      </c>
      <c r="Q208" t="s">
        <v>7191</v>
      </c>
      <c r="R208" t="s">
        <v>7192</v>
      </c>
      <c r="S208" t="s">
        <v>7193</v>
      </c>
      <c r="AI208" t="s">
        <v>7194</v>
      </c>
      <c r="AM208" t="s">
        <v>4670</v>
      </c>
      <c r="AR208">
        <v>13159984</v>
      </c>
      <c r="AV208" t="s">
        <v>1234</v>
      </c>
      <c r="AW208" t="s">
        <v>4671</v>
      </c>
      <c r="AX208" t="s">
        <v>79</v>
      </c>
      <c r="AY208" t="s">
        <v>4620</v>
      </c>
      <c r="AZ208" t="s">
        <v>4688</v>
      </c>
      <c r="BA208" t="s">
        <v>4584</v>
      </c>
      <c r="BB208" t="s">
        <v>7195</v>
      </c>
    </row>
    <row r="209" spans="1:54" x14ac:dyDescent="0.25">
      <c r="A209" t="s">
        <v>7196</v>
      </c>
      <c r="B209" t="s">
        <v>7197</v>
      </c>
      <c r="C209" t="s">
        <v>7198</v>
      </c>
      <c r="D209">
        <v>2022</v>
      </c>
      <c r="E209" t="s">
        <v>6707</v>
      </c>
      <c r="F209">
        <v>2022</v>
      </c>
      <c r="G209">
        <v>42</v>
      </c>
      <c r="H209" t="s">
        <v>7199</v>
      </c>
      <c r="M209" t="s">
        <v>7200</v>
      </c>
      <c r="N209" t="s">
        <v>7201</v>
      </c>
      <c r="O209" t="s">
        <v>7202</v>
      </c>
      <c r="P209" t="s">
        <v>7203</v>
      </c>
      <c r="Q209" t="s">
        <v>7204</v>
      </c>
      <c r="R209" t="s">
        <v>7205</v>
      </c>
      <c r="X209" t="s">
        <v>7206</v>
      </c>
      <c r="Y209" t="s">
        <v>7207</v>
      </c>
      <c r="AI209" t="s">
        <v>7208</v>
      </c>
      <c r="AJ209" t="s">
        <v>7209</v>
      </c>
      <c r="AM209" t="s">
        <v>431</v>
      </c>
      <c r="AR209">
        <v>1218530</v>
      </c>
      <c r="AV209" t="s">
        <v>1234</v>
      </c>
      <c r="AW209" t="s">
        <v>6707</v>
      </c>
      <c r="AX209" t="s">
        <v>79</v>
      </c>
      <c r="AY209" t="s">
        <v>4620</v>
      </c>
      <c r="AZ209" t="s">
        <v>4672</v>
      </c>
      <c r="BA209" t="s">
        <v>4584</v>
      </c>
      <c r="BB209" t="s">
        <v>7210</v>
      </c>
    </row>
    <row r="210" spans="1:54" x14ac:dyDescent="0.25">
      <c r="A210" t="s">
        <v>7211</v>
      </c>
      <c r="B210" t="s">
        <v>7212</v>
      </c>
      <c r="C210" t="s">
        <v>7213</v>
      </c>
      <c r="D210">
        <v>2022</v>
      </c>
      <c r="E210" t="s">
        <v>6707</v>
      </c>
      <c r="F210">
        <v>2022</v>
      </c>
      <c r="G210">
        <v>42</v>
      </c>
      <c r="H210" t="s">
        <v>7214</v>
      </c>
      <c r="M210" t="s">
        <v>7215</v>
      </c>
      <c r="N210" t="s">
        <v>7216</v>
      </c>
      <c r="O210" t="s">
        <v>7217</v>
      </c>
      <c r="P210" t="s">
        <v>7218</v>
      </c>
      <c r="Q210" t="s">
        <v>7219</v>
      </c>
      <c r="R210" t="s">
        <v>7220</v>
      </c>
      <c r="AI210" t="s">
        <v>7221</v>
      </c>
      <c r="AJ210" t="s">
        <v>7222</v>
      </c>
      <c r="AM210" t="s">
        <v>431</v>
      </c>
      <c r="AR210">
        <v>1218530</v>
      </c>
      <c r="AV210" t="s">
        <v>1234</v>
      </c>
      <c r="AW210" t="s">
        <v>6707</v>
      </c>
      <c r="AX210" t="s">
        <v>79</v>
      </c>
      <c r="AY210" t="s">
        <v>4620</v>
      </c>
      <c r="AZ210" t="s">
        <v>4672</v>
      </c>
      <c r="BA210" t="s">
        <v>4584</v>
      </c>
      <c r="BB210" t="s">
        <v>7223</v>
      </c>
    </row>
    <row r="211" spans="1:54" x14ac:dyDescent="0.25">
      <c r="A211" t="s">
        <v>7224</v>
      </c>
      <c r="B211" t="s">
        <v>7225</v>
      </c>
      <c r="C211" t="s">
        <v>7226</v>
      </c>
      <c r="D211">
        <v>2022</v>
      </c>
      <c r="E211" t="s">
        <v>6707</v>
      </c>
      <c r="F211">
        <v>2022</v>
      </c>
      <c r="G211">
        <v>42</v>
      </c>
      <c r="H211" t="s">
        <v>7227</v>
      </c>
      <c r="M211" t="s">
        <v>7228</v>
      </c>
      <c r="N211" t="s">
        <v>7229</v>
      </c>
      <c r="O211" t="s">
        <v>7230</v>
      </c>
      <c r="P211" t="s">
        <v>7231</v>
      </c>
      <c r="Q211" t="s">
        <v>7232</v>
      </c>
      <c r="R211" t="s">
        <v>7233</v>
      </c>
      <c r="X211" t="s">
        <v>7234</v>
      </c>
      <c r="Y211" t="s">
        <v>7235</v>
      </c>
      <c r="AI211" t="s">
        <v>7236</v>
      </c>
      <c r="AJ211" t="s">
        <v>7237</v>
      </c>
      <c r="AM211" t="s">
        <v>431</v>
      </c>
      <c r="AR211">
        <v>1218530</v>
      </c>
      <c r="AV211" t="s">
        <v>1234</v>
      </c>
      <c r="AW211" t="s">
        <v>6707</v>
      </c>
      <c r="AX211" t="s">
        <v>79</v>
      </c>
      <c r="AY211" t="s">
        <v>4620</v>
      </c>
      <c r="AZ211" t="s">
        <v>4672</v>
      </c>
      <c r="BA211" t="s">
        <v>4584</v>
      </c>
      <c r="BB211" t="s">
        <v>7238</v>
      </c>
    </row>
    <row r="212" spans="1:54" x14ac:dyDescent="0.25">
      <c r="A212" t="s">
        <v>7239</v>
      </c>
      <c r="B212" t="s">
        <v>7240</v>
      </c>
      <c r="C212" t="s">
        <v>7241</v>
      </c>
      <c r="D212">
        <v>2022</v>
      </c>
      <c r="E212" t="s">
        <v>6707</v>
      </c>
      <c r="F212">
        <v>2022</v>
      </c>
      <c r="G212">
        <v>42</v>
      </c>
      <c r="H212" t="s">
        <v>7242</v>
      </c>
      <c r="M212" t="s">
        <v>7243</v>
      </c>
      <c r="N212" t="s">
        <v>7244</v>
      </c>
      <c r="O212" t="s">
        <v>7245</v>
      </c>
      <c r="P212" t="s">
        <v>7246</v>
      </c>
      <c r="Q212" t="s">
        <v>7247</v>
      </c>
      <c r="R212" t="s">
        <v>7248</v>
      </c>
      <c r="Y212" t="s">
        <v>7249</v>
      </c>
      <c r="AI212" t="s">
        <v>7250</v>
      </c>
      <c r="AJ212" t="s">
        <v>7251</v>
      </c>
      <c r="AM212" t="s">
        <v>431</v>
      </c>
      <c r="AR212">
        <v>1218530</v>
      </c>
      <c r="AV212" t="s">
        <v>1234</v>
      </c>
      <c r="AW212" t="s">
        <v>6707</v>
      </c>
      <c r="AX212" t="s">
        <v>79</v>
      </c>
      <c r="AY212" t="s">
        <v>4620</v>
      </c>
      <c r="AZ212" t="s">
        <v>4672</v>
      </c>
      <c r="BA212" t="s">
        <v>4584</v>
      </c>
      <c r="BB212" t="s">
        <v>7252</v>
      </c>
    </row>
    <row r="213" spans="1:54" x14ac:dyDescent="0.25">
      <c r="A213" t="s">
        <v>7253</v>
      </c>
      <c r="B213" t="s">
        <v>7254</v>
      </c>
      <c r="C213" t="s">
        <v>7255</v>
      </c>
      <c r="D213">
        <v>2022</v>
      </c>
      <c r="E213" t="s">
        <v>6707</v>
      </c>
      <c r="F213">
        <v>2022</v>
      </c>
      <c r="G213">
        <v>43</v>
      </c>
      <c r="H213" t="s">
        <v>7256</v>
      </c>
      <c r="M213" t="s">
        <v>7257</v>
      </c>
      <c r="N213" t="s">
        <v>7258</v>
      </c>
      <c r="O213" t="s">
        <v>7259</v>
      </c>
      <c r="P213" t="s">
        <v>7260</v>
      </c>
      <c r="Q213" t="s">
        <v>7261</v>
      </c>
      <c r="R213" t="s">
        <v>7262</v>
      </c>
      <c r="AI213" t="s">
        <v>7263</v>
      </c>
      <c r="AM213" t="s">
        <v>431</v>
      </c>
      <c r="AR213">
        <v>1218530</v>
      </c>
      <c r="AV213" t="s">
        <v>78</v>
      </c>
      <c r="AW213" t="s">
        <v>6707</v>
      </c>
      <c r="AX213" t="s">
        <v>79</v>
      </c>
      <c r="AY213" t="s">
        <v>4620</v>
      </c>
      <c r="AZ213" t="s">
        <v>4672</v>
      </c>
      <c r="BA213" t="s">
        <v>4584</v>
      </c>
      <c r="BB213" t="s">
        <v>7264</v>
      </c>
    </row>
    <row r="214" spans="1:54" x14ac:dyDescent="0.25">
      <c r="A214" t="s">
        <v>7265</v>
      </c>
      <c r="B214" t="s">
        <v>7266</v>
      </c>
      <c r="C214" t="s">
        <v>7267</v>
      </c>
      <c r="D214">
        <v>2022</v>
      </c>
      <c r="E214" t="s">
        <v>6707</v>
      </c>
      <c r="F214">
        <v>2022</v>
      </c>
      <c r="G214">
        <v>43</v>
      </c>
      <c r="H214" t="s">
        <v>7268</v>
      </c>
      <c r="M214" t="s">
        <v>7269</v>
      </c>
      <c r="N214" t="s">
        <v>7270</v>
      </c>
      <c r="O214" t="s">
        <v>7271</v>
      </c>
      <c r="P214" t="s">
        <v>7272</v>
      </c>
      <c r="Q214" t="s">
        <v>7273</v>
      </c>
      <c r="R214" t="s">
        <v>7274</v>
      </c>
      <c r="X214" t="s">
        <v>7275</v>
      </c>
      <c r="Y214" t="s">
        <v>7276</v>
      </c>
      <c r="AI214" t="s">
        <v>7277</v>
      </c>
      <c r="AJ214" t="s">
        <v>7278</v>
      </c>
      <c r="AM214" t="s">
        <v>431</v>
      </c>
      <c r="AR214">
        <v>1218530</v>
      </c>
      <c r="AV214" t="s">
        <v>1234</v>
      </c>
      <c r="AW214" t="s">
        <v>6707</v>
      </c>
      <c r="AX214" t="s">
        <v>79</v>
      </c>
      <c r="AY214" t="s">
        <v>4620</v>
      </c>
      <c r="AZ214" t="s">
        <v>4672</v>
      </c>
      <c r="BA214" t="s">
        <v>4584</v>
      </c>
      <c r="BB214" t="s">
        <v>7279</v>
      </c>
    </row>
    <row r="215" spans="1:54" x14ac:dyDescent="0.25">
      <c r="A215" t="s">
        <v>7280</v>
      </c>
      <c r="B215" t="s">
        <v>7281</v>
      </c>
      <c r="C215" t="s">
        <v>3961</v>
      </c>
      <c r="D215">
        <v>2022</v>
      </c>
      <c r="E215" t="s">
        <v>399</v>
      </c>
      <c r="F215">
        <v>11</v>
      </c>
      <c r="G215">
        <v>5</v>
      </c>
      <c r="H215">
        <v>641</v>
      </c>
      <c r="L215">
        <v>2</v>
      </c>
      <c r="M215" t="s">
        <v>3971</v>
      </c>
      <c r="N215" t="s">
        <v>7282</v>
      </c>
      <c r="O215" t="s">
        <v>5634</v>
      </c>
      <c r="P215" t="s">
        <v>7283</v>
      </c>
      <c r="Q215" t="s">
        <v>7284</v>
      </c>
      <c r="R215" t="s">
        <v>7285</v>
      </c>
      <c r="X215" t="s">
        <v>5638</v>
      </c>
      <c r="Y215" t="s">
        <v>7286</v>
      </c>
      <c r="Z215" t="s">
        <v>7287</v>
      </c>
      <c r="AI215" t="s">
        <v>7288</v>
      </c>
      <c r="AJ215" t="s">
        <v>5642</v>
      </c>
      <c r="AM215" t="s">
        <v>92</v>
      </c>
      <c r="AR215">
        <v>23048158</v>
      </c>
      <c r="AV215" t="s">
        <v>78</v>
      </c>
      <c r="AW215" t="s">
        <v>399</v>
      </c>
      <c r="AX215" t="s">
        <v>79</v>
      </c>
      <c r="AY215" t="s">
        <v>4620</v>
      </c>
      <c r="AZ215" t="s">
        <v>4688</v>
      </c>
      <c r="BA215" t="s">
        <v>4584</v>
      </c>
      <c r="BB215" t="s">
        <v>7289</v>
      </c>
    </row>
    <row r="216" spans="1:54" x14ac:dyDescent="0.25">
      <c r="A216" t="s">
        <v>7290</v>
      </c>
      <c r="B216" t="s">
        <v>7291</v>
      </c>
      <c r="C216" t="s">
        <v>7292</v>
      </c>
      <c r="D216">
        <v>2022</v>
      </c>
      <c r="E216" t="s">
        <v>6707</v>
      </c>
      <c r="F216">
        <v>2022</v>
      </c>
      <c r="G216">
        <v>43</v>
      </c>
      <c r="H216" t="s">
        <v>7293</v>
      </c>
      <c r="M216" t="s">
        <v>7294</v>
      </c>
      <c r="N216" t="s">
        <v>7295</v>
      </c>
      <c r="O216" t="s">
        <v>7296</v>
      </c>
      <c r="P216" t="s">
        <v>7297</v>
      </c>
      <c r="Q216" t="s">
        <v>7298</v>
      </c>
      <c r="R216" t="s">
        <v>7299</v>
      </c>
      <c r="AI216" t="s">
        <v>7300</v>
      </c>
      <c r="AM216" t="s">
        <v>431</v>
      </c>
      <c r="AR216">
        <v>1218530</v>
      </c>
      <c r="AV216" t="s">
        <v>1234</v>
      </c>
      <c r="AW216" t="s">
        <v>6707</v>
      </c>
      <c r="AX216" t="s">
        <v>79</v>
      </c>
      <c r="AY216" t="s">
        <v>4620</v>
      </c>
      <c r="AZ216" t="s">
        <v>4672</v>
      </c>
      <c r="BA216" t="s">
        <v>4584</v>
      </c>
      <c r="BB216" t="s">
        <v>7301</v>
      </c>
    </row>
    <row r="217" spans="1:54" x14ac:dyDescent="0.25">
      <c r="A217" t="s">
        <v>7302</v>
      </c>
      <c r="B217" t="s">
        <v>7303</v>
      </c>
      <c r="C217" t="s">
        <v>7304</v>
      </c>
      <c r="D217">
        <v>2022</v>
      </c>
      <c r="E217" t="s">
        <v>6707</v>
      </c>
      <c r="F217">
        <v>2022</v>
      </c>
      <c r="G217">
        <v>43</v>
      </c>
      <c r="H217" t="s">
        <v>7305</v>
      </c>
      <c r="M217" t="s">
        <v>7306</v>
      </c>
      <c r="N217" t="s">
        <v>7307</v>
      </c>
      <c r="O217" t="s">
        <v>7308</v>
      </c>
      <c r="P217" t="s">
        <v>7309</v>
      </c>
      <c r="Q217" t="s">
        <v>7310</v>
      </c>
      <c r="R217" t="s">
        <v>7311</v>
      </c>
      <c r="AI217" t="s">
        <v>7312</v>
      </c>
      <c r="AJ217" t="s">
        <v>7313</v>
      </c>
      <c r="AM217" t="s">
        <v>431</v>
      </c>
      <c r="AR217">
        <v>1218530</v>
      </c>
      <c r="AV217" t="s">
        <v>1234</v>
      </c>
      <c r="AW217" t="s">
        <v>6707</v>
      </c>
      <c r="AX217" t="s">
        <v>79</v>
      </c>
      <c r="AY217" t="s">
        <v>4620</v>
      </c>
      <c r="AZ217" t="s">
        <v>4672</v>
      </c>
      <c r="BA217" t="s">
        <v>4584</v>
      </c>
      <c r="BB217" t="s">
        <v>7314</v>
      </c>
    </row>
    <row r="218" spans="1:54" x14ac:dyDescent="0.25">
      <c r="A218" t="s">
        <v>7315</v>
      </c>
      <c r="B218" t="s">
        <v>7316</v>
      </c>
      <c r="C218" t="s">
        <v>3367</v>
      </c>
      <c r="D218">
        <v>2022</v>
      </c>
      <c r="E218" t="s">
        <v>7317</v>
      </c>
      <c r="F218">
        <v>22</v>
      </c>
      <c r="G218">
        <v>1</v>
      </c>
      <c r="I218">
        <v>95</v>
      </c>
      <c r="J218">
        <v>103</v>
      </c>
      <c r="M218" t="s">
        <v>3383</v>
      </c>
      <c r="N218" t="s">
        <v>7318</v>
      </c>
      <c r="O218" t="s">
        <v>7319</v>
      </c>
      <c r="P218" t="s">
        <v>7320</v>
      </c>
      <c r="Q218" t="s">
        <v>7321</v>
      </c>
      <c r="R218" t="s">
        <v>7322</v>
      </c>
      <c r="AI218" t="s">
        <v>7323</v>
      </c>
      <c r="AM218" t="s">
        <v>7324</v>
      </c>
      <c r="AR218">
        <v>13119702</v>
      </c>
      <c r="AV218" t="s">
        <v>78</v>
      </c>
      <c r="AW218" t="s">
        <v>3381</v>
      </c>
      <c r="AX218" t="s">
        <v>79</v>
      </c>
      <c r="AY218" t="s">
        <v>4620</v>
      </c>
      <c r="AZ218" t="s">
        <v>4672</v>
      </c>
      <c r="BA218" t="s">
        <v>4584</v>
      </c>
      <c r="BB218" t="s">
        <v>7325</v>
      </c>
    </row>
    <row r="219" spans="1:54" x14ac:dyDescent="0.25">
      <c r="A219" t="s">
        <v>7326</v>
      </c>
      <c r="B219" t="s">
        <v>7327</v>
      </c>
      <c r="C219" t="s">
        <v>7328</v>
      </c>
      <c r="D219">
        <v>2022</v>
      </c>
      <c r="E219" t="s">
        <v>6707</v>
      </c>
      <c r="F219">
        <v>2022</v>
      </c>
      <c r="G219">
        <v>43</v>
      </c>
      <c r="H219" t="s">
        <v>7329</v>
      </c>
      <c r="M219" t="s">
        <v>7330</v>
      </c>
      <c r="N219" t="s">
        <v>7331</v>
      </c>
      <c r="O219" t="s">
        <v>7332</v>
      </c>
      <c r="P219" t="s">
        <v>7333</v>
      </c>
      <c r="Q219" t="s">
        <v>7334</v>
      </c>
      <c r="R219" t="s">
        <v>7335</v>
      </c>
      <c r="AI219" t="s">
        <v>7336</v>
      </c>
      <c r="AJ219" t="s">
        <v>7337</v>
      </c>
      <c r="AM219" t="s">
        <v>431</v>
      </c>
      <c r="AR219">
        <v>1218530</v>
      </c>
      <c r="AV219" t="s">
        <v>1234</v>
      </c>
      <c r="AW219" t="s">
        <v>6707</v>
      </c>
      <c r="AX219" t="s">
        <v>79</v>
      </c>
      <c r="AY219" t="s">
        <v>4620</v>
      </c>
      <c r="AZ219" t="s">
        <v>4672</v>
      </c>
      <c r="BA219" t="s">
        <v>4584</v>
      </c>
      <c r="BB219" t="s">
        <v>7338</v>
      </c>
    </row>
    <row r="220" spans="1:54" x14ac:dyDescent="0.25">
      <c r="A220" t="s">
        <v>7339</v>
      </c>
      <c r="B220" t="s">
        <v>7340</v>
      </c>
      <c r="C220" t="s">
        <v>7341</v>
      </c>
      <c r="D220">
        <v>2022</v>
      </c>
      <c r="E220" t="s">
        <v>6707</v>
      </c>
      <c r="F220">
        <v>2022</v>
      </c>
      <c r="G220">
        <v>43</v>
      </c>
      <c r="H220" t="s">
        <v>1520</v>
      </c>
      <c r="M220" t="s">
        <v>1521</v>
      </c>
      <c r="N220" t="s">
        <v>7342</v>
      </c>
      <c r="O220" t="s">
        <v>4674</v>
      </c>
      <c r="P220" t="s">
        <v>7343</v>
      </c>
      <c r="Q220" t="s">
        <v>7344</v>
      </c>
      <c r="R220" t="s">
        <v>1510</v>
      </c>
      <c r="AI220" t="s">
        <v>7345</v>
      </c>
      <c r="AJ220" t="s">
        <v>7346</v>
      </c>
      <c r="AM220" t="s">
        <v>431</v>
      </c>
      <c r="AR220">
        <v>1218530</v>
      </c>
      <c r="AV220" t="s">
        <v>1234</v>
      </c>
      <c r="AW220" t="s">
        <v>6707</v>
      </c>
      <c r="AX220" t="s">
        <v>79</v>
      </c>
      <c r="AY220" t="s">
        <v>4620</v>
      </c>
      <c r="AZ220" t="s">
        <v>4672</v>
      </c>
      <c r="BA220" t="s">
        <v>4584</v>
      </c>
      <c r="BB220" t="s">
        <v>7347</v>
      </c>
    </row>
    <row r="221" spans="1:54" x14ac:dyDescent="0.25">
      <c r="A221" t="s">
        <v>7348</v>
      </c>
      <c r="B221" t="s">
        <v>7349</v>
      </c>
      <c r="C221" t="s">
        <v>7350</v>
      </c>
      <c r="D221">
        <v>2022</v>
      </c>
      <c r="E221" t="s">
        <v>6707</v>
      </c>
      <c r="F221">
        <v>2022</v>
      </c>
      <c r="G221">
        <v>43</v>
      </c>
      <c r="H221" t="s">
        <v>7351</v>
      </c>
      <c r="M221" t="s">
        <v>7352</v>
      </c>
      <c r="N221" t="s">
        <v>7353</v>
      </c>
      <c r="O221" t="s">
        <v>7354</v>
      </c>
      <c r="P221" t="s">
        <v>7355</v>
      </c>
      <c r="Q221" t="s">
        <v>7356</v>
      </c>
      <c r="R221" t="s">
        <v>7357</v>
      </c>
      <c r="AI221" t="s">
        <v>7358</v>
      </c>
      <c r="AM221" t="s">
        <v>431</v>
      </c>
      <c r="AR221">
        <v>1218530</v>
      </c>
      <c r="AV221" t="s">
        <v>1234</v>
      </c>
      <c r="AW221" t="s">
        <v>6707</v>
      </c>
      <c r="AX221" t="s">
        <v>79</v>
      </c>
      <c r="AY221" t="s">
        <v>4620</v>
      </c>
      <c r="AZ221" t="s">
        <v>4672</v>
      </c>
      <c r="BA221" t="s">
        <v>4584</v>
      </c>
      <c r="BB221" t="s">
        <v>7359</v>
      </c>
    </row>
    <row r="222" spans="1:54" x14ac:dyDescent="0.25">
      <c r="A222" t="s">
        <v>7360</v>
      </c>
      <c r="B222" t="s">
        <v>7361</v>
      </c>
      <c r="C222" t="s">
        <v>7362</v>
      </c>
      <c r="D222">
        <v>2022</v>
      </c>
      <c r="E222" t="s">
        <v>7363</v>
      </c>
      <c r="F222">
        <v>29</v>
      </c>
      <c r="G222">
        <v>1</v>
      </c>
      <c r="H222" t="s">
        <v>3919</v>
      </c>
      <c r="M222" t="s">
        <v>7364</v>
      </c>
      <c r="N222" t="s">
        <v>7365</v>
      </c>
      <c r="O222" t="s">
        <v>7366</v>
      </c>
      <c r="P222" t="s">
        <v>7367</v>
      </c>
      <c r="Q222" t="s">
        <v>7368</v>
      </c>
      <c r="R222" t="s">
        <v>7369</v>
      </c>
      <c r="Y222" t="s">
        <v>7370</v>
      </c>
      <c r="AI222" t="s">
        <v>7371</v>
      </c>
      <c r="AJ222" t="s">
        <v>7372</v>
      </c>
      <c r="AM222" t="s">
        <v>7373</v>
      </c>
      <c r="AR222">
        <v>15610837</v>
      </c>
      <c r="AV222" t="s">
        <v>1234</v>
      </c>
      <c r="AW222" t="s">
        <v>7374</v>
      </c>
      <c r="AX222" t="s">
        <v>79</v>
      </c>
      <c r="AY222" t="s">
        <v>4620</v>
      </c>
      <c r="AZ222" t="s">
        <v>4672</v>
      </c>
      <c r="BA222" t="s">
        <v>4584</v>
      </c>
      <c r="BB222" t="s">
        <v>7375</v>
      </c>
    </row>
    <row r="223" spans="1:54" x14ac:dyDescent="0.25">
      <c r="A223" t="s">
        <v>7376</v>
      </c>
      <c r="B223" t="s">
        <v>7377</v>
      </c>
      <c r="C223" t="s">
        <v>7378</v>
      </c>
      <c r="D223">
        <v>2022</v>
      </c>
      <c r="E223" t="s">
        <v>7379</v>
      </c>
      <c r="F223">
        <v>31</v>
      </c>
      <c r="G223">
        <v>1</v>
      </c>
      <c r="I223">
        <v>21</v>
      </c>
      <c r="J223">
        <v>27</v>
      </c>
      <c r="M223" t="s">
        <v>7380</v>
      </c>
      <c r="N223" t="s">
        <v>7381</v>
      </c>
      <c r="O223" t="s">
        <v>7382</v>
      </c>
      <c r="P223" t="s">
        <v>7383</v>
      </c>
      <c r="Q223" t="s">
        <v>7384</v>
      </c>
      <c r="R223" t="s">
        <v>7385</v>
      </c>
      <c r="S223" t="s">
        <v>7386</v>
      </c>
      <c r="AI223" t="s">
        <v>7387</v>
      </c>
      <c r="AJ223" t="s">
        <v>7388</v>
      </c>
      <c r="AM223" t="s">
        <v>7389</v>
      </c>
      <c r="AR223" t="s">
        <v>7390</v>
      </c>
      <c r="AV223" t="s">
        <v>1234</v>
      </c>
      <c r="AW223" t="s">
        <v>7391</v>
      </c>
      <c r="AX223" t="s">
        <v>79</v>
      </c>
      <c r="AY223" t="s">
        <v>4620</v>
      </c>
      <c r="AZ223" t="s">
        <v>4672</v>
      </c>
      <c r="BA223" t="s">
        <v>4584</v>
      </c>
      <c r="BB223" t="s">
        <v>7392</v>
      </c>
    </row>
    <row r="224" spans="1:54" x14ac:dyDescent="0.25">
      <c r="A224" t="s">
        <v>7393</v>
      </c>
      <c r="B224" t="s">
        <v>7394</v>
      </c>
      <c r="C224" t="s">
        <v>7395</v>
      </c>
      <c r="D224">
        <v>2022</v>
      </c>
      <c r="E224" t="s">
        <v>7396</v>
      </c>
      <c r="F224">
        <v>81</v>
      </c>
      <c r="G224">
        <v>1</v>
      </c>
      <c r="I224">
        <v>93</v>
      </c>
      <c r="J224">
        <v>116</v>
      </c>
      <c r="M224" t="s">
        <v>7397</v>
      </c>
      <c r="N224" t="s">
        <v>7398</v>
      </c>
      <c r="O224" t="s">
        <v>7399</v>
      </c>
      <c r="P224" t="s">
        <v>7400</v>
      </c>
      <c r="Q224" t="s">
        <v>7401</v>
      </c>
      <c r="R224" t="s">
        <v>7402</v>
      </c>
      <c r="AI224" t="s">
        <v>7403</v>
      </c>
      <c r="AM224" t="s">
        <v>7404</v>
      </c>
      <c r="AR224">
        <v>16840933</v>
      </c>
      <c r="AV224" t="s">
        <v>1234</v>
      </c>
      <c r="AW224" t="s">
        <v>7405</v>
      </c>
      <c r="AX224" t="s">
        <v>79</v>
      </c>
      <c r="AY224" t="s">
        <v>4620</v>
      </c>
      <c r="AZ224" t="s">
        <v>4688</v>
      </c>
      <c r="BA224" t="s">
        <v>4584</v>
      </c>
      <c r="BB224" t="s">
        <v>7406</v>
      </c>
    </row>
    <row r="225" spans="1:54" x14ac:dyDescent="0.25">
      <c r="A225" t="s">
        <v>7407</v>
      </c>
      <c r="B225" t="s">
        <v>7408</v>
      </c>
      <c r="C225" t="s">
        <v>1104</v>
      </c>
      <c r="D225">
        <v>2022</v>
      </c>
      <c r="E225" t="s">
        <v>7409</v>
      </c>
      <c r="F225">
        <v>182</v>
      </c>
      <c r="H225">
        <v>105538</v>
      </c>
      <c r="L225">
        <v>2</v>
      </c>
      <c r="M225" t="s">
        <v>1119</v>
      </c>
      <c r="N225" t="s">
        <v>7410</v>
      </c>
      <c r="O225" t="s">
        <v>7411</v>
      </c>
      <c r="P225" t="s">
        <v>7412</v>
      </c>
      <c r="Q225" t="s">
        <v>7413</v>
      </c>
      <c r="R225" t="s">
        <v>7414</v>
      </c>
      <c r="S225" t="s">
        <v>7415</v>
      </c>
      <c r="AI225" t="s">
        <v>7416</v>
      </c>
      <c r="AJ225" t="s">
        <v>7417</v>
      </c>
      <c r="AM225" t="s">
        <v>4650</v>
      </c>
      <c r="AR225">
        <v>8968446</v>
      </c>
      <c r="AT225" t="s">
        <v>7418</v>
      </c>
      <c r="AV225" t="s">
        <v>78</v>
      </c>
      <c r="AW225" t="s">
        <v>7419</v>
      </c>
      <c r="AX225" t="s">
        <v>79</v>
      </c>
      <c r="AY225" t="s">
        <v>4620</v>
      </c>
      <c r="BA225" t="s">
        <v>4584</v>
      </c>
      <c r="BB225" t="s">
        <v>7420</v>
      </c>
    </row>
    <row r="226" spans="1:54" x14ac:dyDescent="0.25">
      <c r="A226" t="s">
        <v>7421</v>
      </c>
      <c r="B226" t="s">
        <v>7422</v>
      </c>
      <c r="C226" t="s">
        <v>7423</v>
      </c>
      <c r="D226">
        <v>2022</v>
      </c>
      <c r="E226" t="s">
        <v>7424</v>
      </c>
      <c r="F226">
        <v>37</v>
      </c>
      <c r="G226">
        <v>2</v>
      </c>
      <c r="I226">
        <v>160</v>
      </c>
      <c r="J226">
        <v>172</v>
      </c>
      <c r="L226">
        <v>1</v>
      </c>
      <c r="M226" t="s">
        <v>2155</v>
      </c>
      <c r="N226" t="s">
        <v>7425</v>
      </c>
      <c r="O226" t="s">
        <v>7426</v>
      </c>
      <c r="P226" t="s">
        <v>7427</v>
      </c>
      <c r="Q226" t="s">
        <v>7428</v>
      </c>
      <c r="R226" t="s">
        <v>2140</v>
      </c>
      <c r="X226" t="s">
        <v>7429</v>
      </c>
      <c r="Y226" t="s">
        <v>7430</v>
      </c>
      <c r="Z226" t="s">
        <v>7431</v>
      </c>
      <c r="AA226" t="s">
        <v>7432</v>
      </c>
      <c r="AI226" t="s">
        <v>7433</v>
      </c>
      <c r="AJ226" t="s">
        <v>7434</v>
      </c>
      <c r="AM226" t="s">
        <v>5109</v>
      </c>
      <c r="AR226" t="s">
        <v>7435</v>
      </c>
      <c r="AT226" t="s">
        <v>7436</v>
      </c>
      <c r="AV226" t="s">
        <v>78</v>
      </c>
      <c r="AW226" t="s">
        <v>7437</v>
      </c>
      <c r="AX226" t="s">
        <v>79</v>
      </c>
      <c r="AY226" t="s">
        <v>4620</v>
      </c>
      <c r="BA226" t="s">
        <v>4584</v>
      </c>
      <c r="BB226" t="s">
        <v>7438</v>
      </c>
    </row>
    <row r="227" spans="1:54" x14ac:dyDescent="0.25">
      <c r="A227" t="s">
        <v>7439</v>
      </c>
      <c r="B227" t="s">
        <v>7440</v>
      </c>
      <c r="C227" t="s">
        <v>7441</v>
      </c>
      <c r="D227">
        <v>2022</v>
      </c>
      <c r="E227" t="s">
        <v>7442</v>
      </c>
      <c r="F227">
        <v>137</v>
      </c>
      <c r="H227">
        <v>105490</v>
      </c>
      <c r="L227">
        <v>2</v>
      </c>
      <c r="M227" t="s">
        <v>7443</v>
      </c>
      <c r="N227" t="s">
        <v>7444</v>
      </c>
      <c r="O227" t="s">
        <v>7445</v>
      </c>
      <c r="P227" t="s">
        <v>7446</v>
      </c>
      <c r="Q227" t="s">
        <v>7447</v>
      </c>
      <c r="R227" t="s">
        <v>7448</v>
      </c>
      <c r="S227" t="s">
        <v>7449</v>
      </c>
      <c r="X227" t="s">
        <v>7450</v>
      </c>
      <c r="Y227" t="s">
        <v>7451</v>
      </c>
      <c r="AI227" t="s">
        <v>7452</v>
      </c>
      <c r="AJ227" t="s">
        <v>7453</v>
      </c>
      <c r="AM227" t="s">
        <v>4635</v>
      </c>
      <c r="AR227">
        <v>2648172</v>
      </c>
      <c r="AV227" t="s">
        <v>78</v>
      </c>
      <c r="AW227" t="s">
        <v>7454</v>
      </c>
      <c r="AX227" t="s">
        <v>79</v>
      </c>
      <c r="AY227" t="s">
        <v>4620</v>
      </c>
      <c r="BA227" t="s">
        <v>4584</v>
      </c>
      <c r="BB227" t="s">
        <v>7455</v>
      </c>
    </row>
    <row r="228" spans="1:54" x14ac:dyDescent="0.25">
      <c r="A228" t="s">
        <v>7456</v>
      </c>
      <c r="B228" t="s">
        <v>7457</v>
      </c>
      <c r="C228" t="s">
        <v>2947</v>
      </c>
      <c r="D228">
        <v>2022</v>
      </c>
      <c r="E228" t="s">
        <v>2962</v>
      </c>
      <c r="F228">
        <v>291</v>
      </c>
      <c r="H228">
        <v>133051</v>
      </c>
      <c r="L228">
        <v>1</v>
      </c>
      <c r="M228" t="s">
        <v>2963</v>
      </c>
      <c r="N228" t="s">
        <v>7458</v>
      </c>
      <c r="O228" t="s">
        <v>7459</v>
      </c>
      <c r="P228" t="s">
        <v>7460</v>
      </c>
      <c r="Q228" t="s">
        <v>7461</v>
      </c>
      <c r="R228" t="s">
        <v>7462</v>
      </c>
      <c r="S228" t="s">
        <v>7463</v>
      </c>
      <c r="U228" t="s">
        <v>7464</v>
      </c>
      <c r="X228" t="s">
        <v>7465</v>
      </c>
      <c r="Y228" t="s">
        <v>7466</v>
      </c>
      <c r="AI228" t="s">
        <v>7467</v>
      </c>
      <c r="AJ228" t="s">
        <v>7468</v>
      </c>
      <c r="AM228" t="s">
        <v>4635</v>
      </c>
      <c r="AR228">
        <v>456535</v>
      </c>
      <c r="AT228" t="s">
        <v>4653</v>
      </c>
      <c r="AU228">
        <v>34826441</v>
      </c>
      <c r="AV228" t="s">
        <v>78</v>
      </c>
      <c r="AW228" t="s">
        <v>2962</v>
      </c>
      <c r="AX228" t="s">
        <v>79</v>
      </c>
      <c r="AY228" t="s">
        <v>4620</v>
      </c>
      <c r="BA228" t="s">
        <v>4584</v>
      </c>
      <c r="BB228" t="s">
        <v>7469</v>
      </c>
    </row>
    <row r="229" spans="1:54" x14ac:dyDescent="0.25">
      <c r="A229" t="s">
        <v>7470</v>
      </c>
      <c r="B229" t="s">
        <v>7471</v>
      </c>
      <c r="C229" t="s">
        <v>7472</v>
      </c>
      <c r="D229">
        <v>2022</v>
      </c>
      <c r="E229" t="s">
        <v>7473</v>
      </c>
      <c r="F229">
        <v>36</v>
      </c>
      <c r="G229">
        <v>1</v>
      </c>
      <c r="I229">
        <v>66</v>
      </c>
      <c r="J229">
        <v>80</v>
      </c>
      <c r="L229">
        <v>5</v>
      </c>
      <c r="M229" t="s">
        <v>7474</v>
      </c>
      <c r="N229" t="s">
        <v>7475</v>
      </c>
      <c r="O229" t="s">
        <v>7476</v>
      </c>
      <c r="P229" t="s">
        <v>7477</v>
      </c>
      <c r="Q229" t="s">
        <v>7478</v>
      </c>
      <c r="S229" t="s">
        <v>7479</v>
      </c>
      <c r="U229" t="s">
        <v>7480</v>
      </c>
      <c r="X229" t="s">
        <v>7481</v>
      </c>
      <c r="Y229" t="s">
        <v>7482</v>
      </c>
      <c r="Z229" t="s">
        <v>7483</v>
      </c>
      <c r="AI229" t="s">
        <v>7484</v>
      </c>
      <c r="AJ229" t="s">
        <v>7485</v>
      </c>
    </row>
    <row r="230" spans="1:54" x14ac:dyDescent="0.25">
      <c r="A230" t="s">
        <v>7486</v>
      </c>
      <c r="B230" t="s">
        <v>10742</v>
      </c>
      <c r="C230" t="s">
        <v>10743</v>
      </c>
      <c r="F230" t="s">
        <v>5109</v>
      </c>
      <c r="K230" t="s">
        <v>7487</v>
      </c>
      <c r="M230" t="s">
        <v>7488</v>
      </c>
      <c r="N230">
        <v>34730244</v>
      </c>
      <c r="O230" t="s">
        <v>78</v>
      </c>
      <c r="P230" t="s">
        <v>4181</v>
      </c>
      <c r="Q230" t="s">
        <v>79</v>
      </c>
      <c r="R230" t="s">
        <v>4620</v>
      </c>
      <c r="T230" t="s">
        <v>4584</v>
      </c>
      <c r="U230" t="s">
        <v>7489</v>
      </c>
    </row>
    <row r="231" spans="1:54" x14ac:dyDescent="0.25">
      <c r="A231" t="s">
        <v>7490</v>
      </c>
      <c r="B231" t="s">
        <v>7491</v>
      </c>
      <c r="C231" t="s">
        <v>7492</v>
      </c>
      <c r="D231">
        <v>2022</v>
      </c>
      <c r="E231" t="s">
        <v>7493</v>
      </c>
      <c r="F231">
        <v>371</v>
      </c>
      <c r="H231">
        <v>131199</v>
      </c>
      <c r="L231">
        <v>2</v>
      </c>
      <c r="M231" t="s">
        <v>7494</v>
      </c>
      <c r="N231" t="s">
        <v>7495</v>
      </c>
      <c r="O231" t="s">
        <v>7496</v>
      </c>
      <c r="P231" t="s">
        <v>7497</v>
      </c>
      <c r="Q231" t="s">
        <v>7498</v>
      </c>
      <c r="R231" t="s">
        <v>7499</v>
      </c>
      <c r="S231" t="s">
        <v>7500</v>
      </c>
      <c r="U231" t="s">
        <v>7501</v>
      </c>
      <c r="X231" t="s">
        <v>7502</v>
      </c>
      <c r="Y231" t="s">
        <v>7503</v>
      </c>
      <c r="Z231" t="s">
        <v>7504</v>
      </c>
      <c r="AI231" t="s">
        <v>7505</v>
      </c>
      <c r="AJ231" t="s">
        <v>7506</v>
      </c>
      <c r="AM231" t="s">
        <v>4635</v>
      </c>
      <c r="AR231">
        <v>3088146</v>
      </c>
      <c r="AT231" t="s">
        <v>7507</v>
      </c>
      <c r="AU231">
        <v>34598122</v>
      </c>
      <c r="AV231" t="s">
        <v>78</v>
      </c>
      <c r="AW231" t="s">
        <v>7508</v>
      </c>
      <c r="AX231" t="s">
        <v>79</v>
      </c>
      <c r="AY231" t="s">
        <v>4620</v>
      </c>
      <c r="BA231" t="s">
        <v>4584</v>
      </c>
      <c r="BB231" t="s">
        <v>7509</v>
      </c>
    </row>
    <row r="232" spans="1:54" x14ac:dyDescent="0.25">
      <c r="A232" t="s">
        <v>7510</v>
      </c>
      <c r="B232" t="s">
        <v>7511</v>
      </c>
      <c r="C232" t="s">
        <v>4209</v>
      </c>
      <c r="D232">
        <v>2022</v>
      </c>
      <c r="E232" t="s">
        <v>7512</v>
      </c>
      <c r="F232">
        <v>13</v>
      </c>
      <c r="H232">
        <v>820209</v>
      </c>
      <c r="M232" t="s">
        <v>4226</v>
      </c>
      <c r="N232" t="s">
        <v>7513</v>
      </c>
      <c r="O232" t="s">
        <v>7514</v>
      </c>
      <c r="P232" t="s">
        <v>7515</v>
      </c>
      <c r="Q232" t="s">
        <v>7516</v>
      </c>
      <c r="R232" t="s">
        <v>7517</v>
      </c>
      <c r="S232" t="s">
        <v>7518</v>
      </c>
      <c r="U232" t="s">
        <v>7519</v>
      </c>
      <c r="V232" t="s">
        <v>7520</v>
      </c>
      <c r="W232" t="s">
        <v>7521</v>
      </c>
      <c r="X232" t="s">
        <v>7522</v>
      </c>
      <c r="Y232" t="s">
        <v>7523</v>
      </c>
      <c r="AI232" t="s">
        <v>7524</v>
      </c>
      <c r="AJ232" t="s">
        <v>7525</v>
      </c>
    </row>
    <row r="233" spans="1:54" x14ac:dyDescent="0.25">
      <c r="A233" t="s">
        <v>7526</v>
      </c>
      <c r="B233" t="s">
        <v>10744</v>
      </c>
      <c r="C233" t="s">
        <v>10745</v>
      </c>
      <c r="F233" t="s">
        <v>4922</v>
      </c>
      <c r="K233">
        <v>16648021</v>
      </c>
      <c r="O233" t="s">
        <v>78</v>
      </c>
      <c r="P233" t="s">
        <v>4224</v>
      </c>
      <c r="Q233" t="s">
        <v>79</v>
      </c>
      <c r="R233" t="s">
        <v>4620</v>
      </c>
      <c r="S233" t="s">
        <v>4688</v>
      </c>
      <c r="T233" t="s">
        <v>4584</v>
      </c>
      <c r="U233" t="s">
        <v>7527</v>
      </c>
    </row>
    <row r="234" spans="1:54" x14ac:dyDescent="0.25">
      <c r="A234" t="s">
        <v>7528</v>
      </c>
      <c r="B234" t="s">
        <v>7529</v>
      </c>
      <c r="C234" t="s">
        <v>7530</v>
      </c>
      <c r="D234">
        <v>2022</v>
      </c>
      <c r="E234" t="s">
        <v>7531</v>
      </c>
      <c r="F234">
        <v>424</v>
      </c>
      <c r="H234">
        <v>127557</v>
      </c>
      <c r="L234">
        <v>1</v>
      </c>
      <c r="M234" t="s">
        <v>7532</v>
      </c>
      <c r="N234" t="s">
        <v>7533</v>
      </c>
      <c r="O234" t="s">
        <v>7534</v>
      </c>
      <c r="P234" t="s">
        <v>7535</v>
      </c>
      <c r="Q234" t="s">
        <v>7536</v>
      </c>
      <c r="R234" t="s">
        <v>7537</v>
      </c>
      <c r="S234" t="s">
        <v>7538</v>
      </c>
      <c r="U234" t="s">
        <v>7539</v>
      </c>
      <c r="X234" t="s">
        <v>7540</v>
      </c>
      <c r="Y234" t="s">
        <v>7541</v>
      </c>
      <c r="AI234" t="s">
        <v>7542</v>
      </c>
      <c r="AJ234" t="s">
        <v>7543</v>
      </c>
      <c r="AM234" t="s">
        <v>4650</v>
      </c>
      <c r="AR234">
        <v>3043894</v>
      </c>
      <c r="AT234" t="s">
        <v>7544</v>
      </c>
      <c r="AU234">
        <v>34736197</v>
      </c>
      <c r="AV234" t="s">
        <v>78</v>
      </c>
      <c r="AW234" t="s">
        <v>7545</v>
      </c>
      <c r="AX234" t="s">
        <v>79</v>
      </c>
      <c r="AY234" t="s">
        <v>4620</v>
      </c>
      <c r="BA234" t="s">
        <v>4584</v>
      </c>
      <c r="BB234" t="s">
        <v>7546</v>
      </c>
    </row>
    <row r="235" spans="1:54" x14ac:dyDescent="0.25">
      <c r="A235" t="s">
        <v>7547</v>
      </c>
      <c r="B235" t="s">
        <v>7548</v>
      </c>
      <c r="C235" t="s">
        <v>3723</v>
      </c>
      <c r="D235">
        <v>2022</v>
      </c>
      <c r="E235" t="s">
        <v>489</v>
      </c>
      <c r="F235">
        <v>8</v>
      </c>
      <c r="G235">
        <v>2</v>
      </c>
      <c r="H235" t="s">
        <v>3732</v>
      </c>
      <c r="M235" t="s">
        <v>3733</v>
      </c>
      <c r="N235" t="s">
        <v>7549</v>
      </c>
      <c r="O235" t="s">
        <v>7550</v>
      </c>
      <c r="P235" t="s">
        <v>7551</v>
      </c>
      <c r="Q235" t="s">
        <v>7552</v>
      </c>
      <c r="R235" t="s">
        <v>7553</v>
      </c>
      <c r="AI235" t="s">
        <v>7554</v>
      </c>
      <c r="AJ235" t="s">
        <v>7555</v>
      </c>
      <c r="AM235" t="s">
        <v>4635</v>
      </c>
      <c r="AR235">
        <v>24058440</v>
      </c>
      <c r="AV235" t="s">
        <v>78</v>
      </c>
      <c r="AW235" t="s">
        <v>489</v>
      </c>
      <c r="AX235" t="s">
        <v>79</v>
      </c>
      <c r="AY235" t="s">
        <v>4620</v>
      </c>
      <c r="AZ235" t="s">
        <v>4688</v>
      </c>
      <c r="BA235" t="s">
        <v>4584</v>
      </c>
      <c r="BB235" t="s">
        <v>7556</v>
      </c>
    </row>
    <row r="236" spans="1:54" x14ac:dyDescent="0.25">
      <c r="A236" t="s">
        <v>7557</v>
      </c>
      <c r="B236" t="s">
        <v>7558</v>
      </c>
      <c r="C236" t="s">
        <v>739</v>
      </c>
      <c r="D236">
        <v>2022</v>
      </c>
      <c r="E236" t="s">
        <v>330</v>
      </c>
      <c r="F236">
        <v>22</v>
      </c>
      <c r="G236">
        <v>4</v>
      </c>
      <c r="H236">
        <v>1484</v>
      </c>
      <c r="L236">
        <v>3</v>
      </c>
      <c r="M236" t="s">
        <v>753</v>
      </c>
      <c r="N236" t="s">
        <v>7559</v>
      </c>
      <c r="O236" t="s">
        <v>7560</v>
      </c>
      <c r="P236" t="s">
        <v>7561</v>
      </c>
      <c r="Q236" t="s">
        <v>7562</v>
      </c>
      <c r="R236" t="s">
        <v>7563</v>
      </c>
      <c r="S236" t="s">
        <v>7564</v>
      </c>
      <c r="X236">
        <v>1357</v>
      </c>
      <c r="Y236" t="s">
        <v>7565</v>
      </c>
      <c r="Z236" t="s">
        <v>7566</v>
      </c>
      <c r="AI236" t="s">
        <v>7567</v>
      </c>
      <c r="AJ236" t="s">
        <v>7568</v>
      </c>
      <c r="AM236" t="s">
        <v>92</v>
      </c>
      <c r="AR236">
        <v>14248220</v>
      </c>
      <c r="AU236">
        <v>35214386</v>
      </c>
      <c r="AV236" t="s">
        <v>78</v>
      </c>
      <c r="AW236" t="s">
        <v>330</v>
      </c>
      <c r="AX236" t="s">
        <v>79</v>
      </c>
      <c r="AY236" t="s">
        <v>4620</v>
      </c>
      <c r="AZ236" t="s">
        <v>4688</v>
      </c>
      <c r="BA236" t="s">
        <v>4584</v>
      </c>
      <c r="BB236" t="s">
        <v>7569</v>
      </c>
    </row>
    <row r="237" spans="1:54" x14ac:dyDescent="0.25">
      <c r="A237" t="s">
        <v>7570</v>
      </c>
      <c r="B237" t="s">
        <v>7571</v>
      </c>
      <c r="C237" t="s">
        <v>7572</v>
      </c>
      <c r="D237">
        <v>2022</v>
      </c>
      <c r="E237" t="s">
        <v>5021</v>
      </c>
      <c r="F237">
        <v>14</v>
      </c>
      <c r="G237">
        <v>3</v>
      </c>
      <c r="H237">
        <v>1390</v>
      </c>
      <c r="M237" t="s">
        <v>3900</v>
      </c>
      <c r="N237" t="s">
        <v>7573</v>
      </c>
      <c r="O237" t="s">
        <v>7574</v>
      </c>
      <c r="P237" t="s">
        <v>7575</v>
      </c>
      <c r="Q237" t="s">
        <v>7576</v>
      </c>
      <c r="R237" t="s">
        <v>7577</v>
      </c>
      <c r="S237" t="s">
        <v>7578</v>
      </c>
      <c r="AI237" t="s">
        <v>7579</v>
      </c>
      <c r="AJ237" t="s">
        <v>7580</v>
      </c>
      <c r="AM237" t="s">
        <v>92</v>
      </c>
      <c r="AR237">
        <v>20711050</v>
      </c>
      <c r="AV237" t="s">
        <v>78</v>
      </c>
      <c r="AW237" t="s">
        <v>280</v>
      </c>
      <c r="AX237" t="s">
        <v>79</v>
      </c>
      <c r="AY237" t="s">
        <v>4620</v>
      </c>
      <c r="AZ237" t="s">
        <v>4688</v>
      </c>
      <c r="BA237" t="s">
        <v>4584</v>
      </c>
      <c r="BB237" t="s">
        <v>7581</v>
      </c>
    </row>
    <row r="238" spans="1:54" x14ac:dyDescent="0.25">
      <c r="A238" t="s">
        <v>7582</v>
      </c>
      <c r="B238" t="s">
        <v>7583</v>
      </c>
      <c r="C238" t="s">
        <v>3866</v>
      </c>
      <c r="D238">
        <v>2022</v>
      </c>
      <c r="E238" t="s">
        <v>7584</v>
      </c>
      <c r="F238">
        <v>65</v>
      </c>
      <c r="H238">
        <v>126120</v>
      </c>
      <c r="L238">
        <v>1</v>
      </c>
      <c r="M238" t="s">
        <v>3883</v>
      </c>
      <c r="N238" t="s">
        <v>7585</v>
      </c>
      <c r="O238" t="s">
        <v>7586</v>
      </c>
      <c r="P238" t="s">
        <v>7587</v>
      </c>
      <c r="Q238" t="s">
        <v>7588</v>
      </c>
      <c r="R238" t="s">
        <v>3868</v>
      </c>
      <c r="S238" t="s">
        <v>7589</v>
      </c>
      <c r="X238" t="s">
        <v>7590</v>
      </c>
      <c r="Y238" t="s">
        <v>7591</v>
      </c>
      <c r="Z238" t="s">
        <v>7592</v>
      </c>
      <c r="AI238" t="s">
        <v>7593</v>
      </c>
      <c r="AJ238" t="s">
        <v>7594</v>
      </c>
      <c r="AM238" t="s">
        <v>7595</v>
      </c>
      <c r="AR238">
        <v>16171381</v>
      </c>
      <c r="AT238" t="s">
        <v>7596</v>
      </c>
      <c r="AV238" t="s">
        <v>78</v>
      </c>
      <c r="AW238" t="s">
        <v>3882</v>
      </c>
      <c r="AX238" t="s">
        <v>79</v>
      </c>
      <c r="AY238" t="s">
        <v>4620</v>
      </c>
      <c r="AZ238" t="s">
        <v>4768</v>
      </c>
      <c r="BA238" t="s">
        <v>4584</v>
      </c>
      <c r="BB238" t="s">
        <v>7597</v>
      </c>
    </row>
    <row r="239" spans="1:54" x14ac:dyDescent="0.25">
      <c r="A239" t="s">
        <v>7598</v>
      </c>
      <c r="B239" t="s">
        <v>7599</v>
      </c>
      <c r="C239" t="s">
        <v>1646</v>
      </c>
      <c r="D239">
        <v>2022</v>
      </c>
      <c r="E239" t="s">
        <v>7600</v>
      </c>
      <c r="F239">
        <v>177</v>
      </c>
      <c r="G239">
        <v>1</v>
      </c>
      <c r="H239">
        <v>1</v>
      </c>
      <c r="M239" t="s">
        <v>1660</v>
      </c>
      <c r="N239" t="s">
        <v>7601</v>
      </c>
      <c r="O239" t="s">
        <v>7602</v>
      </c>
      <c r="P239" t="s">
        <v>7603</v>
      </c>
      <c r="Q239" t="s">
        <v>7604</v>
      </c>
      <c r="R239" t="s">
        <v>7605</v>
      </c>
      <c r="S239" t="s">
        <v>7606</v>
      </c>
      <c r="AI239" t="s">
        <v>7607</v>
      </c>
      <c r="AJ239" t="s">
        <v>7608</v>
      </c>
      <c r="AM239" t="s">
        <v>5285</v>
      </c>
      <c r="AR239">
        <v>1678019</v>
      </c>
      <c r="AT239" t="s">
        <v>7609</v>
      </c>
      <c r="AV239" t="s">
        <v>78</v>
      </c>
      <c r="AW239" t="s">
        <v>7610</v>
      </c>
      <c r="AX239" t="s">
        <v>79</v>
      </c>
      <c r="AY239" t="s">
        <v>4620</v>
      </c>
      <c r="BA239" t="s">
        <v>4584</v>
      </c>
      <c r="BB239" t="s">
        <v>7611</v>
      </c>
    </row>
    <row r="240" spans="1:54" x14ac:dyDescent="0.25">
      <c r="A240" t="s">
        <v>7612</v>
      </c>
      <c r="B240" t="s">
        <v>7613</v>
      </c>
      <c r="C240" t="s">
        <v>7614</v>
      </c>
      <c r="D240">
        <v>2022</v>
      </c>
      <c r="E240" t="s">
        <v>2962</v>
      </c>
      <c r="F240">
        <v>288</v>
      </c>
      <c r="H240">
        <v>132506</v>
      </c>
      <c r="L240">
        <v>7</v>
      </c>
      <c r="M240" t="s">
        <v>7615</v>
      </c>
      <c r="N240" t="s">
        <v>7616</v>
      </c>
      <c r="O240" t="s">
        <v>7617</v>
      </c>
      <c r="P240" t="s">
        <v>7618</v>
      </c>
      <c r="Q240" t="s">
        <v>7619</v>
      </c>
      <c r="R240" t="s">
        <v>7620</v>
      </c>
      <c r="S240" t="s">
        <v>7621</v>
      </c>
      <c r="U240" t="s">
        <v>7622</v>
      </c>
      <c r="X240" t="s">
        <v>7623</v>
      </c>
      <c r="Y240" t="s">
        <v>7624</v>
      </c>
      <c r="AI240" t="s">
        <v>7625</v>
      </c>
      <c r="AJ240" t="s">
        <v>7626</v>
      </c>
    </row>
    <row r="241" spans="1:54" x14ac:dyDescent="0.25">
      <c r="A241" t="s">
        <v>4587</v>
      </c>
      <c r="B241" t="s">
        <v>10746</v>
      </c>
      <c r="C241" t="s">
        <v>10747</v>
      </c>
      <c r="D241" t="s">
        <v>10748</v>
      </c>
      <c r="E241" t="s">
        <v>10699</v>
      </c>
      <c r="F241" t="s">
        <v>10749</v>
      </c>
      <c r="I241" t="s">
        <v>4635</v>
      </c>
      <c r="N241">
        <v>456535</v>
      </c>
      <c r="P241" t="s">
        <v>4653</v>
      </c>
      <c r="Q241">
        <v>34656628</v>
      </c>
      <c r="R241" t="s">
        <v>78</v>
      </c>
      <c r="S241" t="s">
        <v>2962</v>
      </c>
      <c r="T241" t="s">
        <v>79</v>
      </c>
      <c r="U241" t="s">
        <v>4620</v>
      </c>
      <c r="V241" t="s">
        <v>6235</v>
      </c>
      <c r="W241" t="s">
        <v>4584</v>
      </c>
      <c r="X241" t="s">
        <v>7627</v>
      </c>
    </row>
    <row r="242" spans="1:54" x14ac:dyDescent="0.25">
      <c r="A242" t="s">
        <v>7628</v>
      </c>
      <c r="B242" t="s">
        <v>7629</v>
      </c>
      <c r="C242" t="s">
        <v>7630</v>
      </c>
      <c r="D242">
        <v>2022</v>
      </c>
      <c r="E242" t="s">
        <v>7493</v>
      </c>
      <c r="F242">
        <v>367</v>
      </c>
      <c r="H242">
        <v>130657</v>
      </c>
      <c r="L242">
        <v>3</v>
      </c>
      <c r="M242" t="s">
        <v>7631</v>
      </c>
      <c r="N242" t="s">
        <v>7632</v>
      </c>
      <c r="O242" t="s">
        <v>7633</v>
      </c>
      <c r="P242" t="s">
        <v>7634</v>
      </c>
      <c r="Q242" t="s">
        <v>7635</v>
      </c>
      <c r="R242" t="s">
        <v>7636</v>
      </c>
      <c r="S242" t="s">
        <v>7637</v>
      </c>
      <c r="U242" t="s">
        <v>7638</v>
      </c>
      <c r="Y242" t="s">
        <v>7639</v>
      </c>
      <c r="AI242" t="s">
        <v>7640</v>
      </c>
      <c r="AJ242" t="s">
        <v>7641</v>
      </c>
      <c r="AM242" t="s">
        <v>4635</v>
      </c>
      <c r="AR242">
        <v>3088146</v>
      </c>
      <c r="AT242" t="s">
        <v>7507</v>
      </c>
      <c r="AU242">
        <v>34388631</v>
      </c>
      <c r="AV242" t="s">
        <v>78</v>
      </c>
      <c r="AW242" t="s">
        <v>7508</v>
      </c>
      <c r="AX242" t="s">
        <v>79</v>
      </c>
      <c r="AY242" t="s">
        <v>4620</v>
      </c>
      <c r="BA242" t="s">
        <v>4584</v>
      </c>
      <c r="BB242" t="s">
        <v>7642</v>
      </c>
    </row>
    <row r="243" spans="1:54" x14ac:dyDescent="0.25">
      <c r="A243" t="s">
        <v>7643</v>
      </c>
      <c r="B243" t="s">
        <v>7644</v>
      </c>
      <c r="C243" t="s">
        <v>7645</v>
      </c>
      <c r="D243">
        <v>2022</v>
      </c>
      <c r="E243" t="s">
        <v>2713</v>
      </c>
      <c r="F243">
        <v>5087</v>
      </c>
      <c r="G243">
        <v>1</v>
      </c>
      <c r="I243">
        <v>1</v>
      </c>
      <c r="J243">
        <v>34</v>
      </c>
      <c r="M243" t="s">
        <v>7646</v>
      </c>
      <c r="N243" t="s">
        <v>7647</v>
      </c>
      <c r="O243" t="s">
        <v>7648</v>
      </c>
      <c r="P243" t="s">
        <v>7649</v>
      </c>
      <c r="Q243" t="s">
        <v>7650</v>
      </c>
      <c r="R243" t="s">
        <v>7651</v>
      </c>
      <c r="S243" t="s">
        <v>7652</v>
      </c>
      <c r="X243" t="s">
        <v>7653</v>
      </c>
      <c r="Y243" t="s">
        <v>7654</v>
      </c>
      <c r="AI243" t="s">
        <v>7655</v>
      </c>
      <c r="AM243" t="s">
        <v>5603</v>
      </c>
      <c r="AR243">
        <v>11755326</v>
      </c>
      <c r="AU243">
        <v>35390927</v>
      </c>
      <c r="AV243" t="s">
        <v>78</v>
      </c>
      <c r="AW243" t="s">
        <v>2713</v>
      </c>
      <c r="AX243" t="s">
        <v>79</v>
      </c>
      <c r="AY243" t="s">
        <v>4620</v>
      </c>
      <c r="BA243" t="s">
        <v>4584</v>
      </c>
      <c r="BB243" t="s">
        <v>7656</v>
      </c>
    </row>
    <row r="244" spans="1:54" x14ac:dyDescent="0.25">
      <c r="A244" t="s">
        <v>7657</v>
      </c>
      <c r="B244" t="s">
        <v>7658</v>
      </c>
      <c r="C244" t="s">
        <v>7659</v>
      </c>
      <c r="D244">
        <v>2022</v>
      </c>
      <c r="E244" t="s">
        <v>7660</v>
      </c>
      <c r="F244">
        <v>27</v>
      </c>
      <c r="M244" t="s">
        <v>7661</v>
      </c>
      <c r="N244" t="s">
        <v>7662</v>
      </c>
      <c r="O244" t="s">
        <v>7663</v>
      </c>
      <c r="P244" t="s">
        <v>7664</v>
      </c>
      <c r="Q244" t="s">
        <v>7665</v>
      </c>
      <c r="R244" t="s">
        <v>7666</v>
      </c>
      <c r="AI244" t="s">
        <v>7667</v>
      </c>
      <c r="AM244" t="s">
        <v>5494</v>
      </c>
      <c r="AR244">
        <v>15182924</v>
      </c>
      <c r="AV244" t="s">
        <v>1234</v>
      </c>
      <c r="AW244" t="s">
        <v>7668</v>
      </c>
      <c r="AX244" t="s">
        <v>79</v>
      </c>
      <c r="AY244" t="s">
        <v>4620</v>
      </c>
      <c r="AZ244" t="s">
        <v>4672</v>
      </c>
      <c r="BA244" t="s">
        <v>4584</v>
      </c>
      <c r="BB244" t="s">
        <v>7669</v>
      </c>
    </row>
    <row r="245" spans="1:54" x14ac:dyDescent="0.25">
      <c r="A245" t="s">
        <v>7670</v>
      </c>
      <c r="B245" t="s">
        <v>7671</v>
      </c>
      <c r="C245" t="s">
        <v>7672</v>
      </c>
      <c r="D245">
        <v>2022</v>
      </c>
      <c r="E245" t="s">
        <v>5008</v>
      </c>
      <c r="F245">
        <v>14</v>
      </c>
      <c r="G245">
        <v>1</v>
      </c>
      <c r="I245">
        <v>193</v>
      </c>
      <c r="J245">
        <v>204</v>
      </c>
      <c r="N245" t="s">
        <v>7673</v>
      </c>
      <c r="O245" t="s">
        <v>7674</v>
      </c>
      <c r="P245" t="s">
        <v>7675</v>
      </c>
      <c r="Q245" t="s">
        <v>7676</v>
      </c>
      <c r="R245" t="s">
        <v>7677</v>
      </c>
      <c r="AI245" t="s">
        <v>7678</v>
      </c>
      <c r="AM245" t="s">
        <v>5015</v>
      </c>
      <c r="AR245">
        <v>24152897</v>
      </c>
      <c r="AV245" t="s">
        <v>1234</v>
      </c>
      <c r="AW245" t="s">
        <v>5016</v>
      </c>
      <c r="AX245" t="s">
        <v>79</v>
      </c>
      <c r="AY245" t="s">
        <v>4620</v>
      </c>
      <c r="BA245" t="s">
        <v>4584</v>
      </c>
      <c r="BB245" t="s">
        <v>7679</v>
      </c>
    </row>
    <row r="246" spans="1:54" x14ac:dyDescent="0.25">
      <c r="A246" t="s">
        <v>7681</v>
      </c>
      <c r="B246" t="s">
        <v>7682</v>
      </c>
      <c r="C246" t="s">
        <v>7683</v>
      </c>
      <c r="D246">
        <v>2022</v>
      </c>
      <c r="E246" t="s">
        <v>7684</v>
      </c>
      <c r="M246" t="s">
        <v>7685</v>
      </c>
      <c r="N246" t="s">
        <v>7686</v>
      </c>
      <c r="O246" t="s">
        <v>7687</v>
      </c>
      <c r="P246" t="s">
        <v>7688</v>
      </c>
      <c r="Q246" t="s">
        <v>7689</v>
      </c>
      <c r="R246" t="s">
        <v>7690</v>
      </c>
      <c r="S246" t="s">
        <v>7691</v>
      </c>
      <c r="Y246" t="s">
        <v>7692</v>
      </c>
      <c r="AI246" t="s">
        <v>7693</v>
      </c>
      <c r="AL246" t="s">
        <v>7694</v>
      </c>
      <c r="AM246" t="s">
        <v>5212</v>
      </c>
      <c r="AN246" t="s">
        <v>7695</v>
      </c>
      <c r="AO246" t="s">
        <v>7696</v>
      </c>
      <c r="AQ246">
        <v>184751</v>
      </c>
      <c r="AS246">
        <v>9781665476713</v>
      </c>
      <c r="AV246" t="s">
        <v>78</v>
      </c>
      <c r="AW246" t="s">
        <v>7697</v>
      </c>
      <c r="AX246" t="s">
        <v>10683</v>
      </c>
      <c r="AY246" t="s">
        <v>4620</v>
      </c>
      <c r="BA246" t="s">
        <v>4584</v>
      </c>
      <c r="BB246" t="s">
        <v>7698</v>
      </c>
    </row>
    <row r="247" spans="1:54" x14ac:dyDescent="0.25">
      <c r="A247" t="s">
        <v>7699</v>
      </c>
      <c r="B247" t="s">
        <v>7700</v>
      </c>
      <c r="C247" t="s">
        <v>7701</v>
      </c>
      <c r="D247">
        <v>2022</v>
      </c>
      <c r="E247" t="s">
        <v>6752</v>
      </c>
      <c r="F247">
        <v>16</v>
      </c>
      <c r="G247">
        <v>2</v>
      </c>
      <c r="H247" t="s">
        <v>7702</v>
      </c>
      <c r="M247" t="s">
        <v>7703</v>
      </c>
      <c r="N247" t="s">
        <v>7704</v>
      </c>
      <c r="O247" t="s">
        <v>7705</v>
      </c>
      <c r="P247" t="s">
        <v>7706</v>
      </c>
      <c r="Q247" t="s">
        <v>7707</v>
      </c>
      <c r="R247" t="s">
        <v>7708</v>
      </c>
      <c r="X247" t="s">
        <v>7709</v>
      </c>
      <c r="Y247" t="s">
        <v>7710</v>
      </c>
      <c r="AI247" t="s">
        <v>7711</v>
      </c>
      <c r="AJ247" t="s">
        <v>7712</v>
      </c>
      <c r="AM247" t="s">
        <v>431</v>
      </c>
      <c r="AR247">
        <v>24223719</v>
      </c>
      <c r="AV247" t="s">
        <v>78</v>
      </c>
      <c r="AW247" t="s">
        <v>6762</v>
      </c>
      <c r="AX247" t="s">
        <v>79</v>
      </c>
      <c r="AY247" t="s">
        <v>4620</v>
      </c>
      <c r="AZ247" t="s">
        <v>4672</v>
      </c>
      <c r="BA247" t="s">
        <v>4584</v>
      </c>
      <c r="BB247" t="s">
        <v>7713</v>
      </c>
    </row>
    <row r="248" spans="1:54" x14ac:dyDescent="0.25">
      <c r="A248" t="s">
        <v>7714</v>
      </c>
      <c r="B248" t="s">
        <v>7715</v>
      </c>
      <c r="C248" t="s">
        <v>7716</v>
      </c>
      <c r="D248">
        <v>2022</v>
      </c>
      <c r="E248" t="s">
        <v>6752</v>
      </c>
      <c r="F248">
        <v>16</v>
      </c>
      <c r="G248">
        <v>1</v>
      </c>
      <c r="H248" t="s">
        <v>7717</v>
      </c>
      <c r="M248" t="s">
        <v>7718</v>
      </c>
      <c r="N248" t="s">
        <v>7719</v>
      </c>
      <c r="O248" t="s">
        <v>7720</v>
      </c>
      <c r="P248" t="s">
        <v>7721</v>
      </c>
      <c r="Q248" t="s">
        <v>7722</v>
      </c>
      <c r="R248" t="s">
        <v>7723</v>
      </c>
      <c r="AI248" t="s">
        <v>7724</v>
      </c>
    </row>
    <row r="249" spans="1:54" x14ac:dyDescent="0.25">
      <c r="A249" t="s">
        <v>7725</v>
      </c>
      <c r="B249" t="s">
        <v>7726</v>
      </c>
      <c r="C249" t="s">
        <v>7727</v>
      </c>
      <c r="D249">
        <v>2022</v>
      </c>
      <c r="E249" t="s">
        <v>6707</v>
      </c>
      <c r="F249">
        <v>2022</v>
      </c>
      <c r="G249">
        <v>44</v>
      </c>
      <c r="H249" t="s">
        <v>7728</v>
      </c>
      <c r="M249" t="s">
        <v>7729</v>
      </c>
      <c r="N249" t="s">
        <v>7730</v>
      </c>
      <c r="O249" t="s">
        <v>6147</v>
      </c>
      <c r="P249" t="s">
        <v>7731</v>
      </c>
      <c r="Q249" t="s">
        <v>7732</v>
      </c>
      <c r="R249" t="s">
        <v>7733</v>
      </c>
      <c r="Y249" t="s">
        <v>7734</v>
      </c>
      <c r="AI249" t="s">
        <v>7735</v>
      </c>
      <c r="AJ249" t="s">
        <v>7736</v>
      </c>
      <c r="AM249" t="s">
        <v>431</v>
      </c>
      <c r="AR249">
        <v>1218530</v>
      </c>
      <c r="AV249" t="s">
        <v>1234</v>
      </c>
      <c r="AW249" t="s">
        <v>6707</v>
      </c>
      <c r="AX249" t="s">
        <v>79</v>
      </c>
      <c r="AY249" t="s">
        <v>4620</v>
      </c>
      <c r="BA249" t="s">
        <v>4584</v>
      </c>
      <c r="BB249" t="s">
        <v>7737</v>
      </c>
    </row>
    <row r="250" spans="1:54" x14ac:dyDescent="0.25">
      <c r="A250" t="s">
        <v>7738</v>
      </c>
      <c r="B250" t="s">
        <v>7739</v>
      </c>
      <c r="C250" t="s">
        <v>7740</v>
      </c>
      <c r="D250">
        <v>2022</v>
      </c>
      <c r="E250" t="s">
        <v>6752</v>
      </c>
      <c r="F250">
        <v>16</v>
      </c>
      <c r="G250">
        <v>1</v>
      </c>
      <c r="H250" t="s">
        <v>7741</v>
      </c>
      <c r="M250" t="s">
        <v>7742</v>
      </c>
      <c r="N250" t="s">
        <v>7743</v>
      </c>
      <c r="O250" t="s">
        <v>7744</v>
      </c>
      <c r="P250" t="s">
        <v>7745</v>
      </c>
      <c r="Q250" t="s">
        <v>7746</v>
      </c>
      <c r="R250" t="s">
        <v>7747</v>
      </c>
      <c r="AI250" t="s">
        <v>7748</v>
      </c>
      <c r="AJ250" t="s">
        <v>6761</v>
      </c>
      <c r="AM250" t="s">
        <v>431</v>
      </c>
      <c r="AR250">
        <v>24223719</v>
      </c>
      <c r="AV250" t="s">
        <v>78</v>
      </c>
      <c r="AW250" t="s">
        <v>6762</v>
      </c>
      <c r="AX250" t="s">
        <v>79</v>
      </c>
      <c r="AY250" t="s">
        <v>4620</v>
      </c>
      <c r="AZ250" t="s">
        <v>4672</v>
      </c>
      <c r="BA250" t="s">
        <v>4584</v>
      </c>
      <c r="BB250" t="s">
        <v>7749</v>
      </c>
    </row>
    <row r="251" spans="1:54" x14ac:dyDescent="0.25">
      <c r="A251" t="s">
        <v>7750</v>
      </c>
      <c r="B251" t="s">
        <v>7751</v>
      </c>
      <c r="C251" t="s">
        <v>7752</v>
      </c>
      <c r="D251">
        <v>2022</v>
      </c>
      <c r="E251" t="s">
        <v>6752</v>
      </c>
      <c r="F251">
        <v>16</v>
      </c>
      <c r="G251">
        <v>1</v>
      </c>
      <c r="H251" t="s">
        <v>7753</v>
      </c>
      <c r="M251" t="s">
        <v>7754</v>
      </c>
      <c r="N251" t="s">
        <v>7755</v>
      </c>
      <c r="O251" t="s">
        <v>7756</v>
      </c>
      <c r="P251" t="s">
        <v>7757</v>
      </c>
      <c r="Q251" t="s">
        <v>7758</v>
      </c>
      <c r="R251" t="s">
        <v>7759</v>
      </c>
      <c r="Y251" t="s">
        <v>7760</v>
      </c>
      <c r="Z251" t="s">
        <v>7761</v>
      </c>
      <c r="AI251" t="s">
        <v>7762</v>
      </c>
      <c r="AJ251" t="s">
        <v>7763</v>
      </c>
      <c r="AM251" t="s">
        <v>431</v>
      </c>
      <c r="AR251">
        <v>24223719</v>
      </c>
      <c r="AV251" t="s">
        <v>78</v>
      </c>
      <c r="AW251" t="s">
        <v>6762</v>
      </c>
      <c r="AX251" t="s">
        <v>79</v>
      </c>
      <c r="AY251" t="s">
        <v>4620</v>
      </c>
      <c r="AZ251" t="s">
        <v>4672</v>
      </c>
      <c r="BA251" t="s">
        <v>4584</v>
      </c>
      <c r="BB251" t="s">
        <v>7764</v>
      </c>
    </row>
    <row r="252" spans="1:54" x14ac:dyDescent="0.25">
      <c r="A252" t="s">
        <v>7765</v>
      </c>
      <c r="B252" t="s">
        <v>7766</v>
      </c>
      <c r="C252" t="s">
        <v>7767</v>
      </c>
      <c r="D252">
        <v>2022</v>
      </c>
      <c r="E252" t="s">
        <v>6752</v>
      </c>
      <c r="F252">
        <v>16</v>
      </c>
      <c r="G252">
        <v>2</v>
      </c>
      <c r="H252" t="s">
        <v>7768</v>
      </c>
      <c r="M252" t="s">
        <v>7769</v>
      </c>
      <c r="N252" t="s">
        <v>7770</v>
      </c>
      <c r="O252" t="s">
        <v>7771</v>
      </c>
      <c r="P252" t="s">
        <v>7772</v>
      </c>
      <c r="Q252" t="s">
        <v>7773</v>
      </c>
      <c r="R252" t="s">
        <v>7774</v>
      </c>
      <c r="X252" t="s">
        <v>5392</v>
      </c>
      <c r="Y252" t="s">
        <v>7775</v>
      </c>
      <c r="AI252" t="s">
        <v>7776</v>
      </c>
      <c r="AJ252" t="s">
        <v>7777</v>
      </c>
      <c r="AM252" t="s">
        <v>431</v>
      </c>
      <c r="AR252">
        <v>24223719</v>
      </c>
      <c r="AV252" t="s">
        <v>78</v>
      </c>
      <c r="AW252" t="s">
        <v>6762</v>
      </c>
      <c r="AX252" t="s">
        <v>79</v>
      </c>
      <c r="AY252" t="s">
        <v>4620</v>
      </c>
      <c r="AZ252" t="s">
        <v>4672</v>
      </c>
      <c r="BA252" t="s">
        <v>4584</v>
      </c>
      <c r="BB252" t="s">
        <v>7778</v>
      </c>
    </row>
    <row r="253" spans="1:54" x14ac:dyDescent="0.25">
      <c r="A253" t="s">
        <v>7779</v>
      </c>
      <c r="B253" t="s">
        <v>7780</v>
      </c>
      <c r="C253" t="s">
        <v>7781</v>
      </c>
      <c r="D253">
        <v>2022</v>
      </c>
      <c r="E253" t="s">
        <v>6752</v>
      </c>
      <c r="F253">
        <v>16</v>
      </c>
      <c r="G253">
        <v>2</v>
      </c>
      <c r="H253" t="s">
        <v>7782</v>
      </c>
      <c r="M253" t="s">
        <v>7783</v>
      </c>
      <c r="N253" t="s">
        <v>7784</v>
      </c>
      <c r="O253" t="s">
        <v>7785</v>
      </c>
      <c r="P253" t="s">
        <v>7786</v>
      </c>
      <c r="Q253" t="s">
        <v>7787</v>
      </c>
      <c r="R253" t="s">
        <v>7788</v>
      </c>
      <c r="AI253" t="s">
        <v>7789</v>
      </c>
      <c r="AJ253" t="s">
        <v>7790</v>
      </c>
      <c r="AM253" t="s">
        <v>431</v>
      </c>
      <c r="AR253">
        <v>24223719</v>
      </c>
      <c r="AV253" t="s">
        <v>78</v>
      </c>
      <c r="AW253" t="s">
        <v>6762</v>
      </c>
      <c r="AX253" t="s">
        <v>79</v>
      </c>
      <c r="AY253" t="s">
        <v>4620</v>
      </c>
      <c r="AZ253" t="s">
        <v>4672</v>
      </c>
      <c r="BA253" t="s">
        <v>4584</v>
      </c>
      <c r="BB253" t="s">
        <v>7791</v>
      </c>
    </row>
    <row r="254" spans="1:54" x14ac:dyDescent="0.25">
      <c r="A254" t="s">
        <v>7792</v>
      </c>
      <c r="B254" t="s">
        <v>7793</v>
      </c>
      <c r="C254" t="s">
        <v>7794</v>
      </c>
      <c r="D254">
        <v>2022</v>
      </c>
      <c r="E254" t="s">
        <v>6752</v>
      </c>
      <c r="F254">
        <v>16</v>
      </c>
      <c r="G254">
        <v>2</v>
      </c>
      <c r="H254" t="s">
        <v>7795</v>
      </c>
      <c r="M254" t="s">
        <v>7796</v>
      </c>
      <c r="N254" t="s">
        <v>7797</v>
      </c>
      <c r="O254" t="s">
        <v>7798</v>
      </c>
      <c r="P254" t="s">
        <v>7799</v>
      </c>
      <c r="Q254" t="s">
        <v>7800</v>
      </c>
      <c r="R254" t="s">
        <v>7801</v>
      </c>
      <c r="X254" t="s">
        <v>7802</v>
      </c>
      <c r="Y254" t="s">
        <v>7803</v>
      </c>
      <c r="Z254" t="s">
        <v>7804</v>
      </c>
      <c r="AI254" t="s">
        <v>7805</v>
      </c>
      <c r="AJ254" t="s">
        <v>7806</v>
      </c>
      <c r="AM254" t="s">
        <v>431</v>
      </c>
      <c r="AR254">
        <v>24223719</v>
      </c>
      <c r="AV254" t="s">
        <v>78</v>
      </c>
      <c r="AW254" t="s">
        <v>6762</v>
      </c>
      <c r="AX254" t="s">
        <v>79</v>
      </c>
      <c r="AY254" t="s">
        <v>4620</v>
      </c>
      <c r="AZ254" t="s">
        <v>4672</v>
      </c>
      <c r="BA254" t="s">
        <v>4584</v>
      </c>
      <c r="BB254" t="s">
        <v>7807</v>
      </c>
    </row>
    <row r="255" spans="1:54" x14ac:dyDescent="0.25">
      <c r="A255" t="s">
        <v>7808</v>
      </c>
      <c r="B255" t="s">
        <v>7809</v>
      </c>
      <c r="C255" t="s">
        <v>7810</v>
      </c>
      <c r="D255">
        <v>2022</v>
      </c>
      <c r="E255" t="s">
        <v>6752</v>
      </c>
      <c r="F255">
        <v>16</v>
      </c>
      <c r="G255">
        <v>1</v>
      </c>
      <c r="H255" t="s">
        <v>7811</v>
      </c>
      <c r="M255" t="s">
        <v>7812</v>
      </c>
      <c r="N255" t="s">
        <v>7813</v>
      </c>
      <c r="O255" t="s">
        <v>7814</v>
      </c>
      <c r="P255" t="s">
        <v>7815</v>
      </c>
      <c r="Q255" t="s">
        <v>7816</v>
      </c>
      <c r="R255" t="s">
        <v>7817</v>
      </c>
      <c r="AI255" t="s">
        <v>7818</v>
      </c>
      <c r="AJ255" t="s">
        <v>7819</v>
      </c>
      <c r="AM255" t="s">
        <v>431</v>
      </c>
      <c r="AR255">
        <v>24223719</v>
      </c>
      <c r="AV255" t="s">
        <v>78</v>
      </c>
      <c r="AW255" t="s">
        <v>6762</v>
      </c>
      <c r="AX255" t="s">
        <v>79</v>
      </c>
      <c r="AY255" t="s">
        <v>4620</v>
      </c>
      <c r="AZ255" t="s">
        <v>4672</v>
      </c>
      <c r="BA255" t="s">
        <v>4584</v>
      </c>
      <c r="BB255" t="s">
        <v>7820</v>
      </c>
    </row>
    <row r="256" spans="1:54" x14ac:dyDescent="0.25">
      <c r="A256" t="s">
        <v>7821</v>
      </c>
      <c r="B256" t="s">
        <v>7822</v>
      </c>
      <c r="C256" t="s">
        <v>7823</v>
      </c>
      <c r="D256">
        <v>2022</v>
      </c>
      <c r="E256" t="s">
        <v>6752</v>
      </c>
      <c r="F256">
        <v>16</v>
      </c>
      <c r="G256">
        <v>2</v>
      </c>
      <c r="H256" t="s">
        <v>7824</v>
      </c>
      <c r="M256" t="s">
        <v>7825</v>
      </c>
      <c r="N256" t="s">
        <v>7826</v>
      </c>
      <c r="O256" t="s">
        <v>7827</v>
      </c>
      <c r="P256" t="s">
        <v>7828</v>
      </c>
      <c r="Q256" t="s">
        <v>7829</v>
      </c>
      <c r="R256" t="s">
        <v>7830</v>
      </c>
      <c r="Y256" t="s">
        <v>7831</v>
      </c>
      <c r="AI256" t="s">
        <v>7832</v>
      </c>
      <c r="AJ256" t="s">
        <v>7833</v>
      </c>
      <c r="AM256" t="s">
        <v>431</v>
      </c>
      <c r="AR256">
        <v>24223719</v>
      </c>
      <c r="AV256" t="s">
        <v>78</v>
      </c>
      <c r="AW256" t="s">
        <v>6762</v>
      </c>
      <c r="AX256" t="s">
        <v>79</v>
      </c>
      <c r="AY256" t="s">
        <v>4620</v>
      </c>
      <c r="AZ256" t="s">
        <v>4672</v>
      </c>
      <c r="BA256" t="s">
        <v>4584</v>
      </c>
      <c r="BB256" t="s">
        <v>7834</v>
      </c>
    </row>
    <row r="257" spans="1:54" x14ac:dyDescent="0.25">
      <c r="A257" t="s">
        <v>7835</v>
      </c>
      <c r="B257" t="s">
        <v>7836</v>
      </c>
      <c r="C257" t="s">
        <v>7837</v>
      </c>
      <c r="D257">
        <v>2022</v>
      </c>
      <c r="E257" t="s">
        <v>6752</v>
      </c>
      <c r="F257">
        <v>16</v>
      </c>
      <c r="G257">
        <v>2</v>
      </c>
      <c r="N257" t="s">
        <v>7838</v>
      </c>
      <c r="O257" t="s">
        <v>7839</v>
      </c>
      <c r="P257" t="s">
        <v>7840</v>
      </c>
      <c r="Q257" t="s">
        <v>10704</v>
      </c>
      <c r="AJ257" t="s">
        <v>7841</v>
      </c>
      <c r="AM257" t="s">
        <v>431</v>
      </c>
      <c r="AR257">
        <v>24223719</v>
      </c>
      <c r="AV257" t="s">
        <v>78</v>
      </c>
      <c r="AW257" t="s">
        <v>6762</v>
      </c>
      <c r="AX257" t="s">
        <v>1500</v>
      </c>
      <c r="AY257" t="s">
        <v>4620</v>
      </c>
      <c r="BA257" t="s">
        <v>4584</v>
      </c>
      <c r="BB257" t="s">
        <v>7842</v>
      </c>
    </row>
    <row r="258" spans="1:54" x14ac:dyDescent="0.25">
      <c r="A258" t="s">
        <v>7843</v>
      </c>
      <c r="B258" t="s">
        <v>7844</v>
      </c>
      <c r="C258" t="s">
        <v>7845</v>
      </c>
      <c r="D258">
        <v>2022</v>
      </c>
      <c r="E258" t="s">
        <v>6752</v>
      </c>
      <c r="F258">
        <v>16</v>
      </c>
      <c r="G258">
        <v>1</v>
      </c>
      <c r="H258" t="s">
        <v>7846</v>
      </c>
      <c r="M258" t="s">
        <v>7847</v>
      </c>
      <c r="N258" t="s">
        <v>7848</v>
      </c>
      <c r="O258" t="s">
        <v>7849</v>
      </c>
      <c r="P258" t="s">
        <v>7850</v>
      </c>
      <c r="Q258" t="s">
        <v>7851</v>
      </c>
      <c r="R258" t="s">
        <v>7852</v>
      </c>
      <c r="AI258" t="s">
        <v>7853</v>
      </c>
      <c r="AJ258" t="s">
        <v>7854</v>
      </c>
      <c r="AM258" t="s">
        <v>431</v>
      </c>
      <c r="AR258">
        <v>24223719</v>
      </c>
      <c r="AV258" t="s">
        <v>78</v>
      </c>
      <c r="AW258" t="s">
        <v>6762</v>
      </c>
      <c r="AX258" t="s">
        <v>79</v>
      </c>
      <c r="AY258" t="s">
        <v>4620</v>
      </c>
      <c r="AZ258" t="s">
        <v>4672</v>
      </c>
      <c r="BA258" t="s">
        <v>4584</v>
      </c>
      <c r="BB258" t="s">
        <v>7855</v>
      </c>
    </row>
    <row r="259" spans="1:54" x14ac:dyDescent="0.25">
      <c r="A259" t="s">
        <v>7856</v>
      </c>
      <c r="B259" t="s">
        <v>7857</v>
      </c>
      <c r="C259" t="s">
        <v>7858</v>
      </c>
      <c r="D259">
        <v>2022</v>
      </c>
      <c r="E259" t="s">
        <v>6752</v>
      </c>
      <c r="F259">
        <v>16</v>
      </c>
      <c r="G259">
        <v>2</v>
      </c>
      <c r="H259" t="s">
        <v>7859</v>
      </c>
      <c r="M259" t="s">
        <v>7860</v>
      </c>
      <c r="N259" t="s">
        <v>7861</v>
      </c>
      <c r="O259" t="s">
        <v>7862</v>
      </c>
      <c r="P259" t="s">
        <v>7863</v>
      </c>
      <c r="Q259" t="s">
        <v>7864</v>
      </c>
      <c r="R259" t="s">
        <v>7865</v>
      </c>
      <c r="AI259" t="s">
        <v>7866</v>
      </c>
      <c r="AJ259" t="s">
        <v>7790</v>
      </c>
      <c r="AM259" t="s">
        <v>431</v>
      </c>
      <c r="AR259">
        <v>24223719</v>
      </c>
      <c r="AV259" t="s">
        <v>78</v>
      </c>
      <c r="AW259" t="s">
        <v>6762</v>
      </c>
      <c r="AX259" t="s">
        <v>79</v>
      </c>
      <c r="AY259" t="s">
        <v>4620</v>
      </c>
      <c r="AZ259" t="s">
        <v>4672</v>
      </c>
      <c r="BA259" t="s">
        <v>4584</v>
      </c>
      <c r="BB259" t="s">
        <v>7867</v>
      </c>
    </row>
    <row r="260" spans="1:54" x14ac:dyDescent="0.25">
      <c r="A260" t="s">
        <v>7868</v>
      </c>
      <c r="B260" t="s">
        <v>7869</v>
      </c>
      <c r="C260" t="s">
        <v>7870</v>
      </c>
      <c r="D260">
        <v>2022</v>
      </c>
      <c r="E260" t="s">
        <v>6752</v>
      </c>
      <c r="F260">
        <v>16</v>
      </c>
      <c r="G260">
        <v>1</v>
      </c>
      <c r="H260" t="s">
        <v>7871</v>
      </c>
      <c r="M260" t="s">
        <v>7872</v>
      </c>
      <c r="N260" t="s">
        <v>7873</v>
      </c>
      <c r="O260" t="s">
        <v>7874</v>
      </c>
      <c r="P260" t="s">
        <v>7875</v>
      </c>
      <c r="Q260" t="s">
        <v>7876</v>
      </c>
      <c r="R260" t="s">
        <v>7877</v>
      </c>
      <c r="AI260" t="s">
        <v>7878</v>
      </c>
      <c r="AJ260" t="s">
        <v>7879</v>
      </c>
      <c r="AM260" t="s">
        <v>431</v>
      </c>
      <c r="AR260">
        <v>24223719</v>
      </c>
      <c r="AV260" t="s">
        <v>78</v>
      </c>
      <c r="AW260" t="s">
        <v>6762</v>
      </c>
      <c r="AX260" t="s">
        <v>79</v>
      </c>
      <c r="AY260" t="s">
        <v>4620</v>
      </c>
      <c r="AZ260" t="s">
        <v>4672</v>
      </c>
      <c r="BA260" t="s">
        <v>4584</v>
      </c>
      <c r="BB260" t="s">
        <v>7880</v>
      </c>
    </row>
    <row r="261" spans="1:54" x14ac:dyDescent="0.25">
      <c r="A261" t="s">
        <v>7881</v>
      </c>
      <c r="B261" t="s">
        <v>7882</v>
      </c>
      <c r="C261" t="s">
        <v>7883</v>
      </c>
      <c r="D261">
        <v>2022</v>
      </c>
      <c r="E261" t="s">
        <v>6752</v>
      </c>
      <c r="F261">
        <v>16</v>
      </c>
      <c r="G261">
        <v>1</v>
      </c>
      <c r="H261" t="s">
        <v>7884</v>
      </c>
      <c r="M261" t="s">
        <v>7885</v>
      </c>
      <c r="N261" t="s">
        <v>7886</v>
      </c>
      <c r="O261" t="s">
        <v>7887</v>
      </c>
      <c r="P261" t="s">
        <v>7888</v>
      </c>
      <c r="Q261" t="s">
        <v>7889</v>
      </c>
      <c r="R261" t="s">
        <v>7890</v>
      </c>
      <c r="X261" t="s">
        <v>5392</v>
      </c>
      <c r="Y261" t="s">
        <v>7891</v>
      </c>
      <c r="Z261" t="s">
        <v>7892</v>
      </c>
      <c r="AI261" t="s">
        <v>7893</v>
      </c>
      <c r="AJ261" t="s">
        <v>7894</v>
      </c>
      <c r="AM261" t="s">
        <v>431</v>
      </c>
      <c r="AR261">
        <v>24223719</v>
      </c>
      <c r="AV261" t="s">
        <v>78</v>
      </c>
      <c r="AW261" t="s">
        <v>6762</v>
      </c>
      <c r="AX261" t="s">
        <v>79</v>
      </c>
      <c r="AY261" t="s">
        <v>4620</v>
      </c>
      <c r="AZ261" t="s">
        <v>4672</v>
      </c>
      <c r="BA261" t="s">
        <v>4584</v>
      </c>
      <c r="BB261" t="s">
        <v>7895</v>
      </c>
    </row>
    <row r="262" spans="1:54" x14ac:dyDescent="0.25">
      <c r="A262" t="s">
        <v>7896</v>
      </c>
      <c r="B262" t="s">
        <v>7897</v>
      </c>
      <c r="C262" t="s">
        <v>7898</v>
      </c>
      <c r="D262">
        <v>2022</v>
      </c>
      <c r="E262" t="s">
        <v>6752</v>
      </c>
      <c r="F262">
        <v>16</v>
      </c>
      <c r="G262">
        <v>1</v>
      </c>
      <c r="H262" t="s">
        <v>7899</v>
      </c>
      <c r="M262" t="s">
        <v>7900</v>
      </c>
      <c r="N262" t="s">
        <v>7901</v>
      </c>
      <c r="O262" t="s">
        <v>7902</v>
      </c>
      <c r="P262" t="s">
        <v>7903</v>
      </c>
      <c r="Q262" t="s">
        <v>7904</v>
      </c>
      <c r="R262" t="s">
        <v>7905</v>
      </c>
      <c r="X262" t="s">
        <v>7906</v>
      </c>
      <c r="Y262" t="s">
        <v>7907</v>
      </c>
      <c r="Z262" t="s">
        <v>7908</v>
      </c>
      <c r="AI262" t="s">
        <v>7909</v>
      </c>
      <c r="AJ262" t="s">
        <v>7910</v>
      </c>
      <c r="AM262" t="s">
        <v>431</v>
      </c>
      <c r="AR262">
        <v>24223719</v>
      </c>
      <c r="AV262" t="s">
        <v>78</v>
      </c>
      <c r="AW262" t="s">
        <v>6762</v>
      </c>
      <c r="AX262" t="s">
        <v>79</v>
      </c>
      <c r="AY262" t="s">
        <v>4620</v>
      </c>
      <c r="AZ262" t="s">
        <v>4672</v>
      </c>
      <c r="BA262" t="s">
        <v>4584</v>
      </c>
      <c r="BB262" t="s">
        <v>7911</v>
      </c>
    </row>
    <row r="263" spans="1:54" x14ac:dyDescent="0.25">
      <c r="A263" t="s">
        <v>7912</v>
      </c>
      <c r="B263" t="s">
        <v>7913</v>
      </c>
      <c r="C263" t="s">
        <v>7914</v>
      </c>
      <c r="D263">
        <v>2022</v>
      </c>
      <c r="E263" t="s">
        <v>6752</v>
      </c>
      <c r="F263">
        <v>16</v>
      </c>
      <c r="G263">
        <v>1</v>
      </c>
      <c r="H263" t="s">
        <v>7915</v>
      </c>
      <c r="M263" t="s">
        <v>7916</v>
      </c>
      <c r="N263" t="s">
        <v>7917</v>
      </c>
      <c r="O263" t="s">
        <v>7918</v>
      </c>
      <c r="P263" t="s">
        <v>7919</v>
      </c>
      <c r="Q263" t="s">
        <v>7920</v>
      </c>
      <c r="R263" t="s">
        <v>7921</v>
      </c>
      <c r="Y263" t="s">
        <v>7922</v>
      </c>
      <c r="AI263" t="s">
        <v>7923</v>
      </c>
      <c r="AJ263" t="s">
        <v>7924</v>
      </c>
      <c r="AM263" t="s">
        <v>431</v>
      </c>
      <c r="AR263">
        <v>24223719</v>
      </c>
      <c r="AV263" t="s">
        <v>78</v>
      </c>
      <c r="AW263" t="s">
        <v>6762</v>
      </c>
      <c r="AX263" t="s">
        <v>79</v>
      </c>
      <c r="AY263" t="s">
        <v>4620</v>
      </c>
      <c r="AZ263" t="s">
        <v>4672</v>
      </c>
      <c r="BA263" t="s">
        <v>4584</v>
      </c>
      <c r="BB263" t="s">
        <v>7925</v>
      </c>
    </row>
    <row r="264" spans="1:54" x14ac:dyDescent="0.25">
      <c r="A264" t="s">
        <v>7926</v>
      </c>
      <c r="B264" t="s">
        <v>7927</v>
      </c>
      <c r="C264" t="s">
        <v>7928</v>
      </c>
      <c r="D264">
        <v>2022</v>
      </c>
      <c r="E264" t="s">
        <v>6752</v>
      </c>
      <c r="F264">
        <v>16</v>
      </c>
      <c r="G264">
        <v>1</v>
      </c>
      <c r="H264" t="s">
        <v>7929</v>
      </c>
      <c r="M264" t="s">
        <v>7930</v>
      </c>
      <c r="N264" t="s">
        <v>7931</v>
      </c>
      <c r="O264" t="s">
        <v>7932</v>
      </c>
      <c r="P264" t="s">
        <v>7933</v>
      </c>
      <c r="Q264" t="s">
        <v>7934</v>
      </c>
      <c r="R264" t="s">
        <v>7935</v>
      </c>
      <c r="X264" t="s">
        <v>7936</v>
      </c>
      <c r="Y264" t="s">
        <v>7937</v>
      </c>
      <c r="AI264" t="s">
        <v>7938</v>
      </c>
      <c r="AJ264" t="s">
        <v>7939</v>
      </c>
      <c r="AM264" t="s">
        <v>431</v>
      </c>
      <c r="AR264">
        <v>24223719</v>
      </c>
      <c r="AV264" t="s">
        <v>78</v>
      </c>
      <c r="AW264" t="s">
        <v>6762</v>
      </c>
      <c r="AX264" t="s">
        <v>79</v>
      </c>
      <c r="AY264" t="s">
        <v>4620</v>
      </c>
      <c r="AZ264" t="s">
        <v>4672</v>
      </c>
      <c r="BA264" t="s">
        <v>4584</v>
      </c>
      <c r="BB264" t="s">
        <v>7940</v>
      </c>
    </row>
    <row r="265" spans="1:54" x14ac:dyDescent="0.25">
      <c r="A265" t="s">
        <v>7941</v>
      </c>
      <c r="B265" t="s">
        <v>7942</v>
      </c>
      <c r="C265" t="s">
        <v>7943</v>
      </c>
      <c r="D265">
        <v>2022</v>
      </c>
      <c r="E265" t="s">
        <v>6752</v>
      </c>
      <c r="F265">
        <v>16</v>
      </c>
      <c r="G265">
        <v>2</v>
      </c>
      <c r="H265" t="s">
        <v>7944</v>
      </c>
      <c r="M265" t="s">
        <v>7945</v>
      </c>
      <c r="N265" t="s">
        <v>7946</v>
      </c>
      <c r="O265" t="s">
        <v>7947</v>
      </c>
      <c r="P265" t="s">
        <v>7948</v>
      </c>
      <c r="Q265" t="s">
        <v>7949</v>
      </c>
      <c r="R265" t="s">
        <v>7950</v>
      </c>
      <c r="AI265" t="s">
        <v>7951</v>
      </c>
      <c r="AJ265" t="s">
        <v>7952</v>
      </c>
      <c r="AM265" t="s">
        <v>431</v>
      </c>
      <c r="AR265">
        <v>24223719</v>
      </c>
      <c r="AV265" t="s">
        <v>78</v>
      </c>
      <c r="AW265" t="s">
        <v>6762</v>
      </c>
      <c r="AX265" t="s">
        <v>79</v>
      </c>
      <c r="AY265" t="s">
        <v>4620</v>
      </c>
      <c r="AZ265" t="s">
        <v>4672</v>
      </c>
      <c r="BA265" t="s">
        <v>4584</v>
      </c>
      <c r="BB265" t="s">
        <v>7953</v>
      </c>
    </row>
    <row r="266" spans="1:54" x14ac:dyDescent="0.25">
      <c r="A266" t="s">
        <v>7954</v>
      </c>
      <c r="B266" t="s">
        <v>7955</v>
      </c>
      <c r="C266" t="s">
        <v>7956</v>
      </c>
      <c r="D266">
        <v>2022</v>
      </c>
      <c r="E266" t="s">
        <v>6752</v>
      </c>
      <c r="F266">
        <v>16</v>
      </c>
      <c r="G266">
        <v>2</v>
      </c>
      <c r="H266" t="s">
        <v>7957</v>
      </c>
      <c r="M266" t="s">
        <v>7958</v>
      </c>
      <c r="N266" t="s">
        <v>7959</v>
      </c>
      <c r="O266" t="s">
        <v>7960</v>
      </c>
      <c r="P266" t="s">
        <v>7961</v>
      </c>
      <c r="Q266" t="s">
        <v>7962</v>
      </c>
      <c r="R266" t="s">
        <v>7963</v>
      </c>
      <c r="AI266" t="s">
        <v>7964</v>
      </c>
      <c r="AJ266" t="s">
        <v>7965</v>
      </c>
      <c r="AM266" t="s">
        <v>431</v>
      </c>
      <c r="AR266">
        <v>24223719</v>
      </c>
      <c r="AV266" t="s">
        <v>78</v>
      </c>
      <c r="AW266" t="s">
        <v>6762</v>
      </c>
      <c r="AX266" t="s">
        <v>79</v>
      </c>
      <c r="AY266" t="s">
        <v>4620</v>
      </c>
      <c r="AZ266" t="s">
        <v>4672</v>
      </c>
      <c r="BA266" t="s">
        <v>4584</v>
      </c>
      <c r="BB266" t="s">
        <v>7966</v>
      </c>
    </row>
    <row r="267" spans="1:54" x14ac:dyDescent="0.25">
      <c r="A267" t="s">
        <v>7967</v>
      </c>
      <c r="B267" t="s">
        <v>7968</v>
      </c>
      <c r="C267" t="s">
        <v>7969</v>
      </c>
      <c r="D267">
        <v>2022</v>
      </c>
      <c r="E267" t="s">
        <v>6752</v>
      </c>
      <c r="F267">
        <v>16</v>
      </c>
      <c r="G267">
        <v>1</v>
      </c>
      <c r="H267" t="s">
        <v>7970</v>
      </c>
      <c r="M267" t="s">
        <v>7971</v>
      </c>
      <c r="N267" t="s">
        <v>7972</v>
      </c>
      <c r="O267" t="s">
        <v>7973</v>
      </c>
      <c r="P267" t="s">
        <v>7974</v>
      </c>
      <c r="Q267" t="s">
        <v>7975</v>
      </c>
      <c r="R267" t="s">
        <v>7976</v>
      </c>
      <c r="X267" t="s">
        <v>7977</v>
      </c>
      <c r="Y267" t="s">
        <v>7978</v>
      </c>
      <c r="AI267" t="s">
        <v>7979</v>
      </c>
      <c r="AJ267" t="s">
        <v>7980</v>
      </c>
      <c r="AM267" t="s">
        <v>431</v>
      </c>
      <c r="AR267">
        <v>24223719</v>
      </c>
      <c r="AV267" t="s">
        <v>78</v>
      </c>
      <c r="AW267" t="s">
        <v>6762</v>
      </c>
      <c r="AX267" t="s">
        <v>79</v>
      </c>
      <c r="AY267" t="s">
        <v>4620</v>
      </c>
      <c r="AZ267" t="s">
        <v>4672</v>
      </c>
      <c r="BA267" t="s">
        <v>4584</v>
      </c>
      <c r="BB267" t="s">
        <v>7981</v>
      </c>
    </row>
    <row r="268" spans="1:54" x14ac:dyDescent="0.25">
      <c r="A268" t="s">
        <v>7982</v>
      </c>
      <c r="B268" t="s">
        <v>7983</v>
      </c>
      <c r="C268" t="s">
        <v>7984</v>
      </c>
      <c r="D268">
        <v>2022</v>
      </c>
      <c r="E268" t="s">
        <v>6752</v>
      </c>
      <c r="F268">
        <v>16</v>
      </c>
      <c r="G268">
        <v>2</v>
      </c>
      <c r="H268" t="s">
        <v>7985</v>
      </c>
      <c r="M268" t="s">
        <v>7986</v>
      </c>
      <c r="N268" t="s">
        <v>7987</v>
      </c>
      <c r="O268" t="s">
        <v>7988</v>
      </c>
      <c r="P268" t="s">
        <v>7989</v>
      </c>
      <c r="Q268" t="s">
        <v>7990</v>
      </c>
      <c r="R268" t="s">
        <v>7991</v>
      </c>
      <c r="AI268" t="s">
        <v>7992</v>
      </c>
      <c r="AM268" t="s">
        <v>431</v>
      </c>
      <c r="AR268">
        <v>24223719</v>
      </c>
      <c r="AV268" t="s">
        <v>78</v>
      </c>
      <c r="AW268" t="s">
        <v>6762</v>
      </c>
      <c r="AX268" t="s">
        <v>79</v>
      </c>
      <c r="AY268" t="s">
        <v>4620</v>
      </c>
      <c r="AZ268" t="s">
        <v>4672</v>
      </c>
      <c r="BA268" t="s">
        <v>4584</v>
      </c>
      <c r="BB268" t="s">
        <v>7993</v>
      </c>
    </row>
    <row r="269" spans="1:54" x14ac:dyDescent="0.25">
      <c r="A269" t="s">
        <v>7994</v>
      </c>
      <c r="B269" t="s">
        <v>7995</v>
      </c>
      <c r="C269" t="s">
        <v>7996</v>
      </c>
      <c r="D269">
        <v>2022</v>
      </c>
      <c r="E269" t="s">
        <v>6752</v>
      </c>
      <c r="F269">
        <v>16</v>
      </c>
      <c r="G269">
        <v>1</v>
      </c>
      <c r="H269" t="s">
        <v>7997</v>
      </c>
      <c r="M269" t="s">
        <v>7998</v>
      </c>
      <c r="N269" t="s">
        <v>7999</v>
      </c>
      <c r="O269" t="s">
        <v>8000</v>
      </c>
      <c r="P269" t="s">
        <v>8001</v>
      </c>
      <c r="Q269" t="s">
        <v>8002</v>
      </c>
      <c r="R269" t="s">
        <v>8003</v>
      </c>
      <c r="AI269" t="s">
        <v>8004</v>
      </c>
      <c r="AJ269" t="s">
        <v>8005</v>
      </c>
      <c r="AM269" t="s">
        <v>431</v>
      </c>
      <c r="AR269">
        <v>24223719</v>
      </c>
      <c r="AV269" t="s">
        <v>78</v>
      </c>
      <c r="AW269" t="s">
        <v>6762</v>
      </c>
      <c r="AX269" t="s">
        <v>79</v>
      </c>
      <c r="AY269" t="s">
        <v>4620</v>
      </c>
      <c r="AZ269" t="s">
        <v>4672</v>
      </c>
      <c r="BA269" t="s">
        <v>4584</v>
      </c>
      <c r="BB269" t="s">
        <v>8006</v>
      </c>
    </row>
    <row r="270" spans="1:54" x14ac:dyDescent="0.25">
      <c r="A270" t="s">
        <v>8007</v>
      </c>
      <c r="B270" t="s">
        <v>10750</v>
      </c>
      <c r="C270" t="s">
        <v>8008</v>
      </c>
      <c r="D270">
        <v>2022</v>
      </c>
      <c r="E270" t="s">
        <v>6752</v>
      </c>
      <c r="F270">
        <v>16</v>
      </c>
      <c r="G270">
        <v>2</v>
      </c>
      <c r="H270" t="s">
        <v>8009</v>
      </c>
      <c r="M270" t="s">
        <v>8010</v>
      </c>
      <c r="N270" t="s">
        <v>8011</v>
      </c>
      <c r="O270" t="s">
        <v>8012</v>
      </c>
      <c r="P270" t="s">
        <v>8013</v>
      </c>
      <c r="Q270" t="s">
        <v>8014</v>
      </c>
      <c r="R270" t="s">
        <v>8015</v>
      </c>
      <c r="X270" t="s">
        <v>8016</v>
      </c>
      <c r="Y270" t="s">
        <v>8017</v>
      </c>
      <c r="AI270" t="s">
        <v>8018</v>
      </c>
      <c r="AJ270" t="s">
        <v>8019</v>
      </c>
      <c r="AM270" t="s">
        <v>431</v>
      </c>
      <c r="AR270">
        <v>24223719</v>
      </c>
      <c r="AV270" t="s">
        <v>78</v>
      </c>
      <c r="AW270" t="s">
        <v>6762</v>
      </c>
      <c r="AX270" t="s">
        <v>79</v>
      </c>
      <c r="AY270" t="s">
        <v>4620</v>
      </c>
      <c r="AZ270" t="s">
        <v>4672</v>
      </c>
      <c r="BA270" t="s">
        <v>4584</v>
      </c>
      <c r="BB270" t="s">
        <v>8020</v>
      </c>
    </row>
    <row r="271" spans="1:54" x14ac:dyDescent="0.25">
      <c r="A271" t="s">
        <v>8021</v>
      </c>
      <c r="B271" t="s">
        <v>8022</v>
      </c>
      <c r="C271" t="s">
        <v>8023</v>
      </c>
      <c r="D271">
        <v>2022</v>
      </c>
      <c r="E271" t="s">
        <v>6752</v>
      </c>
      <c r="F271">
        <v>16</v>
      </c>
      <c r="G271">
        <v>2</v>
      </c>
      <c r="H271" t="s">
        <v>8009</v>
      </c>
      <c r="M271" t="s">
        <v>8024</v>
      </c>
      <c r="N271" t="s">
        <v>8025</v>
      </c>
      <c r="O271" t="s">
        <v>8026</v>
      </c>
      <c r="P271" t="s">
        <v>8027</v>
      </c>
      <c r="Q271" t="s">
        <v>8028</v>
      </c>
      <c r="R271" t="s">
        <v>8029</v>
      </c>
      <c r="AI271" t="s">
        <v>8030</v>
      </c>
      <c r="AJ271" t="s">
        <v>8031</v>
      </c>
      <c r="AM271" t="s">
        <v>431</v>
      </c>
      <c r="AR271">
        <v>24223719</v>
      </c>
      <c r="AV271" t="s">
        <v>78</v>
      </c>
      <c r="AW271" t="s">
        <v>6762</v>
      </c>
      <c r="AX271" t="s">
        <v>79</v>
      </c>
      <c r="AY271" t="s">
        <v>4620</v>
      </c>
      <c r="AZ271" t="s">
        <v>4672</v>
      </c>
      <c r="BA271" t="s">
        <v>4584</v>
      </c>
      <c r="BB271" t="s">
        <v>8032</v>
      </c>
    </row>
    <row r="272" spans="1:54" x14ac:dyDescent="0.25">
      <c r="A272" t="s">
        <v>8033</v>
      </c>
      <c r="B272" t="s">
        <v>8034</v>
      </c>
      <c r="C272" t="s">
        <v>8035</v>
      </c>
      <c r="D272">
        <v>2022</v>
      </c>
      <c r="E272" t="s">
        <v>6752</v>
      </c>
      <c r="F272">
        <v>16</v>
      </c>
      <c r="G272">
        <v>1</v>
      </c>
      <c r="H272" t="s">
        <v>8036</v>
      </c>
      <c r="M272" t="s">
        <v>8037</v>
      </c>
      <c r="N272" t="s">
        <v>8038</v>
      </c>
      <c r="O272" t="s">
        <v>8039</v>
      </c>
      <c r="P272" t="s">
        <v>8040</v>
      </c>
      <c r="Q272" t="s">
        <v>8041</v>
      </c>
      <c r="R272" t="s">
        <v>8042</v>
      </c>
      <c r="AI272" t="s">
        <v>8043</v>
      </c>
      <c r="AJ272" t="s">
        <v>8044</v>
      </c>
      <c r="AM272" t="s">
        <v>431</v>
      </c>
      <c r="AR272">
        <v>24223719</v>
      </c>
      <c r="AV272" t="s">
        <v>78</v>
      </c>
      <c r="AW272" t="s">
        <v>6762</v>
      </c>
      <c r="AX272" t="s">
        <v>79</v>
      </c>
      <c r="AY272" t="s">
        <v>4620</v>
      </c>
      <c r="AZ272" t="s">
        <v>4672</v>
      </c>
      <c r="BA272" t="s">
        <v>4584</v>
      </c>
      <c r="BB272" t="s">
        <v>8045</v>
      </c>
    </row>
    <row r="273" spans="1:54" x14ac:dyDescent="0.25">
      <c r="A273" t="s">
        <v>8046</v>
      </c>
      <c r="B273" t="s">
        <v>8047</v>
      </c>
      <c r="C273" t="s">
        <v>8048</v>
      </c>
      <c r="D273">
        <v>2022</v>
      </c>
      <c r="E273" t="s">
        <v>6752</v>
      </c>
      <c r="F273">
        <v>16</v>
      </c>
      <c r="G273">
        <v>1</v>
      </c>
      <c r="H273" t="s">
        <v>8049</v>
      </c>
      <c r="M273" t="s">
        <v>8050</v>
      </c>
      <c r="N273" t="s">
        <v>8051</v>
      </c>
      <c r="O273" t="s">
        <v>8052</v>
      </c>
      <c r="P273" t="s">
        <v>8053</v>
      </c>
      <c r="Q273" t="s">
        <v>8054</v>
      </c>
      <c r="R273" t="s">
        <v>8055</v>
      </c>
      <c r="AI273" t="s">
        <v>8056</v>
      </c>
      <c r="AJ273" t="s">
        <v>8057</v>
      </c>
      <c r="AM273" t="s">
        <v>431</v>
      </c>
      <c r="AR273">
        <v>24223719</v>
      </c>
      <c r="AV273" t="s">
        <v>78</v>
      </c>
      <c r="AW273" t="s">
        <v>6762</v>
      </c>
      <c r="AX273" t="s">
        <v>79</v>
      </c>
      <c r="AY273" t="s">
        <v>4620</v>
      </c>
      <c r="AZ273" t="s">
        <v>4672</v>
      </c>
      <c r="BA273" t="s">
        <v>4584</v>
      </c>
      <c r="BB273" t="s">
        <v>8058</v>
      </c>
    </row>
    <row r="274" spans="1:54" x14ac:dyDescent="0.25">
      <c r="A274" t="s">
        <v>8059</v>
      </c>
      <c r="B274" t="s">
        <v>8060</v>
      </c>
      <c r="C274" t="s">
        <v>8061</v>
      </c>
      <c r="D274">
        <v>2022</v>
      </c>
      <c r="E274" t="s">
        <v>8062</v>
      </c>
      <c r="M274" t="s">
        <v>8063</v>
      </c>
      <c r="N274" t="s">
        <v>8064</v>
      </c>
      <c r="O274" t="s">
        <v>8065</v>
      </c>
      <c r="P274" t="s">
        <v>8066</v>
      </c>
      <c r="Q274" t="s">
        <v>8067</v>
      </c>
      <c r="R274" t="s">
        <v>8068</v>
      </c>
      <c r="S274" t="s">
        <v>8069</v>
      </c>
      <c r="AI274" t="s">
        <v>8070</v>
      </c>
      <c r="AK274" t="s">
        <v>8071</v>
      </c>
      <c r="AL274" t="s">
        <v>8072</v>
      </c>
      <c r="AM274" t="s">
        <v>5212</v>
      </c>
      <c r="AN274" t="s">
        <v>8073</v>
      </c>
      <c r="AO274" t="s">
        <v>8074</v>
      </c>
      <c r="AQ274">
        <v>184616</v>
      </c>
      <c r="AS274">
        <v>9781665465250</v>
      </c>
      <c r="AV274" t="s">
        <v>78</v>
      </c>
      <c r="AW274" t="s">
        <v>8075</v>
      </c>
      <c r="AX274" t="s">
        <v>10683</v>
      </c>
      <c r="AY274" t="s">
        <v>4620</v>
      </c>
      <c r="BA274" t="s">
        <v>4584</v>
      </c>
      <c r="BB274" t="s">
        <v>8076</v>
      </c>
    </row>
    <row r="275" spans="1:54" x14ac:dyDescent="0.25">
      <c r="A275" t="s">
        <v>8077</v>
      </c>
      <c r="B275" t="s">
        <v>8078</v>
      </c>
      <c r="C275" t="s">
        <v>2969</v>
      </c>
      <c r="D275">
        <v>2022</v>
      </c>
      <c r="E275" t="s">
        <v>8079</v>
      </c>
      <c r="M275" t="s">
        <v>2984</v>
      </c>
      <c r="N275" t="s">
        <v>8080</v>
      </c>
      <c r="O275" t="s">
        <v>8081</v>
      </c>
      <c r="P275" t="s">
        <v>8082</v>
      </c>
      <c r="Q275" t="s">
        <v>8083</v>
      </c>
      <c r="R275" t="s">
        <v>8084</v>
      </c>
      <c r="Y275" t="s">
        <v>8085</v>
      </c>
      <c r="Z275" t="s">
        <v>8086</v>
      </c>
      <c r="AI275" t="s">
        <v>8087</v>
      </c>
    </row>
    <row r="276" spans="1:54" x14ac:dyDescent="0.25">
      <c r="A276" t="s">
        <v>8088</v>
      </c>
      <c r="B276" t="s">
        <v>8089</v>
      </c>
      <c r="C276" t="s">
        <v>716</v>
      </c>
      <c r="D276">
        <v>2022</v>
      </c>
      <c r="E276" t="s">
        <v>8090</v>
      </c>
      <c r="M276" t="s">
        <v>732</v>
      </c>
      <c r="N276" t="s">
        <v>8091</v>
      </c>
      <c r="O276" t="s">
        <v>8092</v>
      </c>
      <c r="P276" t="s">
        <v>8093</v>
      </c>
      <c r="Q276" t="s">
        <v>8094</v>
      </c>
      <c r="AI276" t="s">
        <v>8095</v>
      </c>
      <c r="AJ276" t="s">
        <v>8096</v>
      </c>
      <c r="AM276" t="s">
        <v>4748</v>
      </c>
      <c r="AR276">
        <v>21935343</v>
      </c>
      <c r="AV276" t="s">
        <v>78</v>
      </c>
      <c r="AW276" t="s">
        <v>731</v>
      </c>
      <c r="AX276" t="s">
        <v>79</v>
      </c>
      <c r="AY276" t="s">
        <v>4694</v>
      </c>
      <c r="AZ276" t="s">
        <v>4688</v>
      </c>
      <c r="BA276" t="s">
        <v>4584</v>
      </c>
      <c r="BB276" t="s">
        <v>8097</v>
      </c>
    </row>
    <row r="277" spans="1:54" x14ac:dyDescent="0.25">
      <c r="A277" t="s">
        <v>8098</v>
      </c>
      <c r="B277" t="s">
        <v>8099</v>
      </c>
      <c r="C277" t="s">
        <v>8100</v>
      </c>
      <c r="D277">
        <v>2022</v>
      </c>
      <c r="E277" t="s">
        <v>8101</v>
      </c>
      <c r="F277">
        <v>2022</v>
      </c>
      <c r="G277" t="s">
        <v>4575</v>
      </c>
      <c r="I277">
        <v>286</v>
      </c>
      <c r="J277">
        <v>300</v>
      </c>
      <c r="N277" t="s">
        <v>8102</v>
      </c>
      <c r="O277" t="s">
        <v>8103</v>
      </c>
      <c r="P277" t="s">
        <v>8104</v>
      </c>
      <c r="Q277" t="s">
        <v>8105</v>
      </c>
      <c r="R277" t="s">
        <v>8106</v>
      </c>
      <c r="AI277" t="s">
        <v>8107</v>
      </c>
      <c r="AM277" t="s">
        <v>8108</v>
      </c>
      <c r="AR277">
        <v>16469895</v>
      </c>
      <c r="AV277" t="s">
        <v>1234</v>
      </c>
      <c r="AW277" t="s">
        <v>8109</v>
      </c>
      <c r="AX277" t="s">
        <v>79</v>
      </c>
      <c r="AY277" t="s">
        <v>4620</v>
      </c>
      <c r="BA277" t="s">
        <v>4584</v>
      </c>
      <c r="BB277" t="s">
        <v>8110</v>
      </c>
    </row>
    <row r="278" spans="1:54" x14ac:dyDescent="0.25">
      <c r="A278" t="s">
        <v>8111</v>
      </c>
      <c r="B278" t="s">
        <v>8112</v>
      </c>
      <c r="C278" t="s">
        <v>8113</v>
      </c>
      <c r="D278">
        <v>2022</v>
      </c>
      <c r="E278" t="s">
        <v>8114</v>
      </c>
      <c r="F278">
        <v>19</v>
      </c>
      <c r="I278">
        <v>197</v>
      </c>
      <c r="J278">
        <v>207</v>
      </c>
      <c r="M278" t="s">
        <v>8115</v>
      </c>
      <c r="N278" t="s">
        <v>8116</v>
      </c>
      <c r="O278" t="s">
        <v>8117</v>
      </c>
      <c r="P278" t="s">
        <v>8118</v>
      </c>
      <c r="Q278" t="s">
        <v>8119</v>
      </c>
      <c r="R278" t="s">
        <v>8120</v>
      </c>
      <c r="Y278" t="s">
        <v>8121</v>
      </c>
      <c r="AI278" t="s">
        <v>8122</v>
      </c>
      <c r="AM278" t="s">
        <v>8123</v>
      </c>
      <c r="AR278">
        <v>16987454</v>
      </c>
      <c r="AV278" t="s">
        <v>78</v>
      </c>
      <c r="AW278" t="s">
        <v>8124</v>
      </c>
      <c r="AX278" t="s">
        <v>79</v>
      </c>
      <c r="AY278" t="s">
        <v>4620</v>
      </c>
      <c r="AZ278" t="s">
        <v>4672</v>
      </c>
      <c r="BA278" t="s">
        <v>4584</v>
      </c>
      <c r="BB278" t="s">
        <v>8125</v>
      </c>
    </row>
    <row r="279" spans="1:54" x14ac:dyDescent="0.25">
      <c r="A279" t="s">
        <v>8126</v>
      </c>
      <c r="B279" t="s">
        <v>8127</v>
      </c>
      <c r="C279" t="s">
        <v>8128</v>
      </c>
      <c r="D279">
        <v>2022</v>
      </c>
      <c r="E279" t="s">
        <v>8129</v>
      </c>
      <c r="M279" t="s">
        <v>8130</v>
      </c>
      <c r="N279" t="s">
        <v>8131</v>
      </c>
      <c r="O279" t="s">
        <v>8132</v>
      </c>
      <c r="P279" t="s">
        <v>8133</v>
      </c>
      <c r="Q279" t="s">
        <v>8134</v>
      </c>
      <c r="R279" t="s">
        <v>8135</v>
      </c>
      <c r="X279" t="s">
        <v>8136</v>
      </c>
      <c r="Y279" t="s">
        <v>8137</v>
      </c>
      <c r="AI279" t="s">
        <v>8138</v>
      </c>
      <c r="AJ279" t="s">
        <v>8139</v>
      </c>
    </row>
    <row r="280" spans="1:54" x14ac:dyDescent="0.25">
      <c r="A280" t="s">
        <v>8140</v>
      </c>
      <c r="B280" t="s">
        <v>10751</v>
      </c>
      <c r="C280" t="s">
        <v>10752</v>
      </c>
      <c r="D280" t="s">
        <v>10753</v>
      </c>
      <c r="G280" t="s">
        <v>5285</v>
      </c>
      <c r="L280">
        <v>3935965</v>
      </c>
      <c r="N280" t="s">
        <v>8141</v>
      </c>
      <c r="P280" t="s">
        <v>78</v>
      </c>
      <c r="Q280" t="s">
        <v>8129</v>
      </c>
      <c r="R280" t="s">
        <v>79</v>
      </c>
      <c r="S280" t="s">
        <v>4694</v>
      </c>
      <c r="T280" t="s">
        <v>4769</v>
      </c>
      <c r="U280" t="s">
        <v>4584</v>
      </c>
      <c r="V280" t="s">
        <v>8142</v>
      </c>
    </row>
    <row r="281" spans="1:54" x14ac:dyDescent="0.25">
      <c r="A281" t="s">
        <v>8143</v>
      </c>
      <c r="B281" t="s">
        <v>8144</v>
      </c>
      <c r="C281" t="s">
        <v>8145</v>
      </c>
      <c r="D281">
        <v>2022</v>
      </c>
      <c r="E281" t="s">
        <v>8146</v>
      </c>
      <c r="F281">
        <v>17</v>
      </c>
      <c r="G281">
        <v>31</v>
      </c>
      <c r="I281">
        <v>85</v>
      </c>
      <c r="J281">
        <v>92</v>
      </c>
      <c r="N281" t="s">
        <v>8147</v>
      </c>
      <c r="O281" t="s">
        <v>8148</v>
      </c>
      <c r="P281" t="s">
        <v>8149</v>
      </c>
      <c r="Q281" t="s">
        <v>8150</v>
      </c>
      <c r="R281" t="s">
        <v>8151</v>
      </c>
      <c r="AI281" t="s">
        <v>8152</v>
      </c>
      <c r="AJ281" t="s">
        <v>8153</v>
      </c>
      <c r="AM281" t="s">
        <v>8154</v>
      </c>
      <c r="AR281">
        <v>20073615</v>
      </c>
      <c r="AV281" t="s">
        <v>1234</v>
      </c>
      <c r="AW281" t="s">
        <v>8155</v>
      </c>
      <c r="AX281" t="s">
        <v>79</v>
      </c>
      <c r="AY281" t="s">
        <v>4620</v>
      </c>
      <c r="BA281" t="s">
        <v>4584</v>
      </c>
      <c r="BB281" t="s">
        <v>8156</v>
      </c>
    </row>
    <row r="282" spans="1:54" x14ac:dyDescent="0.25">
      <c r="A282" t="s">
        <v>8157</v>
      </c>
      <c r="B282" t="s">
        <v>10754</v>
      </c>
      <c r="C282" t="s">
        <v>8158</v>
      </c>
      <c r="D282">
        <v>2022</v>
      </c>
      <c r="E282" t="s">
        <v>8159</v>
      </c>
      <c r="I282">
        <v>96</v>
      </c>
      <c r="J282">
        <v>101</v>
      </c>
      <c r="M282" t="s">
        <v>8160</v>
      </c>
      <c r="N282" t="s">
        <v>8161</v>
      </c>
      <c r="O282" t="s">
        <v>8162</v>
      </c>
      <c r="P282" t="s">
        <v>8163</v>
      </c>
      <c r="Q282" t="s">
        <v>8164</v>
      </c>
      <c r="R282" t="s">
        <v>8165</v>
      </c>
      <c r="S282" t="s">
        <v>8166</v>
      </c>
      <c r="AI282" t="s">
        <v>8167</v>
      </c>
      <c r="AJ282" t="s">
        <v>8168</v>
      </c>
    </row>
    <row r="283" spans="1:54" x14ac:dyDescent="0.25">
      <c r="A283" t="s">
        <v>8169</v>
      </c>
      <c r="B283" t="s">
        <v>10755</v>
      </c>
      <c r="C283" t="s">
        <v>10756</v>
      </c>
    </row>
    <row r="284" spans="1:54" x14ac:dyDescent="0.25">
      <c r="A284" t="s">
        <v>4586</v>
      </c>
      <c r="B284" t="s">
        <v>10757</v>
      </c>
      <c r="C284" t="s">
        <v>10756</v>
      </c>
    </row>
    <row r="285" spans="1:54" x14ac:dyDescent="0.25">
      <c r="A285" t="s">
        <v>8170</v>
      </c>
      <c r="B285" t="s">
        <v>10758</v>
      </c>
      <c r="C285" t="s">
        <v>10759</v>
      </c>
      <c r="E285" t="s">
        <v>8171</v>
      </c>
      <c r="F285" t="s">
        <v>5212</v>
      </c>
      <c r="G285" t="s">
        <v>8172</v>
      </c>
      <c r="H285" t="s">
        <v>8173</v>
      </c>
      <c r="J285">
        <v>184422</v>
      </c>
      <c r="L285">
        <v>9781665455237</v>
      </c>
      <c r="O285" t="s">
        <v>78</v>
      </c>
      <c r="P285" t="s">
        <v>8174</v>
      </c>
      <c r="Q285" t="s">
        <v>10683</v>
      </c>
      <c r="R285" t="s">
        <v>4620</v>
      </c>
      <c r="T285" t="s">
        <v>4584</v>
      </c>
      <c r="U285" t="s">
        <v>8175</v>
      </c>
    </row>
    <row r="286" spans="1:54" x14ac:dyDescent="0.25">
      <c r="A286" t="s">
        <v>8176</v>
      </c>
      <c r="B286" t="s">
        <v>8177</v>
      </c>
      <c r="C286" t="s">
        <v>8178</v>
      </c>
      <c r="D286">
        <v>2022</v>
      </c>
      <c r="E286" t="s">
        <v>8179</v>
      </c>
      <c r="I286">
        <v>535</v>
      </c>
      <c r="J286">
        <v>560</v>
      </c>
      <c r="M286" t="s">
        <v>8180</v>
      </c>
      <c r="N286" t="s">
        <v>8181</v>
      </c>
      <c r="O286" t="s">
        <v>8182</v>
      </c>
      <c r="P286" t="s">
        <v>8183</v>
      </c>
      <c r="Q286" t="s">
        <v>8184</v>
      </c>
      <c r="AI286" t="s">
        <v>8185</v>
      </c>
      <c r="AM286" t="s">
        <v>8186</v>
      </c>
      <c r="AS286" t="s">
        <v>10760</v>
      </c>
      <c r="AV286" t="s">
        <v>78</v>
      </c>
      <c r="AW286" t="s">
        <v>8187</v>
      </c>
      <c r="AX286" t="s">
        <v>10761</v>
      </c>
      <c r="AY286" t="s">
        <v>4620</v>
      </c>
      <c r="BA286" t="s">
        <v>4584</v>
      </c>
      <c r="BB286" t="s">
        <v>8188</v>
      </c>
    </row>
    <row r="287" spans="1:54" x14ac:dyDescent="0.25">
      <c r="A287" t="s">
        <v>8189</v>
      </c>
      <c r="B287" t="s">
        <v>8190</v>
      </c>
      <c r="C287" t="s">
        <v>4737</v>
      </c>
      <c r="D287">
        <v>2022</v>
      </c>
      <c r="E287" t="s">
        <v>8191</v>
      </c>
      <c r="F287" t="s">
        <v>8192</v>
      </c>
      <c r="I287">
        <v>394</v>
      </c>
      <c r="J287">
        <v>409</v>
      </c>
      <c r="M287" t="s">
        <v>8193</v>
      </c>
      <c r="N287" t="s">
        <v>8194</v>
      </c>
      <c r="O287" t="s">
        <v>8195</v>
      </c>
      <c r="P287" t="s">
        <v>8196</v>
      </c>
      <c r="Q287" t="s">
        <v>8197</v>
      </c>
      <c r="R287" t="s">
        <v>4744</v>
      </c>
      <c r="S287" t="s">
        <v>8198</v>
      </c>
      <c r="AI287" t="s">
        <v>8199</v>
      </c>
      <c r="AJ287" t="s">
        <v>8200</v>
      </c>
      <c r="AK287" t="s">
        <v>8201</v>
      </c>
      <c r="AM287" t="s">
        <v>4748</v>
      </c>
      <c r="AN287" t="s">
        <v>8202</v>
      </c>
      <c r="AO287" t="s">
        <v>8203</v>
      </c>
      <c r="AQ287">
        <v>285729</v>
      </c>
      <c r="AR287">
        <v>18650929</v>
      </c>
      <c r="AS287">
        <v>9783031180811</v>
      </c>
      <c r="AV287" t="s">
        <v>78</v>
      </c>
      <c r="AW287" t="s">
        <v>8204</v>
      </c>
      <c r="AX287" t="s">
        <v>10683</v>
      </c>
      <c r="AY287" t="s">
        <v>4620</v>
      </c>
      <c r="BA287" t="s">
        <v>4584</v>
      </c>
      <c r="BB287" t="s">
        <v>8205</v>
      </c>
    </row>
    <row r="288" spans="1:54" x14ac:dyDescent="0.25">
      <c r="A288" t="s">
        <v>8206</v>
      </c>
      <c r="B288" t="s">
        <v>8207</v>
      </c>
      <c r="C288" t="s">
        <v>3410</v>
      </c>
      <c r="D288">
        <v>2022</v>
      </c>
      <c r="E288" t="s">
        <v>8208</v>
      </c>
      <c r="M288" t="s">
        <v>3424</v>
      </c>
      <c r="N288" t="s">
        <v>8209</v>
      </c>
      <c r="O288" t="s">
        <v>8210</v>
      </c>
      <c r="P288" t="s">
        <v>8211</v>
      </c>
      <c r="Q288" t="s">
        <v>8212</v>
      </c>
      <c r="R288" t="s">
        <v>8213</v>
      </c>
      <c r="S288" t="s">
        <v>8214</v>
      </c>
      <c r="AI288" t="s">
        <v>8215</v>
      </c>
      <c r="AJ288" t="s">
        <v>8216</v>
      </c>
      <c r="AM288" t="s">
        <v>4693</v>
      </c>
      <c r="AR288">
        <v>3043797</v>
      </c>
      <c r="AV288" t="s">
        <v>78</v>
      </c>
      <c r="AW288" t="s">
        <v>3423</v>
      </c>
      <c r="AX288" t="s">
        <v>79</v>
      </c>
      <c r="AY288" t="s">
        <v>4694</v>
      </c>
      <c r="BA288" t="s">
        <v>4584</v>
      </c>
      <c r="BB288" t="s">
        <v>8217</v>
      </c>
    </row>
    <row r="289" spans="1:54" x14ac:dyDescent="0.25">
      <c r="A289" t="s">
        <v>8218</v>
      </c>
      <c r="B289" t="s">
        <v>8219</v>
      </c>
      <c r="C289" t="s">
        <v>8220</v>
      </c>
      <c r="D289">
        <v>2022</v>
      </c>
      <c r="E289" t="s">
        <v>8221</v>
      </c>
      <c r="M289" t="s">
        <v>831</v>
      </c>
      <c r="N289" t="s">
        <v>8222</v>
      </c>
      <c r="O289" t="s">
        <v>8223</v>
      </c>
      <c r="P289" t="s">
        <v>8224</v>
      </c>
      <c r="Q289" t="s">
        <v>8225</v>
      </c>
      <c r="R289" t="s">
        <v>8226</v>
      </c>
      <c r="S289" t="s">
        <v>8227</v>
      </c>
      <c r="X289" t="s">
        <v>4690</v>
      </c>
      <c r="Y289" t="s">
        <v>8228</v>
      </c>
      <c r="AI289" t="s">
        <v>8229</v>
      </c>
      <c r="AJ289" t="s">
        <v>8230</v>
      </c>
      <c r="AM289" t="s">
        <v>5109</v>
      </c>
      <c r="AR289">
        <v>16113683</v>
      </c>
      <c r="AV289" t="s">
        <v>78</v>
      </c>
      <c r="AW289" t="s">
        <v>830</v>
      </c>
      <c r="AX289" t="s">
        <v>79</v>
      </c>
      <c r="AY289" t="s">
        <v>4694</v>
      </c>
      <c r="BA289" t="s">
        <v>4584</v>
      </c>
      <c r="BB289" t="s">
        <v>8231</v>
      </c>
    </row>
    <row r="290" spans="1:54" x14ac:dyDescent="0.25">
      <c r="A290" t="s">
        <v>8232</v>
      </c>
      <c r="B290" t="s">
        <v>8233</v>
      </c>
      <c r="C290" t="s">
        <v>8234</v>
      </c>
      <c r="D290">
        <v>2022</v>
      </c>
      <c r="E290" t="s">
        <v>8235</v>
      </c>
      <c r="F290">
        <v>35</v>
      </c>
      <c r="G290">
        <v>25</v>
      </c>
      <c r="I290">
        <v>7430</v>
      </c>
      <c r="J290">
        <v>7437</v>
      </c>
      <c r="M290" t="s">
        <v>8236</v>
      </c>
      <c r="N290" t="s">
        <v>8237</v>
      </c>
      <c r="O290" t="s">
        <v>8238</v>
      </c>
      <c r="P290" t="s">
        <v>8239</v>
      </c>
      <c r="Q290" t="s">
        <v>8240</v>
      </c>
      <c r="R290" t="s">
        <v>8241</v>
      </c>
      <c r="S290" t="s">
        <v>8242</v>
      </c>
      <c r="X290" t="s">
        <v>4690</v>
      </c>
      <c r="Y290" t="s">
        <v>8243</v>
      </c>
      <c r="AI290" t="s">
        <v>8244</v>
      </c>
      <c r="AJ290" t="s">
        <v>8245</v>
      </c>
      <c r="AM290" t="s">
        <v>4693</v>
      </c>
      <c r="AR290">
        <v>14767058</v>
      </c>
      <c r="AT290" t="s">
        <v>8246</v>
      </c>
      <c r="AU290">
        <v>34470138</v>
      </c>
      <c r="AV290" t="s">
        <v>78</v>
      </c>
      <c r="AW290" t="s">
        <v>8247</v>
      </c>
      <c r="AX290" t="s">
        <v>79</v>
      </c>
      <c r="AY290" t="s">
        <v>4620</v>
      </c>
      <c r="BA290" t="s">
        <v>4584</v>
      </c>
      <c r="BB290" t="s">
        <v>8248</v>
      </c>
    </row>
    <row r="291" spans="1:54" x14ac:dyDescent="0.25">
      <c r="A291" t="s">
        <v>8249</v>
      </c>
      <c r="B291" t="s">
        <v>8250</v>
      </c>
      <c r="C291" t="s">
        <v>8251</v>
      </c>
      <c r="D291">
        <v>2022</v>
      </c>
      <c r="E291" t="s">
        <v>8252</v>
      </c>
      <c r="F291">
        <v>20</v>
      </c>
      <c r="G291">
        <v>4</v>
      </c>
      <c r="I291">
        <v>399</v>
      </c>
      <c r="J291">
        <v>407</v>
      </c>
      <c r="M291" t="s">
        <v>8253</v>
      </c>
      <c r="N291" t="s">
        <v>8254</v>
      </c>
      <c r="O291" t="s">
        <v>8255</v>
      </c>
      <c r="P291" t="s">
        <v>8256</v>
      </c>
      <c r="Q291" t="s">
        <v>8257</v>
      </c>
      <c r="R291" t="s">
        <v>8258</v>
      </c>
      <c r="X291" t="s">
        <v>4690</v>
      </c>
      <c r="Y291" t="s">
        <v>8259</v>
      </c>
      <c r="AI291" t="s">
        <v>8260</v>
      </c>
      <c r="AJ291" t="s">
        <v>8261</v>
      </c>
      <c r="AM291" t="s">
        <v>5955</v>
      </c>
      <c r="AR291">
        <v>16656423</v>
      </c>
      <c r="AV291" t="s">
        <v>78</v>
      </c>
      <c r="AW291" t="s">
        <v>8262</v>
      </c>
      <c r="AX291" t="s">
        <v>79</v>
      </c>
      <c r="AY291" t="s">
        <v>4620</v>
      </c>
      <c r="AZ291" t="s">
        <v>4672</v>
      </c>
      <c r="BA291" t="s">
        <v>4584</v>
      </c>
      <c r="BB291" t="s">
        <v>8263</v>
      </c>
    </row>
    <row r="292" spans="1:54" x14ac:dyDescent="0.25">
      <c r="A292" t="s">
        <v>8264</v>
      </c>
      <c r="B292" t="s">
        <v>8265</v>
      </c>
      <c r="C292" t="s">
        <v>8266</v>
      </c>
      <c r="D292">
        <v>2022</v>
      </c>
      <c r="E292" t="s">
        <v>4591</v>
      </c>
      <c r="G292">
        <v>51</v>
      </c>
      <c r="N292" t="s">
        <v>8267</v>
      </c>
      <c r="O292" t="s">
        <v>8268</v>
      </c>
      <c r="P292" t="s">
        <v>8269</v>
      </c>
      <c r="Q292" t="s">
        <v>8270</v>
      </c>
      <c r="R292" t="s">
        <v>8271</v>
      </c>
      <c r="AI292" t="s">
        <v>8272</v>
      </c>
      <c r="AJ292" t="s">
        <v>8273</v>
      </c>
      <c r="AM292" t="s">
        <v>8274</v>
      </c>
      <c r="AR292">
        <v>7185049</v>
      </c>
      <c r="AV292" t="s">
        <v>1234</v>
      </c>
      <c r="AW292" t="s">
        <v>4591</v>
      </c>
      <c r="AX292" t="s">
        <v>162</v>
      </c>
      <c r="AY292" t="s">
        <v>4620</v>
      </c>
      <c r="BA292" t="s">
        <v>4584</v>
      </c>
      <c r="BB292" t="s">
        <v>8275</v>
      </c>
    </row>
    <row r="293" spans="1:54" x14ac:dyDescent="0.25">
      <c r="A293" t="s">
        <v>8276</v>
      </c>
      <c r="B293" t="s">
        <v>8277</v>
      </c>
      <c r="C293" t="s">
        <v>2399</v>
      </c>
      <c r="D293">
        <v>2022</v>
      </c>
      <c r="E293" t="s">
        <v>8278</v>
      </c>
      <c r="M293" t="s">
        <v>2416</v>
      </c>
      <c r="N293" t="s">
        <v>8279</v>
      </c>
      <c r="O293" t="s">
        <v>8280</v>
      </c>
      <c r="P293" t="s">
        <v>8281</v>
      </c>
      <c r="Q293" t="s">
        <v>8282</v>
      </c>
      <c r="R293" t="s">
        <v>8283</v>
      </c>
      <c r="S293" t="s">
        <v>8284</v>
      </c>
      <c r="Y293" t="s">
        <v>8285</v>
      </c>
      <c r="AI293" t="s">
        <v>8286</v>
      </c>
      <c r="AJ293" t="s">
        <v>8287</v>
      </c>
      <c r="AM293" t="s">
        <v>4748</v>
      </c>
      <c r="AR293">
        <v>21906815</v>
      </c>
      <c r="AV293" t="s">
        <v>78</v>
      </c>
      <c r="AW293" t="s">
        <v>2415</v>
      </c>
      <c r="AX293" t="s">
        <v>162</v>
      </c>
      <c r="AY293" t="s">
        <v>4694</v>
      </c>
      <c r="BA293" t="s">
        <v>4584</v>
      </c>
      <c r="BB293" t="s">
        <v>8288</v>
      </c>
    </row>
    <row r="294" spans="1:54" x14ac:dyDescent="0.25">
      <c r="A294" t="s">
        <v>8289</v>
      </c>
      <c r="B294" t="s">
        <v>8290</v>
      </c>
      <c r="C294" t="s">
        <v>8291</v>
      </c>
      <c r="D294">
        <v>2022</v>
      </c>
      <c r="E294" t="s">
        <v>8292</v>
      </c>
      <c r="F294">
        <v>82</v>
      </c>
      <c r="H294" t="s">
        <v>4595</v>
      </c>
      <c r="M294" t="s">
        <v>4596</v>
      </c>
      <c r="N294" t="s">
        <v>8293</v>
      </c>
      <c r="O294" t="s">
        <v>8294</v>
      </c>
      <c r="P294" t="s">
        <v>8295</v>
      </c>
      <c r="Q294" t="s">
        <v>8296</v>
      </c>
      <c r="R294" t="s">
        <v>8297</v>
      </c>
      <c r="S294" t="s">
        <v>8298</v>
      </c>
      <c r="U294" t="s">
        <v>8299</v>
      </c>
      <c r="X294" t="s">
        <v>4690</v>
      </c>
      <c r="Y294" t="s">
        <v>8300</v>
      </c>
      <c r="AI294" t="s">
        <v>8301</v>
      </c>
      <c r="AJ294" t="s">
        <v>8302</v>
      </c>
      <c r="AM294" t="s">
        <v>8303</v>
      </c>
      <c r="AR294">
        <v>15196984</v>
      </c>
      <c r="AU294">
        <v>36350936</v>
      </c>
      <c r="AV294" t="s">
        <v>78</v>
      </c>
      <c r="AW294" t="s">
        <v>8304</v>
      </c>
      <c r="AX294" t="s">
        <v>79</v>
      </c>
      <c r="AY294" t="s">
        <v>4620</v>
      </c>
      <c r="AZ294" t="s">
        <v>4672</v>
      </c>
      <c r="BA294" t="s">
        <v>4584</v>
      </c>
      <c r="BB294" t="s">
        <v>8305</v>
      </c>
    </row>
    <row r="295" spans="1:54" x14ac:dyDescent="0.25">
      <c r="A295" t="s">
        <v>8306</v>
      </c>
      <c r="B295" t="s">
        <v>8307</v>
      </c>
      <c r="C295" t="s">
        <v>8308</v>
      </c>
      <c r="D295">
        <v>2022</v>
      </c>
      <c r="E295" t="s">
        <v>8309</v>
      </c>
      <c r="M295" t="s">
        <v>8310</v>
      </c>
      <c r="N295" t="s">
        <v>8311</v>
      </c>
      <c r="O295" t="s">
        <v>8312</v>
      </c>
      <c r="P295" t="s">
        <v>8313</v>
      </c>
      <c r="Q295" t="s">
        <v>8314</v>
      </c>
      <c r="R295" t="s">
        <v>8315</v>
      </c>
      <c r="S295" t="s">
        <v>8316</v>
      </c>
      <c r="AI295" t="s">
        <v>8317</v>
      </c>
      <c r="AK295" t="s">
        <v>8318</v>
      </c>
      <c r="AL295" t="s">
        <v>8319</v>
      </c>
      <c r="AM295" t="s">
        <v>5212</v>
      </c>
      <c r="AN295" t="s">
        <v>8320</v>
      </c>
      <c r="AO295" t="s">
        <v>8321</v>
      </c>
      <c r="AQ295">
        <v>183423</v>
      </c>
      <c r="AS295">
        <v>9781665474702</v>
      </c>
      <c r="AV295" t="s">
        <v>78</v>
      </c>
      <c r="AW295" t="s">
        <v>8322</v>
      </c>
      <c r="AX295" t="s">
        <v>10683</v>
      </c>
      <c r="AY295" t="s">
        <v>4620</v>
      </c>
      <c r="BA295" t="s">
        <v>4584</v>
      </c>
      <c r="BB295" t="s">
        <v>8323</v>
      </c>
    </row>
    <row r="296" spans="1:54" x14ac:dyDescent="0.25">
      <c r="A296" t="s">
        <v>8324</v>
      </c>
      <c r="B296" t="s">
        <v>8325</v>
      </c>
      <c r="C296" t="s">
        <v>8326</v>
      </c>
      <c r="D296">
        <v>2022</v>
      </c>
      <c r="E296" t="s">
        <v>8327</v>
      </c>
      <c r="M296" t="s">
        <v>8328</v>
      </c>
      <c r="N296" t="s">
        <v>8329</v>
      </c>
      <c r="O296" t="s">
        <v>8162</v>
      </c>
      <c r="P296" t="s">
        <v>8330</v>
      </c>
      <c r="Q296" t="s">
        <v>8331</v>
      </c>
      <c r="R296" t="s">
        <v>8332</v>
      </c>
      <c r="S296" t="s">
        <v>8333</v>
      </c>
      <c r="AI296" t="s">
        <v>8334</v>
      </c>
      <c r="AJ296" t="s">
        <v>8168</v>
      </c>
    </row>
    <row r="297" spans="1:54" x14ac:dyDescent="0.25">
      <c r="A297" t="s">
        <v>8170</v>
      </c>
      <c r="B297" t="s">
        <v>10758</v>
      </c>
      <c r="C297" t="s">
        <v>10759</v>
      </c>
      <c r="D297" t="s">
        <v>8335</v>
      </c>
      <c r="E297" t="s">
        <v>8336</v>
      </c>
      <c r="F297" t="s">
        <v>5212</v>
      </c>
      <c r="G297" t="s">
        <v>8337</v>
      </c>
      <c r="H297" t="s">
        <v>8338</v>
      </c>
      <c r="J297">
        <v>183305</v>
      </c>
      <c r="L297">
        <v>9781665473552</v>
      </c>
      <c r="O297" t="s">
        <v>78</v>
      </c>
      <c r="P297" t="s">
        <v>8339</v>
      </c>
      <c r="Q297" t="s">
        <v>10683</v>
      </c>
      <c r="R297" t="s">
        <v>4620</v>
      </c>
      <c r="T297" t="s">
        <v>4584</v>
      </c>
      <c r="U297" t="s">
        <v>8340</v>
      </c>
    </row>
    <row r="298" spans="1:54" x14ac:dyDescent="0.25">
      <c r="A298" t="s">
        <v>8341</v>
      </c>
      <c r="B298" t="s">
        <v>8342</v>
      </c>
      <c r="C298" t="s">
        <v>8343</v>
      </c>
      <c r="D298">
        <v>2022</v>
      </c>
      <c r="E298" t="s">
        <v>4591</v>
      </c>
      <c r="G298">
        <v>51</v>
      </c>
      <c r="I298">
        <v>1</v>
      </c>
      <c r="J298">
        <v>28</v>
      </c>
      <c r="N298" t="s">
        <v>8344</v>
      </c>
      <c r="O298" t="s">
        <v>8345</v>
      </c>
      <c r="P298" t="s">
        <v>8346</v>
      </c>
      <c r="Q298" t="s">
        <v>8347</v>
      </c>
      <c r="R298" t="s">
        <v>8348</v>
      </c>
      <c r="AI298" t="s">
        <v>8349</v>
      </c>
      <c r="AJ298" t="s">
        <v>8350</v>
      </c>
      <c r="AM298" t="s">
        <v>8274</v>
      </c>
      <c r="AR298">
        <v>7185049</v>
      </c>
      <c r="AV298" t="s">
        <v>1234</v>
      </c>
      <c r="AW298" t="s">
        <v>4591</v>
      </c>
      <c r="AX298" t="s">
        <v>79</v>
      </c>
      <c r="AY298" t="s">
        <v>4620</v>
      </c>
      <c r="BA298" t="s">
        <v>4584</v>
      </c>
      <c r="BB298" t="s">
        <v>8351</v>
      </c>
    </row>
    <row r="299" spans="1:54" x14ac:dyDescent="0.25">
      <c r="A299" t="s">
        <v>8352</v>
      </c>
      <c r="B299" t="s">
        <v>8353</v>
      </c>
      <c r="C299" t="s">
        <v>8354</v>
      </c>
      <c r="D299">
        <v>2022</v>
      </c>
      <c r="E299" t="s">
        <v>8355</v>
      </c>
      <c r="F299">
        <v>15</v>
      </c>
      <c r="H299" t="s">
        <v>8356</v>
      </c>
      <c r="M299" t="s">
        <v>8357</v>
      </c>
      <c r="N299" t="s">
        <v>8358</v>
      </c>
      <c r="O299" t="s">
        <v>8359</v>
      </c>
      <c r="P299" t="s">
        <v>8360</v>
      </c>
      <c r="Q299" t="s">
        <v>8361</v>
      </c>
      <c r="R299" t="s">
        <v>8362</v>
      </c>
      <c r="AI299" t="s">
        <v>8363</v>
      </c>
      <c r="AJ299" t="s">
        <v>8364</v>
      </c>
      <c r="AM299" t="s">
        <v>4598</v>
      </c>
      <c r="AR299">
        <v>19833652</v>
      </c>
      <c r="AV299" t="s">
        <v>1234</v>
      </c>
      <c r="AW299" t="s">
        <v>8355</v>
      </c>
      <c r="AX299" t="s">
        <v>79</v>
      </c>
      <c r="AY299" t="s">
        <v>4620</v>
      </c>
      <c r="AZ299" t="s">
        <v>4672</v>
      </c>
      <c r="BA299" t="s">
        <v>4584</v>
      </c>
      <c r="BB299" t="s">
        <v>8365</v>
      </c>
    </row>
    <row r="300" spans="1:54" x14ac:dyDescent="0.25">
      <c r="A300" t="s">
        <v>8366</v>
      </c>
      <c r="B300" t="s">
        <v>8367</v>
      </c>
      <c r="C300" t="s">
        <v>8368</v>
      </c>
      <c r="D300">
        <v>2022</v>
      </c>
      <c r="E300" t="s">
        <v>5331</v>
      </c>
      <c r="F300">
        <v>27</v>
      </c>
      <c r="H300" t="s">
        <v>8369</v>
      </c>
      <c r="M300" t="s">
        <v>8370</v>
      </c>
      <c r="N300" t="s">
        <v>8371</v>
      </c>
      <c r="O300" t="s">
        <v>8372</v>
      </c>
      <c r="P300" t="s">
        <v>8373</v>
      </c>
      <c r="Q300" t="s">
        <v>8374</v>
      </c>
      <c r="R300" t="s">
        <v>8375</v>
      </c>
      <c r="Y300" t="s">
        <v>8376</v>
      </c>
      <c r="AI300" t="s">
        <v>8377</v>
      </c>
      <c r="AJ300" t="s">
        <v>8378</v>
      </c>
      <c r="AM300" t="s">
        <v>5332</v>
      </c>
      <c r="AR300">
        <v>1220268</v>
      </c>
      <c r="AV300" t="s">
        <v>1234</v>
      </c>
      <c r="AW300" t="s">
        <v>5333</v>
      </c>
      <c r="AX300" t="s">
        <v>79</v>
      </c>
      <c r="AY300" t="s">
        <v>4620</v>
      </c>
      <c r="AZ300" t="s">
        <v>4672</v>
      </c>
      <c r="BA300" t="s">
        <v>4584</v>
      </c>
      <c r="BB300" t="s">
        <v>8379</v>
      </c>
    </row>
    <row r="301" spans="1:54" x14ac:dyDescent="0.25">
      <c r="A301" t="s">
        <v>8380</v>
      </c>
      <c r="B301" t="s">
        <v>8381</v>
      </c>
      <c r="C301" t="s">
        <v>8382</v>
      </c>
      <c r="D301">
        <v>2022</v>
      </c>
      <c r="E301" t="s">
        <v>8383</v>
      </c>
      <c r="F301">
        <v>33</v>
      </c>
      <c r="G301">
        <v>4</v>
      </c>
      <c r="H301" t="s">
        <v>8384</v>
      </c>
      <c r="M301" t="s">
        <v>8385</v>
      </c>
      <c r="N301" t="s">
        <v>8386</v>
      </c>
      <c r="O301" t="s">
        <v>8387</v>
      </c>
      <c r="P301" t="s">
        <v>8388</v>
      </c>
      <c r="Q301" t="s">
        <v>8389</v>
      </c>
      <c r="R301" t="s">
        <v>8390</v>
      </c>
      <c r="S301" t="s">
        <v>8391</v>
      </c>
      <c r="AI301" t="s">
        <v>8392</v>
      </c>
      <c r="AJ301" t="s">
        <v>8393</v>
      </c>
      <c r="AM301" t="s">
        <v>8394</v>
      </c>
      <c r="AR301">
        <v>16823419</v>
      </c>
      <c r="AV301" t="s">
        <v>1234</v>
      </c>
      <c r="AW301" t="s">
        <v>8395</v>
      </c>
      <c r="AX301" t="s">
        <v>79</v>
      </c>
      <c r="AY301" t="s">
        <v>4620</v>
      </c>
      <c r="AZ301" t="s">
        <v>4672</v>
      </c>
      <c r="BA301" t="s">
        <v>4584</v>
      </c>
      <c r="BB301" t="s">
        <v>8396</v>
      </c>
    </row>
    <row r="302" spans="1:54" x14ac:dyDescent="0.25">
      <c r="A302" t="s">
        <v>8397</v>
      </c>
      <c r="B302" t="s">
        <v>8398</v>
      </c>
      <c r="C302" t="s">
        <v>8399</v>
      </c>
      <c r="D302">
        <v>2022</v>
      </c>
      <c r="E302" t="s">
        <v>8400</v>
      </c>
      <c r="F302">
        <v>35</v>
      </c>
      <c r="G302">
        <v>4</v>
      </c>
      <c r="I302">
        <v>555</v>
      </c>
      <c r="J302">
        <v>565</v>
      </c>
      <c r="M302" t="s">
        <v>8401</v>
      </c>
      <c r="N302" t="s">
        <v>8402</v>
      </c>
      <c r="O302" t="s">
        <v>8403</v>
      </c>
      <c r="P302" t="s">
        <v>8404</v>
      </c>
      <c r="Q302" t="s">
        <v>8405</v>
      </c>
      <c r="R302" t="s">
        <v>8406</v>
      </c>
      <c r="AI302" t="s">
        <v>8407</v>
      </c>
      <c r="AM302" t="s">
        <v>8408</v>
      </c>
      <c r="AR302">
        <v>13111728</v>
      </c>
      <c r="AV302" t="s">
        <v>78</v>
      </c>
      <c r="AW302" t="s">
        <v>8409</v>
      </c>
      <c r="AX302" t="s">
        <v>79</v>
      </c>
      <c r="AY302" t="s">
        <v>4620</v>
      </c>
      <c r="AZ302" t="s">
        <v>4768</v>
      </c>
      <c r="BA302" t="s">
        <v>4584</v>
      </c>
      <c r="BB302" t="s">
        <v>8410</v>
      </c>
    </row>
    <row r="303" spans="1:54" x14ac:dyDescent="0.25">
      <c r="A303" t="s">
        <v>8411</v>
      </c>
      <c r="B303" t="s">
        <v>8412</v>
      </c>
      <c r="C303" t="s">
        <v>8413</v>
      </c>
      <c r="D303">
        <v>2022</v>
      </c>
      <c r="E303" t="s">
        <v>5331</v>
      </c>
      <c r="F303">
        <v>27</v>
      </c>
      <c r="H303" t="s">
        <v>8414</v>
      </c>
      <c r="M303" t="s">
        <v>8415</v>
      </c>
      <c r="N303" t="s">
        <v>8416</v>
      </c>
      <c r="O303" t="s">
        <v>8417</v>
      </c>
      <c r="P303" t="s">
        <v>8418</v>
      </c>
      <c r="Q303" t="s">
        <v>8419</v>
      </c>
      <c r="R303" t="s">
        <v>8420</v>
      </c>
      <c r="AI303" t="s">
        <v>8421</v>
      </c>
      <c r="AJ303" t="s">
        <v>8422</v>
      </c>
      <c r="AM303" t="s">
        <v>5332</v>
      </c>
      <c r="AR303">
        <v>1220268</v>
      </c>
      <c r="AV303" t="s">
        <v>1234</v>
      </c>
      <c r="AW303" t="s">
        <v>5333</v>
      </c>
      <c r="AX303" t="s">
        <v>79</v>
      </c>
      <c r="AY303" t="s">
        <v>4620</v>
      </c>
      <c r="AZ303" t="s">
        <v>4672</v>
      </c>
      <c r="BA303" t="s">
        <v>4584</v>
      </c>
      <c r="BB303" t="s">
        <v>8423</v>
      </c>
    </row>
    <row r="304" spans="1:54" x14ac:dyDescent="0.25">
      <c r="A304" t="s">
        <v>8424</v>
      </c>
      <c r="B304" t="s">
        <v>8425</v>
      </c>
      <c r="C304" t="s">
        <v>2720</v>
      </c>
      <c r="D304">
        <v>2022</v>
      </c>
      <c r="E304" t="s">
        <v>8426</v>
      </c>
      <c r="M304" t="s">
        <v>2738</v>
      </c>
      <c r="N304" t="s">
        <v>8427</v>
      </c>
      <c r="O304" t="s">
        <v>8428</v>
      </c>
      <c r="P304" t="s">
        <v>8429</v>
      </c>
      <c r="Q304" t="s">
        <v>8430</v>
      </c>
      <c r="R304" t="s">
        <v>8431</v>
      </c>
      <c r="S304" t="s">
        <v>8432</v>
      </c>
      <c r="X304" t="s">
        <v>8433</v>
      </c>
      <c r="Y304" t="s">
        <v>8434</v>
      </c>
      <c r="AI304" t="s">
        <v>8435</v>
      </c>
      <c r="AJ304" t="s">
        <v>8436</v>
      </c>
      <c r="AM304" t="s">
        <v>4635</v>
      </c>
      <c r="AR304">
        <v>2728842</v>
      </c>
      <c r="AT304" t="s">
        <v>8437</v>
      </c>
      <c r="AV304" t="s">
        <v>78</v>
      </c>
      <c r="AW304" t="s">
        <v>8438</v>
      </c>
      <c r="AX304" t="s">
        <v>79</v>
      </c>
      <c r="AY304" t="s">
        <v>4694</v>
      </c>
      <c r="BA304" t="s">
        <v>4584</v>
      </c>
      <c r="BB304" t="s">
        <v>8439</v>
      </c>
    </row>
    <row r="305" spans="1:54" x14ac:dyDescent="0.25">
      <c r="A305" t="s">
        <v>8440</v>
      </c>
      <c r="B305" t="s">
        <v>8441</v>
      </c>
      <c r="C305" t="s">
        <v>8442</v>
      </c>
      <c r="D305">
        <v>2022</v>
      </c>
      <c r="E305" t="s">
        <v>8443</v>
      </c>
      <c r="F305">
        <v>23</v>
      </c>
      <c r="G305">
        <v>2</v>
      </c>
      <c r="H305" t="s">
        <v>8444</v>
      </c>
      <c r="M305" t="s">
        <v>8445</v>
      </c>
      <c r="N305" t="s">
        <v>8446</v>
      </c>
      <c r="O305" t="s">
        <v>7680</v>
      </c>
      <c r="P305" t="s">
        <v>8447</v>
      </c>
      <c r="Q305" t="s">
        <v>8448</v>
      </c>
      <c r="R305" t="s">
        <v>8449</v>
      </c>
      <c r="AI305" t="s">
        <v>8450</v>
      </c>
      <c r="AJ305" t="s">
        <v>8451</v>
      </c>
      <c r="AM305" t="s">
        <v>8452</v>
      </c>
      <c r="AR305">
        <v>1228706</v>
      </c>
      <c r="AV305" t="s">
        <v>1234</v>
      </c>
      <c r="AW305" t="s">
        <v>8453</v>
      </c>
      <c r="AX305" t="s">
        <v>79</v>
      </c>
      <c r="AY305" t="s">
        <v>4620</v>
      </c>
      <c r="AZ305" t="s">
        <v>4672</v>
      </c>
      <c r="BA305" t="s">
        <v>4584</v>
      </c>
      <c r="BB305" t="s">
        <v>8454</v>
      </c>
    </row>
    <row r="306" spans="1:54" x14ac:dyDescent="0.25">
      <c r="A306" t="s">
        <v>8455</v>
      </c>
      <c r="B306" t="s">
        <v>8456</v>
      </c>
      <c r="C306" t="s">
        <v>8457</v>
      </c>
      <c r="D306">
        <v>2022</v>
      </c>
      <c r="E306" t="s">
        <v>8458</v>
      </c>
      <c r="F306">
        <v>81</v>
      </c>
      <c r="G306">
        <v>3</v>
      </c>
      <c r="I306">
        <v>1</v>
      </c>
      <c r="J306">
        <v>16</v>
      </c>
      <c r="M306" t="s">
        <v>8459</v>
      </c>
      <c r="N306" t="s">
        <v>8460</v>
      </c>
      <c r="O306" t="s">
        <v>8461</v>
      </c>
      <c r="P306" t="s">
        <v>8462</v>
      </c>
      <c r="Q306" t="s">
        <v>8463</v>
      </c>
      <c r="R306" t="s">
        <v>8464</v>
      </c>
      <c r="AI306" t="s">
        <v>8465</v>
      </c>
      <c r="AJ306" t="s">
        <v>8466</v>
      </c>
      <c r="AM306" t="s">
        <v>8467</v>
      </c>
      <c r="AR306">
        <v>3735680</v>
      </c>
      <c r="AV306" t="s">
        <v>1234</v>
      </c>
      <c r="AW306" t="s">
        <v>8468</v>
      </c>
      <c r="AX306" t="s">
        <v>79</v>
      </c>
      <c r="AY306" t="s">
        <v>4620</v>
      </c>
      <c r="AZ306" t="s">
        <v>4672</v>
      </c>
      <c r="BA306" t="s">
        <v>4584</v>
      </c>
      <c r="BB306" t="s">
        <v>8469</v>
      </c>
    </row>
    <row r="307" spans="1:54" x14ac:dyDescent="0.25">
      <c r="A307" t="s">
        <v>8470</v>
      </c>
      <c r="B307" t="s">
        <v>8471</v>
      </c>
      <c r="C307" t="s">
        <v>8472</v>
      </c>
      <c r="D307">
        <v>2022</v>
      </c>
      <c r="E307" t="s">
        <v>8473</v>
      </c>
      <c r="F307" t="s">
        <v>8474</v>
      </c>
      <c r="M307" t="s">
        <v>8475</v>
      </c>
      <c r="N307" t="s">
        <v>8476</v>
      </c>
      <c r="O307" t="s">
        <v>8477</v>
      </c>
      <c r="P307" t="s">
        <v>8478</v>
      </c>
      <c r="Q307" t="s">
        <v>8479</v>
      </c>
      <c r="R307" t="s">
        <v>8480</v>
      </c>
      <c r="AI307" t="s">
        <v>8481</v>
      </c>
      <c r="AK307" t="s">
        <v>8482</v>
      </c>
      <c r="AM307" t="s">
        <v>8483</v>
      </c>
      <c r="AN307" t="s">
        <v>8484</v>
      </c>
      <c r="AO307" t="s">
        <v>8485</v>
      </c>
      <c r="AQ307">
        <v>182996</v>
      </c>
      <c r="AR307">
        <v>24146390</v>
      </c>
      <c r="AS307">
        <v>9786289520705</v>
      </c>
      <c r="AV307" t="s">
        <v>1234</v>
      </c>
      <c r="AW307" t="s">
        <v>8486</v>
      </c>
      <c r="AX307" t="s">
        <v>10683</v>
      </c>
      <c r="AY307" t="s">
        <v>4620</v>
      </c>
      <c r="AZ307" t="s">
        <v>4768</v>
      </c>
      <c r="BA307" t="s">
        <v>4584</v>
      </c>
      <c r="BB307" t="s">
        <v>8487</v>
      </c>
    </row>
    <row r="308" spans="1:54" x14ac:dyDescent="0.25">
      <c r="A308" t="s">
        <v>8488</v>
      </c>
      <c r="B308" t="s">
        <v>8489</v>
      </c>
      <c r="C308" t="s">
        <v>8490</v>
      </c>
      <c r="D308">
        <v>2022</v>
      </c>
      <c r="E308" t="s">
        <v>8473</v>
      </c>
      <c r="F308" t="s">
        <v>8474</v>
      </c>
      <c r="M308" t="s">
        <v>8491</v>
      </c>
      <c r="N308" t="s">
        <v>8492</v>
      </c>
      <c r="O308" t="s">
        <v>8493</v>
      </c>
      <c r="P308" t="s">
        <v>8494</v>
      </c>
      <c r="Q308" t="s">
        <v>8495</v>
      </c>
      <c r="R308" t="s">
        <v>8496</v>
      </c>
      <c r="AI308" t="s">
        <v>8497</v>
      </c>
      <c r="AK308" t="s">
        <v>8482</v>
      </c>
      <c r="AM308" t="s">
        <v>8483</v>
      </c>
      <c r="AN308" t="s">
        <v>8484</v>
      </c>
      <c r="AO308" t="s">
        <v>8485</v>
      </c>
      <c r="AQ308">
        <v>182996</v>
      </c>
      <c r="AR308">
        <v>24146390</v>
      </c>
      <c r="AS308">
        <v>9786289520705</v>
      </c>
      <c r="AV308" t="s">
        <v>1234</v>
      </c>
      <c r="AW308" t="s">
        <v>8486</v>
      </c>
      <c r="AX308" t="s">
        <v>10683</v>
      </c>
      <c r="AY308" t="s">
        <v>4620</v>
      </c>
      <c r="AZ308" t="s">
        <v>4768</v>
      </c>
      <c r="BA308" t="s">
        <v>4584</v>
      </c>
      <c r="BB308" t="s">
        <v>8498</v>
      </c>
    </row>
    <row r="309" spans="1:54" x14ac:dyDescent="0.25">
      <c r="A309" t="s">
        <v>8499</v>
      </c>
      <c r="B309" t="s">
        <v>8500</v>
      </c>
      <c r="C309" t="s">
        <v>8501</v>
      </c>
      <c r="D309">
        <v>2022</v>
      </c>
      <c r="E309" t="s">
        <v>8502</v>
      </c>
      <c r="G309">
        <v>37</v>
      </c>
      <c r="I309">
        <v>273</v>
      </c>
      <c r="J309">
        <v>301</v>
      </c>
      <c r="M309" t="s">
        <v>8503</v>
      </c>
      <c r="N309" t="s">
        <v>8504</v>
      </c>
      <c r="O309" t="s">
        <v>8505</v>
      </c>
      <c r="P309" t="s">
        <v>8506</v>
      </c>
      <c r="Q309" t="s">
        <v>8507</v>
      </c>
      <c r="R309" t="s">
        <v>8508</v>
      </c>
      <c r="AI309" t="s">
        <v>8509</v>
      </c>
      <c r="AJ309" t="s">
        <v>8510</v>
      </c>
      <c r="AM309" t="s">
        <v>8511</v>
      </c>
      <c r="AR309">
        <v>18852718</v>
      </c>
      <c r="AV309" t="s">
        <v>1234</v>
      </c>
      <c r="AW309" t="s">
        <v>8512</v>
      </c>
      <c r="AX309" t="s">
        <v>79</v>
      </c>
      <c r="AY309" t="s">
        <v>4620</v>
      </c>
      <c r="AZ309" t="s">
        <v>4672</v>
      </c>
      <c r="BA309" t="s">
        <v>4584</v>
      </c>
      <c r="BB309" t="s">
        <v>8513</v>
      </c>
    </row>
    <row r="310" spans="1:54" x14ac:dyDescent="0.25">
      <c r="A310" t="s">
        <v>8514</v>
      </c>
      <c r="B310" t="s">
        <v>8515</v>
      </c>
      <c r="C310" t="s">
        <v>8516</v>
      </c>
      <c r="D310">
        <v>2022</v>
      </c>
      <c r="E310" t="s">
        <v>8473</v>
      </c>
      <c r="F310" t="s">
        <v>8474</v>
      </c>
      <c r="N310" t="s">
        <v>8517</v>
      </c>
      <c r="O310" t="s">
        <v>4674</v>
      </c>
      <c r="P310" t="s">
        <v>8518</v>
      </c>
      <c r="Q310" t="s">
        <v>8519</v>
      </c>
      <c r="R310" t="s">
        <v>8520</v>
      </c>
      <c r="X310" t="s">
        <v>4690</v>
      </c>
      <c r="Y310" t="s">
        <v>8521</v>
      </c>
      <c r="AI310" t="s">
        <v>8522</v>
      </c>
      <c r="AK310" t="s">
        <v>8482</v>
      </c>
      <c r="AM310" t="s">
        <v>8483</v>
      </c>
      <c r="AN310" t="s">
        <v>8484</v>
      </c>
      <c r="AO310" t="s">
        <v>8485</v>
      </c>
      <c r="AQ310">
        <v>182996</v>
      </c>
      <c r="AR310">
        <v>24146390</v>
      </c>
      <c r="AS310">
        <v>9786289520705</v>
      </c>
      <c r="AV310" t="s">
        <v>78</v>
      </c>
      <c r="AW310" t="s">
        <v>8486</v>
      </c>
      <c r="AX310" t="s">
        <v>10683</v>
      </c>
      <c r="AY310" t="s">
        <v>4620</v>
      </c>
      <c r="BA310" t="s">
        <v>4584</v>
      </c>
      <c r="BB310" t="s">
        <v>8523</v>
      </c>
    </row>
    <row r="311" spans="1:54" x14ac:dyDescent="0.25">
      <c r="A311" t="s">
        <v>8524</v>
      </c>
      <c r="B311" t="s">
        <v>8525</v>
      </c>
      <c r="C311" t="s">
        <v>8526</v>
      </c>
      <c r="D311">
        <v>2022</v>
      </c>
      <c r="E311" t="s">
        <v>8527</v>
      </c>
      <c r="G311">
        <v>23</v>
      </c>
      <c r="I311">
        <v>527</v>
      </c>
      <c r="J311">
        <v>564</v>
      </c>
      <c r="M311" t="s">
        <v>8528</v>
      </c>
      <c r="N311" t="s">
        <v>8529</v>
      </c>
      <c r="O311" t="s">
        <v>8530</v>
      </c>
      <c r="P311" t="s">
        <v>8531</v>
      </c>
      <c r="Q311" t="s">
        <v>8532</v>
      </c>
      <c r="R311" t="s">
        <v>8533</v>
      </c>
      <c r="AI311" t="s">
        <v>8534</v>
      </c>
    </row>
    <row r="312" spans="1:54" x14ac:dyDescent="0.25">
      <c r="A312" t="s">
        <v>8535</v>
      </c>
      <c r="B312" t="s">
        <v>8536</v>
      </c>
      <c r="C312" t="s">
        <v>8537</v>
      </c>
      <c r="D312">
        <v>2022</v>
      </c>
      <c r="E312" t="s">
        <v>8538</v>
      </c>
      <c r="F312">
        <v>10</v>
      </c>
      <c r="I312">
        <v>399</v>
      </c>
      <c r="J312">
        <v>430</v>
      </c>
      <c r="M312" t="s">
        <v>8539</v>
      </c>
      <c r="N312" t="s">
        <v>8540</v>
      </c>
      <c r="O312" t="s">
        <v>8541</v>
      </c>
      <c r="P312" t="s">
        <v>8542</v>
      </c>
      <c r="Q312" t="s">
        <v>8543</v>
      </c>
      <c r="AI312" t="s">
        <v>8544</v>
      </c>
      <c r="AJ312" t="s">
        <v>8545</v>
      </c>
      <c r="AM312" t="s">
        <v>8546</v>
      </c>
      <c r="AR312">
        <v>23461780</v>
      </c>
      <c r="AV312" t="s">
        <v>1234</v>
      </c>
      <c r="AW312" t="s">
        <v>8538</v>
      </c>
      <c r="AX312" t="s">
        <v>79</v>
      </c>
      <c r="AY312" t="s">
        <v>4620</v>
      </c>
      <c r="AZ312" t="s">
        <v>4672</v>
      </c>
      <c r="BA312" t="s">
        <v>4584</v>
      </c>
      <c r="BB312" t="s">
        <v>8547</v>
      </c>
    </row>
    <row r="313" spans="1:54" x14ac:dyDescent="0.25">
      <c r="A313" t="s">
        <v>8548</v>
      </c>
      <c r="B313" t="s">
        <v>8549</v>
      </c>
      <c r="C313" t="s">
        <v>8550</v>
      </c>
      <c r="D313">
        <v>2022</v>
      </c>
      <c r="E313" t="s">
        <v>8551</v>
      </c>
      <c r="I313">
        <v>1908</v>
      </c>
      <c r="J313">
        <v>1909</v>
      </c>
      <c r="M313" t="s">
        <v>8552</v>
      </c>
      <c r="N313" t="s">
        <v>8553</v>
      </c>
      <c r="O313" t="s">
        <v>8554</v>
      </c>
      <c r="P313" t="s">
        <v>8555</v>
      </c>
      <c r="Q313" t="s">
        <v>8556</v>
      </c>
      <c r="S313" t="s">
        <v>8557</v>
      </c>
      <c r="X313" t="s">
        <v>8558</v>
      </c>
      <c r="Y313" t="s">
        <v>8559</v>
      </c>
      <c r="AI313" t="s">
        <v>8560</v>
      </c>
      <c r="AL313" t="s">
        <v>8561</v>
      </c>
      <c r="AM313" t="s">
        <v>5212</v>
      </c>
      <c r="AN313" t="s">
        <v>8562</v>
      </c>
      <c r="AO313" t="s">
        <v>8563</v>
      </c>
      <c r="AQ313">
        <v>182906</v>
      </c>
      <c r="AS313">
        <v>9781665496582</v>
      </c>
      <c r="AV313" t="s">
        <v>78</v>
      </c>
      <c r="AW313" t="s">
        <v>8564</v>
      </c>
      <c r="AX313" t="s">
        <v>10683</v>
      </c>
      <c r="AY313" t="s">
        <v>4620</v>
      </c>
      <c r="BA313" t="s">
        <v>4584</v>
      </c>
      <c r="BB313" t="s">
        <v>8565</v>
      </c>
    </row>
    <row r="314" spans="1:54" x14ac:dyDescent="0.25">
      <c r="A314" t="s">
        <v>8566</v>
      </c>
      <c r="B314" t="s">
        <v>8567</v>
      </c>
      <c r="C314" t="s">
        <v>8568</v>
      </c>
      <c r="D314">
        <v>2022</v>
      </c>
      <c r="E314" t="s">
        <v>8569</v>
      </c>
      <c r="F314">
        <v>12</v>
      </c>
      <c r="G314">
        <v>5</v>
      </c>
      <c r="I314">
        <v>668</v>
      </c>
      <c r="J314">
        <v>675</v>
      </c>
      <c r="M314" t="s">
        <v>3669</v>
      </c>
      <c r="N314" t="s">
        <v>8570</v>
      </c>
      <c r="O314" t="s">
        <v>8571</v>
      </c>
      <c r="P314" t="s">
        <v>8572</v>
      </c>
      <c r="Q314" t="s">
        <v>8573</v>
      </c>
      <c r="R314" t="s">
        <v>3656</v>
      </c>
      <c r="S314" t="s">
        <v>10762</v>
      </c>
      <c r="AI314" t="s">
        <v>8574</v>
      </c>
      <c r="AJ314" t="s">
        <v>8575</v>
      </c>
      <c r="AM314" t="s">
        <v>8576</v>
      </c>
      <c r="AR314">
        <v>22264485</v>
      </c>
      <c r="AV314" t="s">
        <v>78</v>
      </c>
      <c r="AW314" t="s">
        <v>3668</v>
      </c>
      <c r="AX314" t="s">
        <v>79</v>
      </c>
      <c r="AY314" t="s">
        <v>4620</v>
      </c>
      <c r="AZ314" t="s">
        <v>4672</v>
      </c>
      <c r="BA314" t="s">
        <v>4584</v>
      </c>
      <c r="BB314" t="s">
        <v>8577</v>
      </c>
    </row>
    <row r="315" spans="1:54" x14ac:dyDescent="0.25">
      <c r="A315" t="s">
        <v>8578</v>
      </c>
      <c r="B315" t="s">
        <v>8579</v>
      </c>
      <c r="C315" t="s">
        <v>8580</v>
      </c>
      <c r="D315">
        <v>2022</v>
      </c>
      <c r="E315" t="s">
        <v>8581</v>
      </c>
      <c r="F315">
        <v>31</v>
      </c>
      <c r="G315">
        <v>1</v>
      </c>
      <c r="I315">
        <v>93</v>
      </c>
      <c r="J315">
        <v>107</v>
      </c>
      <c r="M315" t="s">
        <v>4615</v>
      </c>
      <c r="N315" t="s">
        <v>8582</v>
      </c>
      <c r="O315" t="s">
        <v>8583</v>
      </c>
      <c r="P315" t="s">
        <v>8584</v>
      </c>
      <c r="Q315" t="s">
        <v>8585</v>
      </c>
      <c r="R315" t="s">
        <v>8586</v>
      </c>
      <c r="AI315" t="s">
        <v>8587</v>
      </c>
      <c r="AJ315" t="s">
        <v>8588</v>
      </c>
      <c r="AM315" t="s">
        <v>5356</v>
      </c>
      <c r="AR315">
        <v>1215469</v>
      </c>
      <c r="AV315" t="s">
        <v>78</v>
      </c>
      <c r="AW315" t="s">
        <v>8589</v>
      </c>
      <c r="AX315" t="s">
        <v>79</v>
      </c>
      <c r="AY315" t="s">
        <v>4620</v>
      </c>
      <c r="AZ315" t="s">
        <v>4672</v>
      </c>
      <c r="BA315" t="s">
        <v>4584</v>
      </c>
      <c r="BB315" t="s">
        <v>8590</v>
      </c>
    </row>
    <row r="316" spans="1:54" x14ac:dyDescent="0.25">
      <c r="A316" t="s">
        <v>8591</v>
      </c>
      <c r="B316" t="s">
        <v>8592</v>
      </c>
      <c r="C316" t="s">
        <v>8593</v>
      </c>
      <c r="D316">
        <v>2022</v>
      </c>
      <c r="E316" t="s">
        <v>8594</v>
      </c>
      <c r="F316">
        <v>27</v>
      </c>
      <c r="G316">
        <v>4</v>
      </c>
      <c r="I316">
        <v>239</v>
      </c>
      <c r="J316">
        <v>250</v>
      </c>
      <c r="M316" t="s">
        <v>8595</v>
      </c>
      <c r="N316" t="s">
        <v>8596</v>
      </c>
      <c r="O316" t="s">
        <v>8597</v>
      </c>
      <c r="P316" t="s">
        <v>8598</v>
      </c>
      <c r="Q316" t="s">
        <v>8599</v>
      </c>
      <c r="R316" t="s">
        <v>8600</v>
      </c>
      <c r="AI316" t="s">
        <v>8601</v>
      </c>
      <c r="AJ316" t="s">
        <v>8602</v>
      </c>
      <c r="AM316" t="s">
        <v>8603</v>
      </c>
      <c r="AR316">
        <v>19989938</v>
      </c>
      <c r="AV316" t="s">
        <v>8604</v>
      </c>
      <c r="AW316" t="s">
        <v>8605</v>
      </c>
      <c r="AX316" t="s">
        <v>79</v>
      </c>
      <c r="AY316" t="s">
        <v>4620</v>
      </c>
      <c r="AZ316" t="s">
        <v>4672</v>
      </c>
      <c r="BA316" t="s">
        <v>4584</v>
      </c>
      <c r="BB316" t="s">
        <v>8606</v>
      </c>
    </row>
    <row r="317" spans="1:54" x14ac:dyDescent="0.25">
      <c r="A317" t="s">
        <v>8607</v>
      </c>
      <c r="B317" t="s">
        <v>8608</v>
      </c>
      <c r="C317" t="s">
        <v>8609</v>
      </c>
      <c r="D317">
        <v>2022</v>
      </c>
      <c r="E317" t="s">
        <v>8610</v>
      </c>
      <c r="F317">
        <v>27</v>
      </c>
      <c r="G317">
        <v>3</v>
      </c>
      <c r="I317">
        <v>725</v>
      </c>
      <c r="J317">
        <v>743</v>
      </c>
      <c r="M317" t="s">
        <v>8611</v>
      </c>
      <c r="N317" t="s">
        <v>8612</v>
      </c>
      <c r="O317" t="s">
        <v>8613</v>
      </c>
      <c r="P317" t="s">
        <v>8614</v>
      </c>
      <c r="Q317" t="s">
        <v>8615</v>
      </c>
      <c r="R317" t="s">
        <v>8616</v>
      </c>
      <c r="AI317" t="s">
        <v>8617</v>
      </c>
      <c r="AJ317" t="s">
        <v>8618</v>
      </c>
      <c r="AM317" t="s">
        <v>5890</v>
      </c>
      <c r="AR317">
        <v>1233432</v>
      </c>
      <c r="AV317" t="s">
        <v>8619</v>
      </c>
      <c r="AW317" t="s">
        <v>8610</v>
      </c>
      <c r="AX317" t="s">
        <v>79</v>
      </c>
      <c r="AY317" t="s">
        <v>4620</v>
      </c>
      <c r="AZ317" t="s">
        <v>4672</v>
      </c>
      <c r="BA317" t="s">
        <v>4584</v>
      </c>
      <c r="BB317" t="s">
        <v>8620</v>
      </c>
    </row>
    <row r="318" spans="1:54" x14ac:dyDescent="0.25">
      <c r="A318" t="s">
        <v>8621</v>
      </c>
      <c r="B318" t="s">
        <v>8622</v>
      </c>
      <c r="C318" t="s">
        <v>8623</v>
      </c>
      <c r="D318">
        <v>2022</v>
      </c>
      <c r="E318" t="s">
        <v>8610</v>
      </c>
      <c r="F318">
        <v>27</v>
      </c>
      <c r="G318">
        <v>3</v>
      </c>
      <c r="I318">
        <v>596</v>
      </c>
      <c r="J318">
        <v>626</v>
      </c>
      <c r="M318" t="s">
        <v>8624</v>
      </c>
      <c r="N318" t="s">
        <v>8625</v>
      </c>
      <c r="O318" t="s">
        <v>8626</v>
      </c>
      <c r="P318" t="s">
        <v>8627</v>
      </c>
      <c r="Q318" t="s">
        <v>8628</v>
      </c>
      <c r="R318" t="s">
        <v>8629</v>
      </c>
      <c r="Y318" t="s">
        <v>8630</v>
      </c>
      <c r="AI318" t="s">
        <v>8631</v>
      </c>
      <c r="AJ318" t="s">
        <v>8632</v>
      </c>
      <c r="AM318" t="s">
        <v>5890</v>
      </c>
      <c r="AR318">
        <v>1233432</v>
      </c>
      <c r="AV318" t="s">
        <v>8619</v>
      </c>
      <c r="AW318" t="s">
        <v>8610</v>
      </c>
      <c r="AX318" t="s">
        <v>79</v>
      </c>
      <c r="AY318" t="s">
        <v>4620</v>
      </c>
      <c r="AZ318" t="s">
        <v>4672</v>
      </c>
      <c r="BA318" t="s">
        <v>4584</v>
      </c>
      <c r="BB318" t="s">
        <v>8633</v>
      </c>
    </row>
    <row r="319" spans="1:54" x14ac:dyDescent="0.25">
      <c r="A319" t="s">
        <v>8634</v>
      </c>
      <c r="B319" t="s">
        <v>8635</v>
      </c>
      <c r="C319" t="s">
        <v>8636</v>
      </c>
      <c r="D319">
        <v>2022</v>
      </c>
      <c r="E319" t="s">
        <v>8637</v>
      </c>
      <c r="F319">
        <v>14</v>
      </c>
      <c r="G319">
        <v>1</v>
      </c>
      <c r="I319">
        <v>99</v>
      </c>
      <c r="J319">
        <v>129</v>
      </c>
      <c r="M319" t="s">
        <v>3460</v>
      </c>
      <c r="N319" t="s">
        <v>8638</v>
      </c>
      <c r="O319" t="s">
        <v>8639</v>
      </c>
      <c r="P319" t="s">
        <v>8640</v>
      </c>
      <c r="Q319" t="s">
        <v>8641</v>
      </c>
      <c r="R319" t="s">
        <v>8642</v>
      </c>
      <c r="AI319" t="s">
        <v>8643</v>
      </c>
      <c r="AJ319" t="s">
        <v>8644</v>
      </c>
      <c r="AM319" t="s">
        <v>8645</v>
      </c>
      <c r="AR319">
        <v>22486046</v>
      </c>
      <c r="AV319" t="s">
        <v>1234</v>
      </c>
      <c r="AW319" t="s">
        <v>8646</v>
      </c>
      <c r="AX319" t="s">
        <v>79</v>
      </c>
      <c r="AY319" t="s">
        <v>4620</v>
      </c>
      <c r="AZ319" t="s">
        <v>4688</v>
      </c>
      <c r="BA319" t="s">
        <v>4584</v>
      </c>
      <c r="BB319" t="s">
        <v>8647</v>
      </c>
    </row>
    <row r="320" spans="1:54" x14ac:dyDescent="0.25">
      <c r="A320" t="s">
        <v>8648</v>
      </c>
      <c r="B320" t="s">
        <v>8649</v>
      </c>
      <c r="C320" t="s">
        <v>8650</v>
      </c>
      <c r="D320">
        <v>2022</v>
      </c>
      <c r="E320" t="s">
        <v>6976</v>
      </c>
      <c r="M320" t="s">
        <v>8651</v>
      </c>
      <c r="N320" t="s">
        <v>8652</v>
      </c>
      <c r="O320" t="s">
        <v>8653</v>
      </c>
      <c r="P320" t="s">
        <v>8654</v>
      </c>
      <c r="Q320" t="s">
        <v>8655</v>
      </c>
      <c r="R320" t="s">
        <v>8656</v>
      </c>
      <c r="AI320" t="s">
        <v>8657</v>
      </c>
      <c r="AJ320" t="s">
        <v>8658</v>
      </c>
      <c r="AM320" t="s">
        <v>4635</v>
      </c>
      <c r="AR320">
        <v>3656691</v>
      </c>
      <c r="AT320" t="s">
        <v>6986</v>
      </c>
      <c r="AV320" t="s">
        <v>5228</v>
      </c>
      <c r="AW320" t="s">
        <v>6987</v>
      </c>
      <c r="AX320" t="s">
        <v>79</v>
      </c>
      <c r="AY320" t="s">
        <v>4694</v>
      </c>
      <c r="BA320" t="s">
        <v>4584</v>
      </c>
      <c r="BB320" t="s">
        <v>8659</v>
      </c>
    </row>
    <row r="321" spans="1:54" x14ac:dyDescent="0.25">
      <c r="A321" t="s">
        <v>8660</v>
      </c>
      <c r="B321" t="s">
        <v>8661</v>
      </c>
      <c r="C321" t="s">
        <v>8662</v>
      </c>
      <c r="D321">
        <v>2022</v>
      </c>
      <c r="E321" t="s">
        <v>8663</v>
      </c>
      <c r="F321">
        <v>27</v>
      </c>
      <c r="G321">
        <v>4</v>
      </c>
      <c r="I321">
        <v>254</v>
      </c>
      <c r="J321">
        <v>272</v>
      </c>
      <c r="M321" t="s">
        <v>8664</v>
      </c>
      <c r="N321" t="s">
        <v>8665</v>
      </c>
      <c r="O321" t="s">
        <v>8666</v>
      </c>
      <c r="P321" t="s">
        <v>8667</v>
      </c>
      <c r="Q321" t="s">
        <v>8668</v>
      </c>
      <c r="R321" t="s">
        <v>8669</v>
      </c>
      <c r="AI321" t="s">
        <v>8670</v>
      </c>
      <c r="AJ321" t="s">
        <v>8671</v>
      </c>
      <c r="AM321" t="s">
        <v>8672</v>
      </c>
      <c r="AR321">
        <v>1227483</v>
      </c>
      <c r="AV321" t="s">
        <v>8673</v>
      </c>
      <c r="AW321" t="s">
        <v>8674</v>
      </c>
      <c r="AX321" t="s">
        <v>79</v>
      </c>
      <c r="AY321" t="s">
        <v>4620</v>
      </c>
      <c r="AZ321" t="s">
        <v>4672</v>
      </c>
      <c r="BA321" t="s">
        <v>4584</v>
      </c>
      <c r="BB321" t="s">
        <v>8675</v>
      </c>
    </row>
    <row r="322" spans="1:54" x14ac:dyDescent="0.25">
      <c r="A322" t="s">
        <v>8676</v>
      </c>
      <c r="B322" t="s">
        <v>8677</v>
      </c>
      <c r="C322" t="s">
        <v>8678</v>
      </c>
      <c r="D322">
        <v>2022</v>
      </c>
      <c r="E322" t="s">
        <v>6752</v>
      </c>
      <c r="F322">
        <v>16</v>
      </c>
      <c r="G322">
        <v>2</v>
      </c>
      <c r="H322" t="s">
        <v>8679</v>
      </c>
      <c r="L322">
        <v>1</v>
      </c>
      <c r="M322" t="s">
        <v>8680</v>
      </c>
      <c r="N322" t="s">
        <v>8681</v>
      </c>
      <c r="O322" t="s">
        <v>8682</v>
      </c>
      <c r="P322" t="s">
        <v>8683</v>
      </c>
      <c r="Q322" t="s">
        <v>8684</v>
      </c>
      <c r="R322" t="s">
        <v>8685</v>
      </c>
      <c r="X322" t="s">
        <v>5392</v>
      </c>
      <c r="Y322" t="s">
        <v>8686</v>
      </c>
      <c r="AI322" t="s">
        <v>8687</v>
      </c>
      <c r="AJ322" t="s">
        <v>8688</v>
      </c>
      <c r="AM322" t="s">
        <v>431</v>
      </c>
      <c r="AR322">
        <v>24223719</v>
      </c>
      <c r="AV322" t="s">
        <v>78</v>
      </c>
      <c r="AW322" t="s">
        <v>6762</v>
      </c>
      <c r="AX322" t="s">
        <v>79</v>
      </c>
      <c r="AY322" t="s">
        <v>4620</v>
      </c>
      <c r="AZ322" t="s">
        <v>4672</v>
      </c>
      <c r="BA322" t="s">
        <v>4584</v>
      </c>
      <c r="BB322" t="s">
        <v>8689</v>
      </c>
    </row>
    <row r="323" spans="1:54" x14ac:dyDescent="0.25">
      <c r="A323" t="s">
        <v>8690</v>
      </c>
      <c r="B323" t="s">
        <v>8691</v>
      </c>
      <c r="C323" t="s">
        <v>8692</v>
      </c>
      <c r="D323">
        <v>2022</v>
      </c>
      <c r="E323" t="s">
        <v>6752</v>
      </c>
      <c r="F323">
        <v>16</v>
      </c>
      <c r="G323">
        <v>1</v>
      </c>
      <c r="H323" t="s">
        <v>8693</v>
      </c>
      <c r="L323">
        <v>3</v>
      </c>
      <c r="M323" t="s">
        <v>8694</v>
      </c>
      <c r="N323" t="s">
        <v>8695</v>
      </c>
      <c r="O323" t="s">
        <v>8696</v>
      </c>
      <c r="P323" t="s">
        <v>8697</v>
      </c>
      <c r="Q323" t="s">
        <v>8698</v>
      </c>
      <c r="R323" t="s">
        <v>8699</v>
      </c>
      <c r="AI323" t="s">
        <v>8700</v>
      </c>
      <c r="AJ323" t="s">
        <v>8701</v>
      </c>
      <c r="AM323" t="s">
        <v>431</v>
      </c>
      <c r="AR323">
        <v>24223719</v>
      </c>
      <c r="AV323" t="s">
        <v>78</v>
      </c>
      <c r="AW323" t="s">
        <v>6762</v>
      </c>
      <c r="AX323" t="s">
        <v>79</v>
      </c>
      <c r="AY323" t="s">
        <v>4620</v>
      </c>
      <c r="AZ323" t="s">
        <v>4672</v>
      </c>
      <c r="BA323" t="s">
        <v>4584</v>
      </c>
      <c r="BB323" t="s">
        <v>8702</v>
      </c>
    </row>
    <row r="324" spans="1:54" x14ac:dyDescent="0.25">
      <c r="A324" t="s">
        <v>8703</v>
      </c>
      <c r="B324" t="s">
        <v>8704</v>
      </c>
      <c r="C324" t="s">
        <v>8705</v>
      </c>
      <c r="D324">
        <v>2022</v>
      </c>
      <c r="E324" t="s">
        <v>8706</v>
      </c>
      <c r="F324">
        <v>31</v>
      </c>
      <c r="I324">
        <v>87</v>
      </c>
      <c r="J324">
        <v>96</v>
      </c>
      <c r="M324" t="s">
        <v>8707</v>
      </c>
      <c r="N324" t="s">
        <v>8708</v>
      </c>
      <c r="O324" t="s">
        <v>8709</v>
      </c>
      <c r="P324" t="s">
        <v>8710</v>
      </c>
      <c r="Q324" t="s">
        <v>8711</v>
      </c>
      <c r="R324" t="s">
        <v>8712</v>
      </c>
      <c r="AI324" t="s">
        <v>8713</v>
      </c>
      <c r="AJ324" t="s">
        <v>8714</v>
      </c>
      <c r="AM324" t="s">
        <v>8715</v>
      </c>
      <c r="AR324">
        <v>19207603</v>
      </c>
      <c r="AV324" t="s">
        <v>78</v>
      </c>
      <c r="AW324" t="s">
        <v>8716</v>
      </c>
      <c r="AX324" t="s">
        <v>79</v>
      </c>
      <c r="AY324" t="s">
        <v>4620</v>
      </c>
      <c r="AZ324" t="s">
        <v>4688</v>
      </c>
      <c r="BA324" t="s">
        <v>4584</v>
      </c>
      <c r="BB324" t="s">
        <v>8717</v>
      </c>
    </row>
    <row r="325" spans="1:54" x14ac:dyDescent="0.25">
      <c r="A325" t="s">
        <v>8718</v>
      </c>
      <c r="B325" t="s">
        <v>8719</v>
      </c>
      <c r="C325" t="s">
        <v>8720</v>
      </c>
      <c r="D325">
        <v>2022</v>
      </c>
      <c r="E325" t="s">
        <v>8721</v>
      </c>
      <c r="G325">
        <v>67</v>
      </c>
      <c r="I325">
        <v>194</v>
      </c>
      <c r="J325">
        <v>204</v>
      </c>
      <c r="M325" t="s">
        <v>8722</v>
      </c>
      <c r="N325" t="s">
        <v>8723</v>
      </c>
      <c r="O325" t="s">
        <v>7680</v>
      </c>
      <c r="P325" t="s">
        <v>8724</v>
      </c>
      <c r="Q325" t="s">
        <v>8725</v>
      </c>
      <c r="R325" t="s">
        <v>8726</v>
      </c>
      <c r="AI325" t="s">
        <v>8727</v>
      </c>
      <c r="AJ325" t="s">
        <v>8728</v>
      </c>
      <c r="AM325" t="s">
        <v>8729</v>
      </c>
      <c r="AR325">
        <v>7162278</v>
      </c>
      <c r="AV325" t="s">
        <v>5228</v>
      </c>
      <c r="AW325" t="s">
        <v>8721</v>
      </c>
      <c r="AX325" t="s">
        <v>79</v>
      </c>
      <c r="AY325" t="s">
        <v>4620</v>
      </c>
      <c r="AZ325" t="s">
        <v>4672</v>
      </c>
      <c r="BA325" t="s">
        <v>4584</v>
      </c>
      <c r="BB325" t="s">
        <v>8730</v>
      </c>
    </row>
    <row r="326" spans="1:54" x14ac:dyDescent="0.25">
      <c r="A326" t="s">
        <v>8731</v>
      </c>
      <c r="B326" t="s">
        <v>8732</v>
      </c>
      <c r="C326" t="s">
        <v>8733</v>
      </c>
      <c r="D326">
        <v>2022</v>
      </c>
      <c r="E326" t="s">
        <v>8734</v>
      </c>
      <c r="F326">
        <v>22</v>
      </c>
      <c r="G326">
        <v>2</v>
      </c>
      <c r="I326">
        <v>132</v>
      </c>
      <c r="J326">
        <v>150</v>
      </c>
      <c r="M326" t="s">
        <v>8735</v>
      </c>
      <c r="N326" t="s">
        <v>8736</v>
      </c>
      <c r="O326" t="s">
        <v>8737</v>
      </c>
      <c r="P326" t="s">
        <v>8738</v>
      </c>
      <c r="Q326" t="s">
        <v>8739</v>
      </c>
      <c r="R326" t="s">
        <v>8740</v>
      </c>
      <c r="AI326" t="s">
        <v>8741</v>
      </c>
      <c r="AJ326" t="s">
        <v>8742</v>
      </c>
      <c r="AM326" t="s">
        <v>8743</v>
      </c>
      <c r="AR326">
        <v>15785319</v>
      </c>
      <c r="AV326" t="s">
        <v>1234</v>
      </c>
      <c r="AW326" t="s">
        <v>8744</v>
      </c>
      <c r="AX326" t="s">
        <v>79</v>
      </c>
      <c r="AY326" t="s">
        <v>4620</v>
      </c>
      <c r="BA326" t="s">
        <v>4584</v>
      </c>
      <c r="BB326" t="s">
        <v>8745</v>
      </c>
    </row>
    <row r="327" spans="1:54" x14ac:dyDescent="0.25">
      <c r="A327" t="s">
        <v>8746</v>
      </c>
      <c r="B327" t="s">
        <v>8747</v>
      </c>
      <c r="C327" t="s">
        <v>8748</v>
      </c>
      <c r="D327">
        <v>2022</v>
      </c>
      <c r="E327" t="s">
        <v>8749</v>
      </c>
      <c r="F327">
        <v>22</v>
      </c>
      <c r="G327">
        <v>2</v>
      </c>
      <c r="I327">
        <v>605</v>
      </c>
      <c r="J327">
        <v>647</v>
      </c>
      <c r="M327" t="s">
        <v>8750</v>
      </c>
      <c r="N327" t="s">
        <v>8751</v>
      </c>
      <c r="O327" t="s">
        <v>8752</v>
      </c>
      <c r="P327" t="s">
        <v>8753</v>
      </c>
      <c r="Q327" t="s">
        <v>8754</v>
      </c>
      <c r="R327" t="s">
        <v>8755</v>
      </c>
      <c r="AI327" t="s">
        <v>8756</v>
      </c>
      <c r="AJ327" t="s">
        <v>8757</v>
      </c>
      <c r="AM327" t="s">
        <v>8758</v>
      </c>
      <c r="AR327">
        <v>23411112</v>
      </c>
      <c r="AV327" t="s">
        <v>1234</v>
      </c>
      <c r="AW327" t="s">
        <v>8749</v>
      </c>
      <c r="AX327" t="s">
        <v>79</v>
      </c>
      <c r="AY327" t="s">
        <v>4620</v>
      </c>
      <c r="AZ327" t="s">
        <v>4769</v>
      </c>
      <c r="BA327" t="s">
        <v>4584</v>
      </c>
      <c r="BB327" t="s">
        <v>8759</v>
      </c>
    </row>
    <row r="328" spans="1:54" x14ac:dyDescent="0.25">
      <c r="A328" t="s">
        <v>8760</v>
      </c>
      <c r="B328" t="s">
        <v>8761</v>
      </c>
      <c r="C328" t="s">
        <v>8762</v>
      </c>
      <c r="D328">
        <v>2022</v>
      </c>
      <c r="E328" t="s">
        <v>8763</v>
      </c>
      <c r="F328">
        <v>3202</v>
      </c>
      <c r="N328" t="s">
        <v>8764</v>
      </c>
      <c r="O328" t="s">
        <v>8765</v>
      </c>
      <c r="P328" t="s">
        <v>8766</v>
      </c>
      <c r="Q328" t="s">
        <v>8767</v>
      </c>
      <c r="R328" t="s">
        <v>8768</v>
      </c>
      <c r="S328" t="s">
        <v>8769</v>
      </c>
      <c r="AI328" t="s">
        <v>8770</v>
      </c>
      <c r="AK328" t="s">
        <v>8771</v>
      </c>
      <c r="AM328" t="s">
        <v>8772</v>
      </c>
      <c r="AN328" t="s">
        <v>8773</v>
      </c>
      <c r="AO328" t="s">
        <v>8774</v>
      </c>
      <c r="AQ328">
        <v>182341</v>
      </c>
      <c r="AR328">
        <v>16130073</v>
      </c>
      <c r="AV328" t="s">
        <v>78</v>
      </c>
      <c r="AW328" t="s">
        <v>8775</v>
      </c>
      <c r="AX328" t="s">
        <v>10683</v>
      </c>
      <c r="AY328" t="s">
        <v>4620</v>
      </c>
      <c r="BA328" t="s">
        <v>4584</v>
      </c>
      <c r="BB328" t="s">
        <v>8776</v>
      </c>
    </row>
    <row r="329" spans="1:54" x14ac:dyDescent="0.25">
      <c r="A329" t="s">
        <v>8777</v>
      </c>
      <c r="B329" t="s">
        <v>8778</v>
      </c>
      <c r="C329" t="s">
        <v>2031</v>
      </c>
      <c r="D329">
        <v>2022</v>
      </c>
      <c r="E329" t="s">
        <v>8779</v>
      </c>
      <c r="F329">
        <v>11</v>
      </c>
      <c r="G329">
        <v>1</v>
      </c>
      <c r="I329">
        <v>766</v>
      </c>
      <c r="J329">
        <v>809</v>
      </c>
      <c r="M329" t="s">
        <v>2051</v>
      </c>
      <c r="N329" t="s">
        <v>8780</v>
      </c>
      <c r="O329" t="s">
        <v>8781</v>
      </c>
      <c r="P329" t="s">
        <v>8782</v>
      </c>
      <c r="Q329" t="s">
        <v>8783</v>
      </c>
      <c r="R329" t="s">
        <v>8784</v>
      </c>
      <c r="S329" t="s">
        <v>8785</v>
      </c>
      <c r="X329" t="s">
        <v>8786</v>
      </c>
      <c r="Y329" t="s">
        <v>8787</v>
      </c>
      <c r="AI329" t="s">
        <v>8788</v>
      </c>
    </row>
    <row r="330" spans="1:54" x14ac:dyDescent="0.25">
      <c r="A330" t="s">
        <v>8789</v>
      </c>
      <c r="B330" t="s">
        <v>8790</v>
      </c>
      <c r="C330" t="s">
        <v>8791</v>
      </c>
      <c r="D330">
        <v>2022</v>
      </c>
      <c r="E330" t="s">
        <v>6707</v>
      </c>
      <c r="F330">
        <v>2022</v>
      </c>
      <c r="G330">
        <v>44</v>
      </c>
      <c r="H330" t="s">
        <v>8792</v>
      </c>
      <c r="M330" t="s">
        <v>8793</v>
      </c>
      <c r="N330" t="s">
        <v>8794</v>
      </c>
      <c r="O330" t="s">
        <v>8795</v>
      </c>
      <c r="P330" t="s">
        <v>8796</v>
      </c>
      <c r="Q330" t="s">
        <v>8797</v>
      </c>
      <c r="R330" t="s">
        <v>8798</v>
      </c>
      <c r="AI330" t="s">
        <v>8799</v>
      </c>
      <c r="AJ330" t="s">
        <v>8800</v>
      </c>
      <c r="AM330" t="s">
        <v>431</v>
      </c>
      <c r="AR330">
        <v>1218530</v>
      </c>
      <c r="AV330" t="s">
        <v>1234</v>
      </c>
      <c r="AW330" t="s">
        <v>6707</v>
      </c>
      <c r="AX330" t="s">
        <v>79</v>
      </c>
      <c r="AY330" t="s">
        <v>4620</v>
      </c>
      <c r="AZ330" t="s">
        <v>4672</v>
      </c>
      <c r="BA330" t="s">
        <v>4584</v>
      </c>
      <c r="BB330" t="s">
        <v>8801</v>
      </c>
    </row>
    <row r="331" spans="1:54" x14ac:dyDescent="0.25">
      <c r="A331" t="s">
        <v>8802</v>
      </c>
      <c r="B331" t="s">
        <v>8803</v>
      </c>
      <c r="C331" t="s">
        <v>8804</v>
      </c>
      <c r="D331">
        <v>2022</v>
      </c>
      <c r="E331" t="s">
        <v>6298</v>
      </c>
      <c r="M331" t="s">
        <v>8805</v>
      </c>
      <c r="N331" t="s">
        <v>8806</v>
      </c>
      <c r="O331" t="s">
        <v>8807</v>
      </c>
      <c r="P331" t="s">
        <v>8808</v>
      </c>
      <c r="Q331" t="s">
        <v>8809</v>
      </c>
      <c r="R331" t="s">
        <v>8810</v>
      </c>
      <c r="AI331" t="s">
        <v>8811</v>
      </c>
      <c r="AJ331" t="s">
        <v>8812</v>
      </c>
      <c r="AM331" t="s">
        <v>6307</v>
      </c>
      <c r="AR331">
        <v>347450</v>
      </c>
      <c r="AT331" t="s">
        <v>6308</v>
      </c>
      <c r="AV331" t="s">
        <v>5228</v>
      </c>
      <c r="AW331" t="s">
        <v>6309</v>
      </c>
      <c r="AX331" t="s">
        <v>79</v>
      </c>
      <c r="AY331" t="s">
        <v>4694</v>
      </c>
      <c r="BA331" t="s">
        <v>4584</v>
      </c>
      <c r="BB331" t="s">
        <v>8813</v>
      </c>
    </row>
    <row r="332" spans="1:54" x14ac:dyDescent="0.25">
      <c r="A332" t="s">
        <v>8814</v>
      </c>
      <c r="B332" t="s">
        <v>8815</v>
      </c>
      <c r="C332" t="s">
        <v>8816</v>
      </c>
      <c r="D332">
        <v>2022</v>
      </c>
      <c r="E332" t="s">
        <v>6831</v>
      </c>
      <c r="F332">
        <v>40</v>
      </c>
      <c r="G332">
        <v>1</v>
      </c>
      <c r="I332">
        <v>42</v>
      </c>
      <c r="J332">
        <v>52</v>
      </c>
      <c r="M332" t="s">
        <v>4593</v>
      </c>
      <c r="N332" t="s">
        <v>8817</v>
      </c>
      <c r="O332" t="s">
        <v>8818</v>
      </c>
      <c r="P332" t="s">
        <v>8819</v>
      </c>
      <c r="Q332" t="s">
        <v>8820</v>
      </c>
      <c r="R332" t="s">
        <v>8821</v>
      </c>
      <c r="AI332" t="s">
        <v>8822</v>
      </c>
      <c r="AJ332" t="s">
        <v>8823</v>
      </c>
      <c r="AM332" t="s">
        <v>5356</v>
      </c>
      <c r="AR332">
        <v>1209965</v>
      </c>
      <c r="AV332" t="s">
        <v>78</v>
      </c>
      <c r="AW332" t="s">
        <v>6832</v>
      </c>
      <c r="AX332" t="s">
        <v>79</v>
      </c>
      <c r="AY332" t="s">
        <v>4620</v>
      </c>
      <c r="AZ332" t="s">
        <v>4672</v>
      </c>
      <c r="BA332" t="s">
        <v>4584</v>
      </c>
      <c r="BB332" t="s">
        <v>8824</v>
      </c>
    </row>
    <row r="333" spans="1:54" x14ac:dyDescent="0.25">
      <c r="A333" t="s">
        <v>8825</v>
      </c>
      <c r="B333" t="s">
        <v>8826</v>
      </c>
      <c r="C333" t="s">
        <v>3101</v>
      </c>
      <c r="D333">
        <v>2022</v>
      </c>
      <c r="E333" t="s">
        <v>8827</v>
      </c>
      <c r="F333">
        <v>11</v>
      </c>
      <c r="G333">
        <v>1</v>
      </c>
      <c r="I333">
        <v>395</v>
      </c>
      <c r="J333">
        <v>410</v>
      </c>
      <c r="M333" t="s">
        <v>3119</v>
      </c>
      <c r="N333" t="s">
        <v>8828</v>
      </c>
      <c r="O333" t="s">
        <v>8829</v>
      </c>
      <c r="P333" t="s">
        <v>8830</v>
      </c>
      <c r="Q333" t="s">
        <v>8831</v>
      </c>
      <c r="R333" t="s">
        <v>3103</v>
      </c>
      <c r="S333" t="s">
        <v>8832</v>
      </c>
      <c r="X333" t="s">
        <v>8833</v>
      </c>
      <c r="Y333" t="s">
        <v>8834</v>
      </c>
      <c r="AI333" t="s">
        <v>8835</v>
      </c>
      <c r="AJ333" t="s">
        <v>8836</v>
      </c>
      <c r="AM333" t="s">
        <v>8837</v>
      </c>
      <c r="AR333">
        <v>21928010</v>
      </c>
      <c r="AV333" t="s">
        <v>78</v>
      </c>
      <c r="AW333" t="s">
        <v>8838</v>
      </c>
      <c r="AX333" t="s">
        <v>79</v>
      </c>
      <c r="AY333" t="s">
        <v>4620</v>
      </c>
      <c r="AZ333" t="s">
        <v>4672</v>
      </c>
      <c r="BA333" t="s">
        <v>4584</v>
      </c>
      <c r="BB333" t="s">
        <v>8839</v>
      </c>
    </row>
    <row r="334" spans="1:54" x14ac:dyDescent="0.25">
      <c r="A334" t="s">
        <v>8840</v>
      </c>
      <c r="B334" t="s">
        <v>8841</v>
      </c>
      <c r="C334" t="s">
        <v>8842</v>
      </c>
      <c r="D334">
        <v>2022</v>
      </c>
      <c r="E334" t="s">
        <v>8843</v>
      </c>
      <c r="F334">
        <v>70</v>
      </c>
      <c r="G334">
        <v>1</v>
      </c>
      <c r="I334">
        <v>504</v>
      </c>
      <c r="J334">
        <v>525</v>
      </c>
      <c r="M334" t="s">
        <v>661</v>
      </c>
      <c r="N334" t="s">
        <v>8844</v>
      </c>
      <c r="O334" t="s">
        <v>8845</v>
      </c>
      <c r="P334" t="s">
        <v>8846</v>
      </c>
      <c r="Q334" t="s">
        <v>8847</v>
      </c>
      <c r="R334" t="s">
        <v>8848</v>
      </c>
      <c r="X334" t="s">
        <v>8849</v>
      </c>
      <c r="Y334" t="s">
        <v>8850</v>
      </c>
      <c r="AI334" t="s">
        <v>8851</v>
      </c>
      <c r="AJ334" t="s">
        <v>8852</v>
      </c>
      <c r="AM334" t="s">
        <v>5451</v>
      </c>
      <c r="AR334">
        <v>347744</v>
      </c>
      <c r="AV334" t="s">
        <v>78</v>
      </c>
      <c r="AW334" t="s">
        <v>659</v>
      </c>
      <c r="AX334" t="s">
        <v>79</v>
      </c>
      <c r="AY334" t="s">
        <v>4620</v>
      </c>
      <c r="BA334" t="s">
        <v>4584</v>
      </c>
      <c r="BB334" t="s">
        <v>8853</v>
      </c>
    </row>
    <row r="335" spans="1:54" x14ac:dyDescent="0.25">
      <c r="A335" t="s">
        <v>8854</v>
      </c>
      <c r="B335" t="s">
        <v>8855</v>
      </c>
      <c r="C335" t="s">
        <v>8856</v>
      </c>
      <c r="D335">
        <v>2022</v>
      </c>
      <c r="E335" t="s">
        <v>8843</v>
      </c>
      <c r="F335">
        <v>70</v>
      </c>
      <c r="G335">
        <v>1</v>
      </c>
      <c r="I335">
        <v>464</v>
      </c>
      <c r="J335">
        <v>481</v>
      </c>
      <c r="M335" t="s">
        <v>3718</v>
      </c>
      <c r="N335" t="s">
        <v>8857</v>
      </c>
      <c r="O335" t="s">
        <v>8858</v>
      </c>
      <c r="P335" t="s">
        <v>8859</v>
      </c>
      <c r="Q335" t="s">
        <v>8860</v>
      </c>
      <c r="R335" t="s">
        <v>8861</v>
      </c>
      <c r="X335" t="s">
        <v>8862</v>
      </c>
      <c r="Y335" t="s">
        <v>8863</v>
      </c>
      <c r="AI335" t="s">
        <v>8864</v>
      </c>
      <c r="AJ335" t="s">
        <v>8865</v>
      </c>
      <c r="AM335" t="s">
        <v>5451</v>
      </c>
      <c r="AR335">
        <v>347744</v>
      </c>
      <c r="AV335" t="s">
        <v>1234</v>
      </c>
      <c r="AW335" t="s">
        <v>659</v>
      </c>
      <c r="AX335" t="s">
        <v>79</v>
      </c>
      <c r="AY335" t="s">
        <v>4620</v>
      </c>
      <c r="BA335" t="s">
        <v>4584</v>
      </c>
      <c r="BB335" t="s">
        <v>8866</v>
      </c>
    </row>
    <row r="336" spans="1:54" x14ac:dyDescent="0.25">
      <c r="A336" t="s">
        <v>8867</v>
      </c>
      <c r="B336" t="s">
        <v>8868</v>
      </c>
      <c r="C336" t="s">
        <v>8869</v>
      </c>
      <c r="D336">
        <v>2022</v>
      </c>
      <c r="E336" t="s">
        <v>8870</v>
      </c>
      <c r="G336">
        <v>11</v>
      </c>
      <c r="I336">
        <v>430</v>
      </c>
      <c r="J336">
        <v>445</v>
      </c>
      <c r="M336" t="s">
        <v>8871</v>
      </c>
      <c r="N336" t="s">
        <v>8872</v>
      </c>
      <c r="O336" t="s">
        <v>8873</v>
      </c>
      <c r="P336" t="s">
        <v>8874</v>
      </c>
      <c r="Q336" t="s">
        <v>8875</v>
      </c>
      <c r="R336" t="s">
        <v>8876</v>
      </c>
      <c r="AI336" t="s">
        <v>8877</v>
      </c>
      <c r="AJ336" t="s">
        <v>8878</v>
      </c>
      <c r="AM336" t="s">
        <v>8879</v>
      </c>
      <c r="AR336">
        <v>22546901</v>
      </c>
      <c r="AV336" t="s">
        <v>1234</v>
      </c>
      <c r="AW336" t="s">
        <v>8880</v>
      </c>
      <c r="AX336" t="s">
        <v>79</v>
      </c>
      <c r="AY336" t="s">
        <v>4620</v>
      </c>
      <c r="AZ336" t="s">
        <v>4672</v>
      </c>
      <c r="BA336" t="s">
        <v>4584</v>
      </c>
      <c r="BB336" t="s">
        <v>8881</v>
      </c>
    </row>
    <row r="337" spans="1:54" x14ac:dyDescent="0.25">
      <c r="A337" t="s">
        <v>8882</v>
      </c>
      <c r="B337" t="s">
        <v>8883</v>
      </c>
      <c r="C337" t="s">
        <v>8884</v>
      </c>
      <c r="D337">
        <v>2022</v>
      </c>
      <c r="E337" t="s">
        <v>5909</v>
      </c>
      <c r="F337">
        <v>25</v>
      </c>
      <c r="G337">
        <v>1</v>
      </c>
      <c r="H337" t="s">
        <v>4611</v>
      </c>
      <c r="M337" t="s">
        <v>4612</v>
      </c>
      <c r="N337" t="s">
        <v>8885</v>
      </c>
      <c r="O337" t="s">
        <v>8886</v>
      </c>
      <c r="P337" t="s">
        <v>8887</v>
      </c>
      <c r="Q337" t="s">
        <v>8888</v>
      </c>
      <c r="R337" t="s">
        <v>8889</v>
      </c>
      <c r="AI337" t="s">
        <v>8890</v>
      </c>
      <c r="AJ337" t="s">
        <v>8891</v>
      </c>
      <c r="AM337" t="s">
        <v>5919</v>
      </c>
      <c r="AR337">
        <v>1234226</v>
      </c>
      <c r="AV337" t="s">
        <v>78</v>
      </c>
      <c r="AW337" t="s">
        <v>5920</v>
      </c>
      <c r="AX337" t="s">
        <v>79</v>
      </c>
      <c r="AY337" t="s">
        <v>4620</v>
      </c>
      <c r="AZ337" t="s">
        <v>4672</v>
      </c>
      <c r="BA337" t="s">
        <v>4584</v>
      </c>
      <c r="BB337" t="s">
        <v>8892</v>
      </c>
    </row>
    <row r="338" spans="1:54" x14ac:dyDescent="0.25">
      <c r="A338" t="s">
        <v>8893</v>
      </c>
      <c r="B338" t="s">
        <v>8894</v>
      </c>
      <c r="C338" t="s">
        <v>910</v>
      </c>
      <c r="D338">
        <v>2022</v>
      </c>
      <c r="E338" t="s">
        <v>8895</v>
      </c>
      <c r="M338" t="s">
        <v>931</v>
      </c>
      <c r="N338" t="s">
        <v>8896</v>
      </c>
      <c r="O338" t="s">
        <v>8897</v>
      </c>
      <c r="P338" t="s">
        <v>8898</v>
      </c>
      <c r="Q338" t="s">
        <v>8899</v>
      </c>
      <c r="R338" t="s">
        <v>8900</v>
      </c>
      <c r="S338" t="s">
        <v>8901</v>
      </c>
      <c r="AI338" t="s">
        <v>8902</v>
      </c>
      <c r="AJ338" t="s">
        <v>8903</v>
      </c>
      <c r="AM338" t="s">
        <v>4693</v>
      </c>
      <c r="AR338">
        <v>1969722</v>
      </c>
      <c r="AT338" t="s">
        <v>8904</v>
      </c>
      <c r="AV338" t="s">
        <v>78</v>
      </c>
      <c r="AW338" t="s">
        <v>8905</v>
      </c>
      <c r="AX338" t="s">
        <v>79</v>
      </c>
      <c r="AY338" t="s">
        <v>4694</v>
      </c>
      <c r="BA338" t="s">
        <v>4584</v>
      </c>
      <c r="BB338" t="s">
        <v>8906</v>
      </c>
    </row>
    <row r="339" spans="1:54" x14ac:dyDescent="0.25">
      <c r="A339" t="s">
        <v>8907</v>
      </c>
      <c r="B339" t="s">
        <v>8908</v>
      </c>
      <c r="C339" t="s">
        <v>8909</v>
      </c>
      <c r="D339">
        <v>2022</v>
      </c>
      <c r="E339" t="s">
        <v>8910</v>
      </c>
      <c r="F339">
        <v>22</v>
      </c>
      <c r="G339" s="1">
        <v>45019</v>
      </c>
      <c r="I339">
        <v>324</v>
      </c>
      <c r="J339">
        <v>337</v>
      </c>
      <c r="M339" t="s">
        <v>2635</v>
      </c>
      <c r="N339" t="s">
        <v>8911</v>
      </c>
      <c r="O339" t="s">
        <v>8912</v>
      </c>
      <c r="P339" t="s">
        <v>8913</v>
      </c>
      <c r="Q339" t="s">
        <v>8914</v>
      </c>
      <c r="R339" t="s">
        <v>8915</v>
      </c>
      <c r="Y339" t="s">
        <v>8916</v>
      </c>
      <c r="AI339" t="s">
        <v>8917</v>
      </c>
      <c r="AJ339" t="s">
        <v>8918</v>
      </c>
      <c r="AM339" t="s">
        <v>8919</v>
      </c>
      <c r="AR339">
        <v>15677095</v>
      </c>
      <c r="AV339" t="s">
        <v>78</v>
      </c>
      <c r="AW339" t="s">
        <v>2633</v>
      </c>
      <c r="AX339" t="s">
        <v>79</v>
      </c>
      <c r="AY339" t="s">
        <v>4620</v>
      </c>
      <c r="BA339" t="s">
        <v>4584</v>
      </c>
      <c r="BB339" t="s">
        <v>8920</v>
      </c>
    </row>
    <row r="340" spans="1:54" x14ac:dyDescent="0.25">
      <c r="A340" t="s">
        <v>8921</v>
      </c>
      <c r="B340" t="s">
        <v>8922</v>
      </c>
      <c r="C340" t="s">
        <v>8923</v>
      </c>
      <c r="D340">
        <v>2022</v>
      </c>
      <c r="E340" t="s">
        <v>8924</v>
      </c>
      <c r="F340" t="s">
        <v>8925</v>
      </c>
      <c r="I340">
        <v>959</v>
      </c>
      <c r="J340">
        <v>962</v>
      </c>
      <c r="L340">
        <v>1</v>
      </c>
      <c r="M340" t="s">
        <v>8926</v>
      </c>
      <c r="N340" t="s">
        <v>8927</v>
      </c>
      <c r="O340" t="s">
        <v>8928</v>
      </c>
      <c r="P340" t="s">
        <v>8929</v>
      </c>
      <c r="Q340" t="s">
        <v>8930</v>
      </c>
      <c r="R340" t="s">
        <v>8931</v>
      </c>
      <c r="S340" t="s">
        <v>8932</v>
      </c>
      <c r="AI340" t="s">
        <v>8933</v>
      </c>
      <c r="AM340" t="s">
        <v>5212</v>
      </c>
      <c r="AN340" t="s">
        <v>8934</v>
      </c>
      <c r="AO340" t="s">
        <v>8935</v>
      </c>
      <c r="AQ340">
        <v>181352</v>
      </c>
      <c r="AS340">
        <v>9781665482400</v>
      </c>
      <c r="AT340" t="s">
        <v>8936</v>
      </c>
      <c r="AV340" t="s">
        <v>78</v>
      </c>
      <c r="AW340" t="s">
        <v>8937</v>
      </c>
      <c r="AX340" t="s">
        <v>10683</v>
      </c>
      <c r="AY340" t="s">
        <v>4620</v>
      </c>
      <c r="AZ340" t="s">
        <v>4771</v>
      </c>
      <c r="BA340" t="s">
        <v>4584</v>
      </c>
      <c r="BB340" t="s">
        <v>8938</v>
      </c>
    </row>
    <row r="341" spans="1:54" x14ac:dyDescent="0.25">
      <c r="A341" t="s">
        <v>8939</v>
      </c>
      <c r="B341" t="s">
        <v>8940</v>
      </c>
      <c r="C341" t="s">
        <v>8941</v>
      </c>
      <c r="D341">
        <v>2022</v>
      </c>
      <c r="E341" t="s">
        <v>8942</v>
      </c>
      <c r="F341">
        <v>30</v>
      </c>
      <c r="G341">
        <v>9</v>
      </c>
      <c r="I341">
        <v>3435</v>
      </c>
      <c r="J341">
        <v>3451</v>
      </c>
      <c r="M341" t="s">
        <v>2612</v>
      </c>
      <c r="N341" t="s">
        <v>8943</v>
      </c>
      <c r="O341" t="s">
        <v>8944</v>
      </c>
      <c r="P341" t="s">
        <v>8945</v>
      </c>
      <c r="Q341" t="s">
        <v>8946</v>
      </c>
      <c r="R341" t="s">
        <v>8947</v>
      </c>
      <c r="X341" t="s">
        <v>5392</v>
      </c>
      <c r="Y341" t="s">
        <v>8948</v>
      </c>
      <c r="AI341" t="s">
        <v>8949</v>
      </c>
      <c r="AJ341" t="s">
        <v>8950</v>
      </c>
      <c r="AM341" t="s">
        <v>8951</v>
      </c>
      <c r="AR341">
        <v>26881594</v>
      </c>
      <c r="AV341" t="s">
        <v>78</v>
      </c>
      <c r="AW341" t="s">
        <v>2611</v>
      </c>
      <c r="AX341" t="s">
        <v>79</v>
      </c>
      <c r="AY341" t="s">
        <v>4620</v>
      </c>
      <c r="AZ341" t="s">
        <v>4672</v>
      </c>
      <c r="BA341" t="s">
        <v>4584</v>
      </c>
      <c r="BB341" t="s">
        <v>8952</v>
      </c>
    </row>
    <row r="342" spans="1:54" x14ac:dyDescent="0.25">
      <c r="A342" t="s">
        <v>8953</v>
      </c>
      <c r="B342" t="s">
        <v>8954</v>
      </c>
      <c r="C342" t="s">
        <v>8955</v>
      </c>
      <c r="D342">
        <v>2022</v>
      </c>
      <c r="E342" t="s">
        <v>8956</v>
      </c>
      <c r="G342">
        <v>25</v>
      </c>
      <c r="I342">
        <v>193</v>
      </c>
      <c r="J342">
        <v>210</v>
      </c>
      <c r="M342" t="s">
        <v>8957</v>
      </c>
      <c r="N342" t="s">
        <v>8958</v>
      </c>
      <c r="O342" t="s">
        <v>8959</v>
      </c>
      <c r="P342" t="s">
        <v>8960</v>
      </c>
      <c r="Q342" t="s">
        <v>8961</v>
      </c>
      <c r="R342" t="s">
        <v>8962</v>
      </c>
      <c r="AI342" t="s">
        <v>8963</v>
      </c>
      <c r="AM342" t="s">
        <v>8964</v>
      </c>
      <c r="AR342">
        <v>21720150</v>
      </c>
      <c r="AV342" t="s">
        <v>1234</v>
      </c>
      <c r="AW342" t="s">
        <v>8956</v>
      </c>
      <c r="AX342" t="s">
        <v>79</v>
      </c>
      <c r="AY342" t="s">
        <v>4620</v>
      </c>
      <c r="AZ342" t="s">
        <v>4672</v>
      </c>
      <c r="BA342" t="s">
        <v>4584</v>
      </c>
      <c r="BB342" t="s">
        <v>8965</v>
      </c>
    </row>
    <row r="343" spans="1:54" x14ac:dyDescent="0.25">
      <c r="A343" t="s">
        <v>8966</v>
      </c>
      <c r="B343" t="s">
        <v>8967</v>
      </c>
      <c r="C343" t="s">
        <v>8968</v>
      </c>
      <c r="D343">
        <v>2022</v>
      </c>
      <c r="E343" t="s">
        <v>8383</v>
      </c>
      <c r="F343">
        <v>33</v>
      </c>
      <c r="G343">
        <v>3</v>
      </c>
      <c r="H343" t="s">
        <v>8969</v>
      </c>
      <c r="M343" t="s">
        <v>8970</v>
      </c>
      <c r="N343" t="s">
        <v>8971</v>
      </c>
      <c r="O343" t="s">
        <v>8972</v>
      </c>
      <c r="P343" t="s">
        <v>8973</v>
      </c>
      <c r="Q343" t="s">
        <v>8974</v>
      </c>
      <c r="R343" t="s">
        <v>8975</v>
      </c>
      <c r="S343" t="s">
        <v>8976</v>
      </c>
      <c r="U343" t="s">
        <v>8977</v>
      </c>
      <c r="AI343" t="s">
        <v>8978</v>
      </c>
      <c r="AJ343" t="s">
        <v>8979</v>
      </c>
      <c r="AM343" t="s">
        <v>8394</v>
      </c>
      <c r="AR343">
        <v>16823419</v>
      </c>
      <c r="AV343" t="s">
        <v>1234</v>
      </c>
      <c r="AW343" t="s">
        <v>8395</v>
      </c>
      <c r="AX343" t="s">
        <v>79</v>
      </c>
      <c r="AY343" t="s">
        <v>4620</v>
      </c>
      <c r="AZ343" t="s">
        <v>4672</v>
      </c>
      <c r="BA343" t="s">
        <v>4584</v>
      </c>
      <c r="BB343" t="s">
        <v>8980</v>
      </c>
    </row>
    <row r="344" spans="1:54" x14ac:dyDescent="0.25">
      <c r="A344" t="s">
        <v>8981</v>
      </c>
      <c r="B344" t="s">
        <v>8982</v>
      </c>
      <c r="C344" t="s">
        <v>8983</v>
      </c>
      <c r="D344">
        <v>2022</v>
      </c>
      <c r="E344" t="s">
        <v>8984</v>
      </c>
      <c r="F344">
        <v>2022</v>
      </c>
      <c r="H344">
        <v>7436651</v>
      </c>
      <c r="M344" t="s">
        <v>1180</v>
      </c>
      <c r="N344" t="s">
        <v>8985</v>
      </c>
      <c r="O344" t="s">
        <v>8986</v>
      </c>
      <c r="P344" t="s">
        <v>8987</v>
      </c>
      <c r="Q344" t="s">
        <v>8988</v>
      </c>
      <c r="S344" t="s">
        <v>8989</v>
      </c>
      <c r="V344" t="s">
        <v>8990</v>
      </c>
      <c r="W344" t="s">
        <v>8991</v>
      </c>
      <c r="AI344" t="s">
        <v>8992</v>
      </c>
      <c r="AJ344" t="s">
        <v>8993</v>
      </c>
      <c r="AM344" t="s">
        <v>8994</v>
      </c>
      <c r="AR344">
        <v>20420048</v>
      </c>
      <c r="AV344" t="s">
        <v>78</v>
      </c>
      <c r="AW344" t="s">
        <v>1178</v>
      </c>
      <c r="AX344" t="s">
        <v>79</v>
      </c>
      <c r="AY344" t="s">
        <v>4620</v>
      </c>
      <c r="AZ344" t="s">
        <v>4688</v>
      </c>
      <c r="BA344" t="s">
        <v>4584</v>
      </c>
      <c r="BB344" t="s">
        <v>8995</v>
      </c>
    </row>
    <row r="345" spans="1:54" x14ac:dyDescent="0.25">
      <c r="A345" t="s">
        <v>8996</v>
      </c>
      <c r="B345" t="s">
        <v>8997</v>
      </c>
      <c r="C345" t="s">
        <v>8998</v>
      </c>
      <c r="D345">
        <v>2022</v>
      </c>
      <c r="E345" t="s">
        <v>8999</v>
      </c>
      <c r="F345">
        <v>55</v>
      </c>
      <c r="G345">
        <v>109</v>
      </c>
      <c r="I345">
        <v>605</v>
      </c>
      <c r="J345">
        <v>630</v>
      </c>
      <c r="M345" t="s">
        <v>9000</v>
      </c>
      <c r="N345" t="s">
        <v>9001</v>
      </c>
      <c r="O345" t="s">
        <v>9002</v>
      </c>
      <c r="P345" t="s">
        <v>9003</v>
      </c>
      <c r="Q345" t="s">
        <v>9004</v>
      </c>
      <c r="R345" t="s">
        <v>9005</v>
      </c>
      <c r="AI345" t="s">
        <v>9006</v>
      </c>
      <c r="AJ345" t="s">
        <v>9007</v>
      </c>
      <c r="AM345" t="s">
        <v>9008</v>
      </c>
      <c r="AR345">
        <v>350451</v>
      </c>
      <c r="AV345" t="s">
        <v>1234</v>
      </c>
      <c r="AW345" t="s">
        <v>9009</v>
      </c>
      <c r="AX345" t="s">
        <v>79</v>
      </c>
      <c r="AY345" t="s">
        <v>4620</v>
      </c>
      <c r="AZ345" t="s">
        <v>4672</v>
      </c>
      <c r="BA345" t="s">
        <v>4584</v>
      </c>
      <c r="BB345" t="s">
        <v>9010</v>
      </c>
    </row>
    <row r="346" spans="1:54" x14ac:dyDescent="0.25">
      <c r="A346" t="s">
        <v>9011</v>
      </c>
      <c r="B346" t="s">
        <v>9012</v>
      </c>
      <c r="C346" t="s">
        <v>9013</v>
      </c>
      <c r="D346">
        <v>2022</v>
      </c>
      <c r="E346" t="s">
        <v>9014</v>
      </c>
      <c r="F346">
        <v>28</v>
      </c>
      <c r="G346">
        <v>3</v>
      </c>
      <c r="I346">
        <v>175</v>
      </c>
      <c r="J346">
        <v>188</v>
      </c>
      <c r="L346">
        <v>1</v>
      </c>
      <c r="M346" t="s">
        <v>9015</v>
      </c>
      <c r="N346" t="s">
        <v>9016</v>
      </c>
      <c r="O346" t="s">
        <v>9017</v>
      </c>
      <c r="P346" t="s">
        <v>9018</v>
      </c>
      <c r="Q346" t="s">
        <v>9019</v>
      </c>
      <c r="R346" t="s">
        <v>9020</v>
      </c>
      <c r="AI346" t="s">
        <v>9021</v>
      </c>
      <c r="AJ346" t="s">
        <v>9022</v>
      </c>
      <c r="AM346" t="s">
        <v>4670</v>
      </c>
      <c r="AR346">
        <v>13159518</v>
      </c>
      <c r="AV346" t="s">
        <v>1234</v>
      </c>
      <c r="AW346" t="s">
        <v>9023</v>
      </c>
      <c r="AX346" t="s">
        <v>79</v>
      </c>
      <c r="AY346" t="s">
        <v>4620</v>
      </c>
      <c r="AZ346" t="s">
        <v>6235</v>
      </c>
      <c r="BA346" t="s">
        <v>4584</v>
      </c>
      <c r="BB346" t="s">
        <v>9024</v>
      </c>
    </row>
    <row r="347" spans="1:54" x14ac:dyDescent="0.25">
      <c r="A347" t="s">
        <v>9025</v>
      </c>
      <c r="B347" t="s">
        <v>9026</v>
      </c>
      <c r="C347" t="s">
        <v>2770</v>
      </c>
      <c r="D347">
        <v>2022</v>
      </c>
      <c r="E347" t="s">
        <v>9027</v>
      </c>
      <c r="M347" t="s">
        <v>2787</v>
      </c>
      <c r="N347" t="s">
        <v>9028</v>
      </c>
      <c r="O347" t="s">
        <v>9029</v>
      </c>
      <c r="P347" t="s">
        <v>9030</v>
      </c>
      <c r="Q347" t="s">
        <v>9031</v>
      </c>
      <c r="R347" t="s">
        <v>9032</v>
      </c>
      <c r="X347" t="s">
        <v>9033</v>
      </c>
      <c r="Y347" t="s">
        <v>2782</v>
      </c>
      <c r="AI347" t="s">
        <v>9034</v>
      </c>
      <c r="AJ347" t="s">
        <v>9035</v>
      </c>
      <c r="AM347" t="s">
        <v>4592</v>
      </c>
      <c r="AR347">
        <v>10407294</v>
      </c>
      <c r="AV347" t="s">
        <v>78</v>
      </c>
      <c r="AW347" t="s">
        <v>2786</v>
      </c>
      <c r="AX347" t="s">
        <v>79</v>
      </c>
      <c r="AY347" t="s">
        <v>4694</v>
      </c>
      <c r="BA347" t="s">
        <v>4584</v>
      </c>
      <c r="BB347" t="s">
        <v>9036</v>
      </c>
    </row>
    <row r="348" spans="1:54" x14ac:dyDescent="0.25">
      <c r="A348" t="s">
        <v>9037</v>
      </c>
      <c r="B348" t="s">
        <v>9038</v>
      </c>
      <c r="C348" t="s">
        <v>3807</v>
      </c>
      <c r="D348">
        <v>2022</v>
      </c>
      <c r="E348" t="s">
        <v>9039</v>
      </c>
      <c r="F348">
        <v>8</v>
      </c>
      <c r="G348">
        <v>6</v>
      </c>
      <c r="I348">
        <v>593</v>
      </c>
      <c r="J348">
        <v>603</v>
      </c>
      <c r="L348">
        <v>1</v>
      </c>
      <c r="M348" t="s">
        <v>3826</v>
      </c>
      <c r="N348" t="s">
        <v>9040</v>
      </c>
      <c r="O348" t="s">
        <v>9041</v>
      </c>
      <c r="P348" t="s">
        <v>9042</v>
      </c>
      <c r="Q348" t="s">
        <v>9043</v>
      </c>
      <c r="R348" t="s">
        <v>9044</v>
      </c>
      <c r="X348" t="s">
        <v>9045</v>
      </c>
      <c r="Y348" t="s">
        <v>9046</v>
      </c>
      <c r="AI348" t="s">
        <v>9047</v>
      </c>
      <c r="AJ348" t="s">
        <v>9048</v>
      </c>
      <c r="AM348" t="s">
        <v>9049</v>
      </c>
      <c r="AR348">
        <v>23524588</v>
      </c>
      <c r="AV348" t="s">
        <v>78</v>
      </c>
      <c r="AW348" t="s">
        <v>3825</v>
      </c>
      <c r="AX348" t="s">
        <v>79</v>
      </c>
      <c r="AY348" t="s">
        <v>4620</v>
      </c>
      <c r="BA348" t="s">
        <v>4584</v>
      </c>
      <c r="BB348" t="s">
        <v>9050</v>
      </c>
    </row>
    <row r="349" spans="1:54" x14ac:dyDescent="0.25">
      <c r="A349" t="s">
        <v>9051</v>
      </c>
      <c r="B349" t="s">
        <v>9052</v>
      </c>
      <c r="C349" t="s">
        <v>9053</v>
      </c>
      <c r="D349">
        <v>2022</v>
      </c>
      <c r="E349" t="s">
        <v>9054</v>
      </c>
      <c r="G349">
        <v>105</v>
      </c>
      <c r="I349">
        <v>29</v>
      </c>
      <c r="J349">
        <v>36</v>
      </c>
      <c r="M349" t="s">
        <v>381</v>
      </c>
      <c r="N349" t="s">
        <v>9055</v>
      </c>
      <c r="O349" t="s">
        <v>9056</v>
      </c>
      <c r="P349" t="s">
        <v>9057</v>
      </c>
      <c r="Q349" t="s">
        <v>9058</v>
      </c>
      <c r="R349" t="s">
        <v>9059</v>
      </c>
      <c r="X349" t="s">
        <v>9060</v>
      </c>
      <c r="Y349" t="s">
        <v>9061</v>
      </c>
      <c r="AI349" t="s">
        <v>9062</v>
      </c>
      <c r="AJ349" t="s">
        <v>9063</v>
      </c>
      <c r="AM349" t="s">
        <v>5890</v>
      </c>
      <c r="AR349">
        <v>1206230</v>
      </c>
      <c r="AV349" t="s">
        <v>78</v>
      </c>
      <c r="AW349" t="s">
        <v>9064</v>
      </c>
      <c r="AX349" t="s">
        <v>79</v>
      </c>
      <c r="AY349" t="s">
        <v>4620</v>
      </c>
      <c r="AZ349" t="s">
        <v>4688</v>
      </c>
      <c r="BA349" t="s">
        <v>4584</v>
      </c>
      <c r="BB349" t="s">
        <v>9065</v>
      </c>
    </row>
    <row r="350" spans="1:54" x14ac:dyDescent="0.25">
      <c r="A350" t="s">
        <v>9066</v>
      </c>
      <c r="B350" t="s">
        <v>9067</v>
      </c>
      <c r="C350" t="s">
        <v>9068</v>
      </c>
      <c r="D350">
        <v>2022</v>
      </c>
      <c r="E350" t="s">
        <v>5909</v>
      </c>
      <c r="F350">
        <v>25</v>
      </c>
      <c r="G350">
        <v>1</v>
      </c>
      <c r="H350" t="s">
        <v>9069</v>
      </c>
      <c r="M350" t="s">
        <v>9070</v>
      </c>
      <c r="N350" t="s">
        <v>9071</v>
      </c>
      <c r="O350" t="s">
        <v>9072</v>
      </c>
      <c r="P350" t="s">
        <v>9073</v>
      </c>
      <c r="Q350" t="s">
        <v>9074</v>
      </c>
      <c r="R350" t="s">
        <v>9075</v>
      </c>
      <c r="X350" t="s">
        <v>9076</v>
      </c>
      <c r="Y350" t="s">
        <v>9077</v>
      </c>
      <c r="AI350" t="s">
        <v>9078</v>
      </c>
      <c r="AJ350" t="s">
        <v>9079</v>
      </c>
      <c r="AM350" t="s">
        <v>5919</v>
      </c>
      <c r="AR350">
        <v>1234226</v>
      </c>
      <c r="AV350" t="s">
        <v>1234</v>
      </c>
      <c r="AW350" t="s">
        <v>5920</v>
      </c>
      <c r="AX350" t="s">
        <v>79</v>
      </c>
      <c r="AY350" t="s">
        <v>4620</v>
      </c>
      <c r="AZ350" t="s">
        <v>4672</v>
      </c>
      <c r="BA350" t="s">
        <v>4584</v>
      </c>
      <c r="BB350" t="s">
        <v>9080</v>
      </c>
    </row>
    <row r="351" spans="1:54" x14ac:dyDescent="0.25">
      <c r="A351" t="s">
        <v>9081</v>
      </c>
      <c r="B351" t="s">
        <v>9082</v>
      </c>
      <c r="C351" t="s">
        <v>9083</v>
      </c>
      <c r="D351">
        <v>2022</v>
      </c>
      <c r="E351" t="s">
        <v>6707</v>
      </c>
      <c r="F351">
        <v>2022</v>
      </c>
      <c r="G351">
        <v>43</v>
      </c>
      <c r="H351" t="s">
        <v>9084</v>
      </c>
      <c r="M351" t="s">
        <v>9085</v>
      </c>
      <c r="N351" t="s">
        <v>9086</v>
      </c>
      <c r="O351" t="s">
        <v>9087</v>
      </c>
      <c r="P351" t="s">
        <v>9088</v>
      </c>
      <c r="Q351" t="s">
        <v>9089</v>
      </c>
      <c r="R351" t="s">
        <v>9090</v>
      </c>
      <c r="AI351" t="s">
        <v>9091</v>
      </c>
      <c r="AJ351" t="s">
        <v>9092</v>
      </c>
      <c r="AM351" t="s">
        <v>431</v>
      </c>
      <c r="AR351">
        <v>1218530</v>
      </c>
      <c r="AV351" t="s">
        <v>1234</v>
      </c>
      <c r="AW351" t="s">
        <v>6707</v>
      </c>
      <c r="AX351" t="s">
        <v>79</v>
      </c>
      <c r="AY351" t="s">
        <v>4620</v>
      </c>
      <c r="AZ351" t="s">
        <v>4672</v>
      </c>
      <c r="BA351" t="s">
        <v>4584</v>
      </c>
      <c r="BB351" t="s">
        <v>9093</v>
      </c>
    </row>
    <row r="352" spans="1:54" x14ac:dyDescent="0.25">
      <c r="A352" t="s">
        <v>9094</v>
      </c>
      <c r="B352" t="s">
        <v>9095</v>
      </c>
      <c r="C352" t="s">
        <v>9096</v>
      </c>
      <c r="D352">
        <v>2022</v>
      </c>
      <c r="E352" t="s">
        <v>6707</v>
      </c>
      <c r="F352">
        <v>2022</v>
      </c>
      <c r="G352">
        <v>43</v>
      </c>
      <c r="H352" t="s">
        <v>9097</v>
      </c>
      <c r="M352" t="s">
        <v>9098</v>
      </c>
      <c r="N352" t="s">
        <v>9099</v>
      </c>
      <c r="O352" t="s">
        <v>9100</v>
      </c>
      <c r="P352" t="s">
        <v>9101</v>
      </c>
      <c r="Q352" t="s">
        <v>9102</v>
      </c>
      <c r="R352" t="s">
        <v>9103</v>
      </c>
      <c r="AI352" t="s">
        <v>9104</v>
      </c>
      <c r="AJ352" t="s">
        <v>9105</v>
      </c>
      <c r="AM352" t="s">
        <v>431</v>
      </c>
      <c r="AR352">
        <v>1218530</v>
      </c>
      <c r="AV352" t="s">
        <v>1234</v>
      </c>
      <c r="AW352" t="s">
        <v>6707</v>
      </c>
      <c r="AX352" t="s">
        <v>79</v>
      </c>
      <c r="AY352" t="s">
        <v>4620</v>
      </c>
      <c r="AZ352" t="s">
        <v>4672</v>
      </c>
      <c r="BA352" t="s">
        <v>4584</v>
      </c>
      <c r="BB352" t="s">
        <v>9106</v>
      </c>
    </row>
    <row r="353" spans="1:54" x14ac:dyDescent="0.25">
      <c r="A353" t="s">
        <v>9107</v>
      </c>
      <c r="B353" t="s">
        <v>9108</v>
      </c>
      <c r="C353" t="s">
        <v>9109</v>
      </c>
      <c r="D353">
        <v>2022</v>
      </c>
      <c r="E353" t="s">
        <v>9110</v>
      </c>
      <c r="F353">
        <v>26</v>
      </c>
      <c r="M353" t="s">
        <v>9111</v>
      </c>
      <c r="N353" t="s">
        <v>9112</v>
      </c>
      <c r="O353" t="s">
        <v>9113</v>
      </c>
      <c r="P353" t="s">
        <v>9114</v>
      </c>
      <c r="Q353" t="s">
        <v>9115</v>
      </c>
      <c r="R353" t="s">
        <v>9116</v>
      </c>
      <c r="S353" t="s">
        <v>9117</v>
      </c>
      <c r="Y353" t="s">
        <v>9118</v>
      </c>
      <c r="AI353" t="s">
        <v>9119</v>
      </c>
      <c r="AJ353" t="s">
        <v>9120</v>
      </c>
      <c r="AM353" t="s">
        <v>8672</v>
      </c>
      <c r="AR353">
        <v>1232126</v>
      </c>
      <c r="AV353" t="s">
        <v>78</v>
      </c>
      <c r="AW353" t="s">
        <v>9121</v>
      </c>
      <c r="AX353" t="s">
        <v>79</v>
      </c>
      <c r="AY353" t="s">
        <v>4620</v>
      </c>
      <c r="AZ353" t="s">
        <v>4672</v>
      </c>
      <c r="BA353" t="s">
        <v>4584</v>
      </c>
      <c r="BB353" t="s">
        <v>9122</v>
      </c>
    </row>
    <row r="354" spans="1:54" x14ac:dyDescent="0.25">
      <c r="A354" t="s">
        <v>9123</v>
      </c>
      <c r="B354" t="s">
        <v>9124</v>
      </c>
      <c r="C354" t="s">
        <v>9125</v>
      </c>
      <c r="D354">
        <v>2022</v>
      </c>
      <c r="E354" t="s">
        <v>9126</v>
      </c>
      <c r="F354">
        <v>44</v>
      </c>
      <c r="G354">
        <v>2</v>
      </c>
      <c r="I354">
        <v>51</v>
      </c>
      <c r="J354">
        <v>72</v>
      </c>
      <c r="M354" t="s">
        <v>1772</v>
      </c>
      <c r="N354" t="s">
        <v>9127</v>
      </c>
      <c r="O354" t="s">
        <v>9128</v>
      </c>
      <c r="P354" t="s">
        <v>9129</v>
      </c>
      <c r="Q354" t="s">
        <v>9130</v>
      </c>
      <c r="R354" t="s">
        <v>9131</v>
      </c>
      <c r="AI354" t="s">
        <v>9132</v>
      </c>
      <c r="AJ354" t="s">
        <v>9133</v>
      </c>
      <c r="AM354" t="s">
        <v>9134</v>
      </c>
      <c r="AR354">
        <v>1200283</v>
      </c>
      <c r="AV354" t="s">
        <v>1234</v>
      </c>
      <c r="AW354" t="s">
        <v>1619</v>
      </c>
      <c r="AX354" t="s">
        <v>79</v>
      </c>
      <c r="AY354" t="s">
        <v>4620</v>
      </c>
      <c r="AZ354" t="s">
        <v>4672</v>
      </c>
      <c r="BA354" t="s">
        <v>4584</v>
      </c>
      <c r="BB354" t="s">
        <v>9135</v>
      </c>
    </row>
    <row r="355" spans="1:54" x14ac:dyDescent="0.25">
      <c r="A355" t="s">
        <v>9136</v>
      </c>
      <c r="B355" t="s">
        <v>9137</v>
      </c>
      <c r="C355" t="s">
        <v>9138</v>
      </c>
      <c r="D355">
        <v>2022</v>
      </c>
      <c r="E355" t="s">
        <v>9126</v>
      </c>
      <c r="F355">
        <v>44</v>
      </c>
      <c r="G355">
        <v>2</v>
      </c>
      <c r="I355">
        <v>161</v>
      </c>
      <c r="J355">
        <v>182</v>
      </c>
      <c r="M355" t="s">
        <v>1620</v>
      </c>
      <c r="N355" t="s">
        <v>9139</v>
      </c>
      <c r="O355" t="s">
        <v>9140</v>
      </c>
      <c r="P355" t="s">
        <v>9141</v>
      </c>
      <c r="Q355" t="s">
        <v>9142</v>
      </c>
      <c r="R355" t="s">
        <v>9143</v>
      </c>
      <c r="AI355" t="s">
        <v>9144</v>
      </c>
      <c r="AJ355" t="s">
        <v>9145</v>
      </c>
      <c r="AM355" t="s">
        <v>9134</v>
      </c>
      <c r="AR355">
        <v>1200283</v>
      </c>
      <c r="AV355" t="s">
        <v>1234</v>
      </c>
      <c r="AW355" t="s">
        <v>1619</v>
      </c>
      <c r="AX355" t="s">
        <v>79</v>
      </c>
      <c r="AY355" t="s">
        <v>4620</v>
      </c>
      <c r="AZ355" t="s">
        <v>4672</v>
      </c>
      <c r="BA355" t="s">
        <v>4584</v>
      </c>
      <c r="BB355" t="s">
        <v>9146</v>
      </c>
    </row>
    <row r="356" spans="1:54" x14ac:dyDescent="0.25">
      <c r="A356" t="s">
        <v>9147</v>
      </c>
      <c r="B356" t="s">
        <v>9148</v>
      </c>
      <c r="C356" t="s">
        <v>9149</v>
      </c>
      <c r="D356">
        <v>2022</v>
      </c>
      <c r="E356" t="s">
        <v>9150</v>
      </c>
      <c r="F356">
        <v>48</v>
      </c>
      <c r="G356">
        <v>1</v>
      </c>
      <c r="I356">
        <v>51</v>
      </c>
      <c r="J356">
        <v>69</v>
      </c>
      <c r="M356" t="s">
        <v>9151</v>
      </c>
      <c r="N356" t="s">
        <v>9152</v>
      </c>
      <c r="O356" t="s">
        <v>9153</v>
      </c>
      <c r="P356" t="s">
        <v>9154</v>
      </c>
      <c r="Q356" t="s">
        <v>9155</v>
      </c>
      <c r="R356" t="s">
        <v>9156</v>
      </c>
      <c r="AI356" t="s">
        <v>9157</v>
      </c>
      <c r="AJ356" t="s">
        <v>9158</v>
      </c>
      <c r="AM356" t="s">
        <v>9159</v>
      </c>
      <c r="AR356" t="s">
        <v>9160</v>
      </c>
      <c r="AV356" t="s">
        <v>1234</v>
      </c>
      <c r="AW356" t="s">
        <v>9161</v>
      </c>
      <c r="AX356" t="s">
        <v>79</v>
      </c>
      <c r="AY356" t="s">
        <v>4620</v>
      </c>
      <c r="AZ356" t="s">
        <v>4672</v>
      </c>
      <c r="BA356" t="s">
        <v>4584</v>
      </c>
      <c r="BB356" t="s">
        <v>9162</v>
      </c>
    </row>
    <row r="357" spans="1:54" x14ac:dyDescent="0.25">
      <c r="A357" t="s">
        <v>9163</v>
      </c>
      <c r="B357" t="s">
        <v>9164</v>
      </c>
      <c r="C357" t="s">
        <v>9165</v>
      </c>
      <c r="D357">
        <v>2022</v>
      </c>
      <c r="E357" t="s">
        <v>6707</v>
      </c>
      <c r="F357">
        <v>2022</v>
      </c>
      <c r="G357">
        <v>44</v>
      </c>
      <c r="H357" t="s">
        <v>9166</v>
      </c>
      <c r="M357" t="s">
        <v>9167</v>
      </c>
      <c r="N357" t="s">
        <v>9168</v>
      </c>
      <c r="O357" t="s">
        <v>9169</v>
      </c>
      <c r="P357" t="s">
        <v>9170</v>
      </c>
      <c r="Q357" t="s">
        <v>9171</v>
      </c>
      <c r="R357" t="s">
        <v>9172</v>
      </c>
      <c r="AI357" t="s">
        <v>9173</v>
      </c>
      <c r="AJ357" t="s">
        <v>9174</v>
      </c>
      <c r="AM357" t="s">
        <v>431</v>
      </c>
      <c r="AR357">
        <v>1218530</v>
      </c>
      <c r="AV357" t="s">
        <v>1234</v>
      </c>
      <c r="AW357" t="s">
        <v>6707</v>
      </c>
      <c r="AX357" t="s">
        <v>79</v>
      </c>
      <c r="AY357" t="s">
        <v>4620</v>
      </c>
      <c r="AZ357" t="s">
        <v>4672</v>
      </c>
      <c r="BA357" t="s">
        <v>4584</v>
      </c>
      <c r="BB357" t="s">
        <v>9175</v>
      </c>
    </row>
    <row r="358" spans="1:54" x14ac:dyDescent="0.25">
      <c r="A358" t="s">
        <v>9176</v>
      </c>
      <c r="B358" t="s">
        <v>9177</v>
      </c>
      <c r="C358" t="s">
        <v>9178</v>
      </c>
      <c r="D358">
        <v>2022</v>
      </c>
      <c r="E358" t="s">
        <v>9179</v>
      </c>
      <c r="F358">
        <v>10</v>
      </c>
      <c r="I358">
        <v>65636</v>
      </c>
      <c r="J358">
        <v>65657</v>
      </c>
      <c r="M358" t="s">
        <v>9180</v>
      </c>
      <c r="N358" t="s">
        <v>9181</v>
      </c>
      <c r="O358" t="s">
        <v>9182</v>
      </c>
      <c r="P358" t="s">
        <v>9183</v>
      </c>
      <c r="Q358" t="s">
        <v>9184</v>
      </c>
      <c r="R358" t="s">
        <v>9185</v>
      </c>
      <c r="S358" t="s">
        <v>9186</v>
      </c>
      <c r="X358" t="s">
        <v>9187</v>
      </c>
      <c r="Y358" t="s">
        <v>9188</v>
      </c>
      <c r="AI358" t="s">
        <v>9189</v>
      </c>
    </row>
    <row r="359" spans="1:54" x14ac:dyDescent="0.25">
      <c r="A359" t="s">
        <v>9190</v>
      </c>
      <c r="B359" t="s">
        <v>9191</v>
      </c>
      <c r="C359" t="s">
        <v>4498</v>
      </c>
      <c r="D359">
        <v>2022</v>
      </c>
      <c r="E359" t="s">
        <v>9192</v>
      </c>
      <c r="L359">
        <v>1</v>
      </c>
      <c r="M359" t="s">
        <v>4519</v>
      </c>
      <c r="N359" t="s">
        <v>9193</v>
      </c>
      <c r="O359" t="s">
        <v>9194</v>
      </c>
      <c r="P359" t="s">
        <v>9195</v>
      </c>
      <c r="Q359" t="s">
        <v>9196</v>
      </c>
      <c r="R359" t="s">
        <v>9197</v>
      </c>
      <c r="X359" t="s">
        <v>9198</v>
      </c>
      <c r="Y359" t="s">
        <v>9199</v>
      </c>
      <c r="AI359" t="s">
        <v>9200</v>
      </c>
      <c r="AJ359" t="s">
        <v>9201</v>
      </c>
      <c r="AM359" t="s">
        <v>6292</v>
      </c>
      <c r="AR359">
        <v>19485506</v>
      </c>
      <c r="AV359" t="s">
        <v>78</v>
      </c>
      <c r="AW359" t="s">
        <v>9202</v>
      </c>
      <c r="AX359" t="s">
        <v>79</v>
      </c>
      <c r="AY359" t="s">
        <v>4694</v>
      </c>
      <c r="AZ359" t="s">
        <v>4771</v>
      </c>
      <c r="BA359" t="s">
        <v>4584</v>
      </c>
      <c r="BB359" t="s">
        <v>9203</v>
      </c>
    </row>
    <row r="360" spans="1:54" x14ac:dyDescent="0.25">
      <c r="A360" t="s">
        <v>9204</v>
      </c>
      <c r="B360" t="s">
        <v>9205</v>
      </c>
      <c r="C360" t="s">
        <v>9206</v>
      </c>
      <c r="D360">
        <v>2022</v>
      </c>
      <c r="E360" t="s">
        <v>9207</v>
      </c>
      <c r="F360">
        <v>13</v>
      </c>
      <c r="G360">
        <v>2</v>
      </c>
      <c r="I360">
        <v>171</v>
      </c>
      <c r="J360">
        <v>184</v>
      </c>
      <c r="M360" t="s">
        <v>9208</v>
      </c>
      <c r="N360" t="s">
        <v>9209</v>
      </c>
      <c r="O360" t="s">
        <v>9210</v>
      </c>
      <c r="P360" t="s">
        <v>9211</v>
      </c>
      <c r="Q360" t="s">
        <v>9212</v>
      </c>
      <c r="R360" t="s">
        <v>9213</v>
      </c>
      <c r="AI360" t="s">
        <v>9214</v>
      </c>
      <c r="AJ360" t="s">
        <v>9215</v>
      </c>
      <c r="AM360" t="s">
        <v>9216</v>
      </c>
      <c r="AR360">
        <v>25300024</v>
      </c>
      <c r="AV360" t="s">
        <v>1234</v>
      </c>
      <c r="AW360" t="s">
        <v>9217</v>
      </c>
      <c r="AX360" t="s">
        <v>79</v>
      </c>
      <c r="AY360" t="s">
        <v>4620</v>
      </c>
      <c r="AZ360" t="s">
        <v>4688</v>
      </c>
      <c r="BA360" t="s">
        <v>4584</v>
      </c>
      <c r="BB360" t="s">
        <v>9218</v>
      </c>
    </row>
    <row r="361" spans="1:54" x14ac:dyDescent="0.25">
      <c r="A361" t="s">
        <v>9219</v>
      </c>
      <c r="B361" t="s">
        <v>9220</v>
      </c>
      <c r="C361" t="s">
        <v>9221</v>
      </c>
      <c r="D361">
        <v>2022</v>
      </c>
      <c r="E361" t="s">
        <v>9207</v>
      </c>
      <c r="F361">
        <v>13</v>
      </c>
      <c r="G361">
        <v>2</v>
      </c>
      <c r="I361">
        <v>117</v>
      </c>
      <c r="J361">
        <v>134</v>
      </c>
      <c r="M361" t="s">
        <v>9222</v>
      </c>
      <c r="N361" t="s">
        <v>9223</v>
      </c>
      <c r="O361" t="s">
        <v>9224</v>
      </c>
      <c r="P361" t="s">
        <v>9225</v>
      </c>
      <c r="Q361" t="s">
        <v>9226</v>
      </c>
      <c r="R361" t="s">
        <v>9227</v>
      </c>
      <c r="AI361" t="s">
        <v>9228</v>
      </c>
      <c r="AM361" t="s">
        <v>9216</v>
      </c>
      <c r="AR361">
        <v>25300024</v>
      </c>
      <c r="AV361" t="s">
        <v>1234</v>
      </c>
      <c r="AW361" t="s">
        <v>9217</v>
      </c>
      <c r="AX361" t="s">
        <v>79</v>
      </c>
      <c r="AY361" t="s">
        <v>4620</v>
      </c>
      <c r="AZ361" t="s">
        <v>4688</v>
      </c>
      <c r="BA361" t="s">
        <v>4584</v>
      </c>
      <c r="BB361" t="s">
        <v>9229</v>
      </c>
    </row>
    <row r="362" spans="1:54" x14ac:dyDescent="0.25">
      <c r="A362" t="s">
        <v>9230</v>
      </c>
      <c r="B362" t="s">
        <v>9231</v>
      </c>
      <c r="C362" t="s">
        <v>9232</v>
      </c>
      <c r="D362">
        <v>2022</v>
      </c>
      <c r="E362" t="s">
        <v>9233</v>
      </c>
      <c r="F362">
        <v>38</v>
      </c>
      <c r="G362">
        <v>1</v>
      </c>
      <c r="I362">
        <v>299</v>
      </c>
      <c r="J362">
        <v>326</v>
      </c>
      <c r="M362" t="s">
        <v>9234</v>
      </c>
      <c r="N362" t="s">
        <v>9235</v>
      </c>
      <c r="O362" t="s">
        <v>9236</v>
      </c>
      <c r="P362" t="s">
        <v>9237</v>
      </c>
      <c r="Q362" t="s">
        <v>9238</v>
      </c>
      <c r="R362" t="s">
        <v>9239</v>
      </c>
      <c r="AI362" t="s">
        <v>9240</v>
      </c>
      <c r="AJ362" t="s">
        <v>9241</v>
      </c>
      <c r="AM362" t="s">
        <v>9242</v>
      </c>
      <c r="AR362">
        <v>1205552</v>
      </c>
      <c r="AV362" t="s">
        <v>1234</v>
      </c>
      <c r="AW362" t="s">
        <v>9233</v>
      </c>
      <c r="AX362" t="s">
        <v>79</v>
      </c>
      <c r="AY362" t="s">
        <v>4620</v>
      </c>
      <c r="AZ362" t="s">
        <v>4672</v>
      </c>
      <c r="BA362" t="s">
        <v>4584</v>
      </c>
      <c r="BB362" t="s">
        <v>9243</v>
      </c>
    </row>
    <row r="363" spans="1:54" x14ac:dyDescent="0.25">
      <c r="A363" t="s">
        <v>9244</v>
      </c>
      <c r="B363" t="s">
        <v>9245</v>
      </c>
      <c r="C363" t="s">
        <v>9246</v>
      </c>
      <c r="D363">
        <v>2022</v>
      </c>
      <c r="E363" t="s">
        <v>9247</v>
      </c>
      <c r="F363">
        <v>28</v>
      </c>
      <c r="I363">
        <v>113</v>
      </c>
      <c r="J363">
        <v>129</v>
      </c>
      <c r="M363" t="s">
        <v>9248</v>
      </c>
      <c r="N363" t="s">
        <v>9249</v>
      </c>
      <c r="O363" t="s">
        <v>8505</v>
      </c>
      <c r="P363" t="s">
        <v>9250</v>
      </c>
      <c r="Q363" t="s">
        <v>9251</v>
      </c>
      <c r="R363" t="s">
        <v>9252</v>
      </c>
      <c r="AI363" t="s">
        <v>9253</v>
      </c>
      <c r="AJ363" t="s">
        <v>9254</v>
      </c>
      <c r="AM363" t="s">
        <v>9255</v>
      </c>
      <c r="AR363">
        <v>23868635</v>
      </c>
      <c r="AV363" t="s">
        <v>1234</v>
      </c>
      <c r="AW363" t="s">
        <v>9256</v>
      </c>
      <c r="AX363" t="s">
        <v>79</v>
      </c>
      <c r="AY363" t="s">
        <v>4620</v>
      </c>
      <c r="AZ363" t="s">
        <v>4688</v>
      </c>
      <c r="BA363" t="s">
        <v>4584</v>
      </c>
      <c r="BB363" t="s">
        <v>9257</v>
      </c>
    </row>
    <row r="364" spans="1:54" x14ac:dyDescent="0.25">
      <c r="A364" t="s">
        <v>9258</v>
      </c>
      <c r="B364" t="s">
        <v>9259</v>
      </c>
      <c r="C364" t="s">
        <v>9260</v>
      </c>
      <c r="D364">
        <v>2022</v>
      </c>
      <c r="E364" t="s">
        <v>8252</v>
      </c>
      <c r="F364">
        <v>20</v>
      </c>
      <c r="G364">
        <v>1</v>
      </c>
      <c r="I364">
        <v>17</v>
      </c>
      <c r="J364">
        <v>23</v>
      </c>
      <c r="M364" t="s">
        <v>4616</v>
      </c>
      <c r="N364" t="s">
        <v>9261</v>
      </c>
      <c r="O364" t="s">
        <v>9262</v>
      </c>
      <c r="P364" t="s">
        <v>9263</v>
      </c>
      <c r="Q364" t="s">
        <v>9264</v>
      </c>
      <c r="R364" t="s">
        <v>9265</v>
      </c>
      <c r="X364" t="s">
        <v>4690</v>
      </c>
      <c r="Y364" t="s">
        <v>9266</v>
      </c>
      <c r="AI364" t="s">
        <v>9267</v>
      </c>
      <c r="AJ364" t="s">
        <v>9268</v>
      </c>
    </row>
    <row r="365" spans="1:54" x14ac:dyDescent="0.25">
      <c r="A365" t="s">
        <v>4606</v>
      </c>
      <c r="B365" t="s">
        <v>10763</v>
      </c>
      <c r="C365" t="s">
        <v>10764</v>
      </c>
      <c r="D365" t="s">
        <v>10699</v>
      </c>
      <c r="E365" t="s">
        <v>10765</v>
      </c>
      <c r="H365" t="s">
        <v>5955</v>
      </c>
      <c r="M365">
        <v>16656423</v>
      </c>
      <c r="Q365" t="s">
        <v>78</v>
      </c>
      <c r="R365" t="s">
        <v>8262</v>
      </c>
      <c r="S365" t="s">
        <v>79</v>
      </c>
      <c r="T365" t="s">
        <v>4620</v>
      </c>
      <c r="U365" t="s">
        <v>4672</v>
      </c>
      <c r="V365" t="s">
        <v>4584</v>
      </c>
      <c r="W365" t="s">
        <v>9269</v>
      </c>
    </row>
    <row r="366" spans="1:54" x14ac:dyDescent="0.25">
      <c r="A366" t="s">
        <v>9270</v>
      </c>
      <c r="B366" t="s">
        <v>9271</v>
      </c>
      <c r="C366" t="s">
        <v>3772</v>
      </c>
      <c r="D366">
        <v>2022</v>
      </c>
      <c r="E366" t="s">
        <v>9272</v>
      </c>
      <c r="L366">
        <v>1</v>
      </c>
      <c r="M366" t="s">
        <v>3790</v>
      </c>
      <c r="N366" t="s">
        <v>9273</v>
      </c>
      <c r="O366" t="s">
        <v>9274</v>
      </c>
      <c r="P366" t="s">
        <v>9275</v>
      </c>
      <c r="Q366" t="s">
        <v>9276</v>
      </c>
      <c r="R366" t="s">
        <v>3774</v>
      </c>
      <c r="Y366" t="s">
        <v>9277</v>
      </c>
      <c r="AI366" t="s">
        <v>9278</v>
      </c>
      <c r="AJ366" t="s">
        <v>9279</v>
      </c>
      <c r="AM366" t="s">
        <v>4592</v>
      </c>
      <c r="AR366">
        <v>13602357</v>
      </c>
      <c r="AV366" t="s">
        <v>78</v>
      </c>
      <c r="AW366" t="s">
        <v>3789</v>
      </c>
      <c r="AX366" t="s">
        <v>79</v>
      </c>
      <c r="AY366" t="s">
        <v>4694</v>
      </c>
      <c r="BA366" t="s">
        <v>4584</v>
      </c>
      <c r="BB366" t="s">
        <v>9280</v>
      </c>
    </row>
    <row r="367" spans="1:54" x14ac:dyDescent="0.25">
      <c r="A367" t="s">
        <v>9281</v>
      </c>
      <c r="B367" t="s">
        <v>9282</v>
      </c>
      <c r="C367" t="s">
        <v>9283</v>
      </c>
      <c r="D367">
        <v>2022</v>
      </c>
      <c r="E367" t="s">
        <v>9284</v>
      </c>
      <c r="F367">
        <v>26</v>
      </c>
      <c r="G367">
        <v>1</v>
      </c>
      <c r="I367">
        <v>203</v>
      </c>
      <c r="J367">
        <v>214</v>
      </c>
      <c r="M367" t="s">
        <v>4599</v>
      </c>
      <c r="N367" t="s">
        <v>9285</v>
      </c>
      <c r="O367" t="s">
        <v>9286</v>
      </c>
      <c r="P367" t="s">
        <v>9287</v>
      </c>
      <c r="Q367" t="s">
        <v>9288</v>
      </c>
      <c r="R367" t="s">
        <v>9289</v>
      </c>
      <c r="AI367" t="s">
        <v>9290</v>
      </c>
      <c r="AJ367" t="s">
        <v>9291</v>
      </c>
      <c r="AM367" t="s">
        <v>5784</v>
      </c>
      <c r="AR367">
        <v>1233068</v>
      </c>
      <c r="AV367" t="s">
        <v>1234</v>
      </c>
      <c r="AW367" t="s">
        <v>9292</v>
      </c>
      <c r="AX367" t="s">
        <v>79</v>
      </c>
      <c r="AY367" t="s">
        <v>4620</v>
      </c>
      <c r="BA367" t="s">
        <v>4584</v>
      </c>
      <c r="BB367" t="s">
        <v>9293</v>
      </c>
    </row>
    <row r="368" spans="1:54" x14ac:dyDescent="0.25">
      <c r="A368" t="s">
        <v>9294</v>
      </c>
      <c r="B368" t="s">
        <v>9295</v>
      </c>
      <c r="C368" t="s">
        <v>9296</v>
      </c>
      <c r="D368">
        <v>2022</v>
      </c>
      <c r="E368" t="s">
        <v>9297</v>
      </c>
      <c r="F368">
        <v>19</v>
      </c>
      <c r="G368">
        <v>1</v>
      </c>
      <c r="I368">
        <v>52</v>
      </c>
      <c r="J368">
        <v>66</v>
      </c>
      <c r="M368" t="s">
        <v>9298</v>
      </c>
      <c r="N368" t="s">
        <v>9299</v>
      </c>
      <c r="O368" t="s">
        <v>9300</v>
      </c>
      <c r="P368" t="s">
        <v>9301</v>
      </c>
      <c r="Q368" t="s">
        <v>9302</v>
      </c>
      <c r="R368" t="s">
        <v>9303</v>
      </c>
      <c r="AI368" t="s">
        <v>9304</v>
      </c>
      <c r="AJ368" t="s">
        <v>9305</v>
      </c>
      <c r="AM368" t="s">
        <v>9306</v>
      </c>
      <c r="AR368">
        <v>17944449</v>
      </c>
      <c r="AV368" t="s">
        <v>1234</v>
      </c>
      <c r="AW368" t="s">
        <v>9307</v>
      </c>
      <c r="AX368" t="s">
        <v>79</v>
      </c>
      <c r="AY368" t="s">
        <v>4620</v>
      </c>
      <c r="AZ368" t="s">
        <v>4672</v>
      </c>
      <c r="BA368" t="s">
        <v>4584</v>
      </c>
      <c r="BB368" t="s">
        <v>9308</v>
      </c>
    </row>
    <row r="369" spans="1:54" x14ac:dyDescent="0.25">
      <c r="A369" t="s">
        <v>9309</v>
      </c>
      <c r="B369" t="s">
        <v>9310</v>
      </c>
      <c r="C369" t="s">
        <v>9311</v>
      </c>
      <c r="D369">
        <v>2022</v>
      </c>
      <c r="E369" t="s">
        <v>9312</v>
      </c>
      <c r="F369">
        <v>27</v>
      </c>
      <c r="G369">
        <v>2</v>
      </c>
      <c r="I369">
        <v>164</v>
      </c>
      <c r="J369">
        <v>176</v>
      </c>
      <c r="L369">
        <v>1</v>
      </c>
      <c r="M369" t="s">
        <v>9313</v>
      </c>
      <c r="N369" t="s">
        <v>9314</v>
      </c>
      <c r="O369" t="s">
        <v>9315</v>
      </c>
      <c r="P369" t="s">
        <v>9316</v>
      </c>
      <c r="Q369" t="s">
        <v>9317</v>
      </c>
      <c r="R369" t="s">
        <v>1628</v>
      </c>
      <c r="Y369" t="s">
        <v>9318</v>
      </c>
      <c r="AI369" t="s">
        <v>9319</v>
      </c>
      <c r="AJ369" t="s">
        <v>9320</v>
      </c>
      <c r="AM369" t="s">
        <v>5356</v>
      </c>
      <c r="AR369" t="s">
        <v>9321</v>
      </c>
      <c r="AV369" t="s">
        <v>1234</v>
      </c>
      <c r="AW369" t="s">
        <v>1639</v>
      </c>
      <c r="AX369" t="s">
        <v>79</v>
      </c>
      <c r="AY369" t="s">
        <v>4620</v>
      </c>
      <c r="AZ369" t="s">
        <v>4672</v>
      </c>
      <c r="BA369" t="s">
        <v>4584</v>
      </c>
      <c r="BB369" t="s">
        <v>9322</v>
      </c>
    </row>
    <row r="370" spans="1:54" x14ac:dyDescent="0.25">
      <c r="A370" t="s">
        <v>9323</v>
      </c>
      <c r="B370" t="s">
        <v>9324</v>
      </c>
      <c r="C370" t="s">
        <v>9325</v>
      </c>
      <c r="D370">
        <v>2022</v>
      </c>
      <c r="E370" t="s">
        <v>9312</v>
      </c>
      <c r="F370">
        <v>27</v>
      </c>
      <c r="G370">
        <v>2</v>
      </c>
      <c r="I370">
        <v>282</v>
      </c>
      <c r="J370">
        <v>291</v>
      </c>
      <c r="M370" t="s">
        <v>9326</v>
      </c>
      <c r="N370" t="s">
        <v>9327</v>
      </c>
      <c r="O370" t="s">
        <v>9328</v>
      </c>
      <c r="P370" t="s">
        <v>9329</v>
      </c>
      <c r="Q370" t="s">
        <v>9330</v>
      </c>
      <c r="R370" t="s">
        <v>1738</v>
      </c>
      <c r="X370" t="s">
        <v>9331</v>
      </c>
      <c r="Y370" t="s">
        <v>9332</v>
      </c>
      <c r="AI370" t="s">
        <v>9333</v>
      </c>
      <c r="AJ370" t="s">
        <v>9334</v>
      </c>
      <c r="AM370" t="s">
        <v>5356</v>
      </c>
      <c r="AR370" t="s">
        <v>9321</v>
      </c>
      <c r="AV370" t="s">
        <v>1234</v>
      </c>
      <c r="AW370" t="s">
        <v>1639</v>
      </c>
      <c r="AX370" t="s">
        <v>79</v>
      </c>
      <c r="AY370" t="s">
        <v>4620</v>
      </c>
      <c r="AZ370" t="s">
        <v>4672</v>
      </c>
      <c r="BA370" t="s">
        <v>4584</v>
      </c>
      <c r="BB370" t="s">
        <v>9335</v>
      </c>
    </row>
    <row r="371" spans="1:54" x14ac:dyDescent="0.25">
      <c r="A371" t="s">
        <v>9336</v>
      </c>
      <c r="B371" t="s">
        <v>9337</v>
      </c>
      <c r="C371" t="s">
        <v>9338</v>
      </c>
      <c r="D371">
        <v>2022</v>
      </c>
      <c r="E371" t="s">
        <v>9339</v>
      </c>
      <c r="G371">
        <v>37</v>
      </c>
      <c r="I371">
        <v>51</v>
      </c>
      <c r="J371">
        <v>75</v>
      </c>
      <c r="M371" t="s">
        <v>9340</v>
      </c>
      <c r="N371" t="s">
        <v>9341</v>
      </c>
      <c r="O371" t="s">
        <v>9342</v>
      </c>
      <c r="P371" t="s">
        <v>9343</v>
      </c>
      <c r="Q371" t="s">
        <v>9344</v>
      </c>
      <c r="R371" t="s">
        <v>9345</v>
      </c>
      <c r="AI371" t="s">
        <v>9346</v>
      </c>
      <c r="AM371" t="s">
        <v>9347</v>
      </c>
      <c r="AR371">
        <v>10259945</v>
      </c>
      <c r="AV371" t="s">
        <v>1234</v>
      </c>
      <c r="AW371" t="s">
        <v>9348</v>
      </c>
      <c r="AX371" t="s">
        <v>79</v>
      </c>
      <c r="AY371" t="s">
        <v>4620</v>
      </c>
      <c r="AZ371" t="s">
        <v>4672</v>
      </c>
      <c r="BA371" t="s">
        <v>4584</v>
      </c>
      <c r="BB371" t="s">
        <v>9349</v>
      </c>
    </row>
    <row r="372" spans="1:54" x14ac:dyDescent="0.25">
      <c r="A372" t="s">
        <v>9350</v>
      </c>
      <c r="B372" t="s">
        <v>9351</v>
      </c>
      <c r="C372" t="s">
        <v>2373</v>
      </c>
      <c r="D372">
        <v>2022</v>
      </c>
      <c r="E372" t="s">
        <v>9352</v>
      </c>
      <c r="M372" t="s">
        <v>2394</v>
      </c>
      <c r="N372" t="s">
        <v>9353</v>
      </c>
      <c r="O372" t="s">
        <v>9354</v>
      </c>
      <c r="P372" t="s">
        <v>9355</v>
      </c>
      <c r="Q372" t="s">
        <v>9356</v>
      </c>
      <c r="R372" t="s">
        <v>9357</v>
      </c>
      <c r="AI372" t="s">
        <v>9358</v>
      </c>
      <c r="AJ372" t="s">
        <v>9359</v>
      </c>
      <c r="AM372" t="s">
        <v>4693</v>
      </c>
      <c r="AR372">
        <v>2508281</v>
      </c>
      <c r="AV372" t="s">
        <v>78</v>
      </c>
      <c r="AW372" t="s">
        <v>2393</v>
      </c>
      <c r="AX372" t="s">
        <v>79</v>
      </c>
      <c r="AY372" t="s">
        <v>4694</v>
      </c>
      <c r="BA372" t="s">
        <v>4584</v>
      </c>
      <c r="BB372" t="s">
        <v>9360</v>
      </c>
    </row>
    <row r="373" spans="1:54" x14ac:dyDescent="0.25">
      <c r="A373" t="s">
        <v>9361</v>
      </c>
      <c r="B373" t="s">
        <v>9362</v>
      </c>
      <c r="C373" t="s">
        <v>9363</v>
      </c>
      <c r="D373">
        <v>2022</v>
      </c>
      <c r="E373" t="s">
        <v>8843</v>
      </c>
      <c r="F373">
        <v>70</v>
      </c>
      <c r="G373">
        <v>1</v>
      </c>
      <c r="I373">
        <v>132</v>
      </c>
      <c r="J373">
        <v>148</v>
      </c>
      <c r="M373" t="s">
        <v>3845</v>
      </c>
      <c r="N373" t="s">
        <v>9364</v>
      </c>
      <c r="O373" t="s">
        <v>9365</v>
      </c>
      <c r="P373" t="s">
        <v>9366</v>
      </c>
      <c r="Q373" t="s">
        <v>9367</v>
      </c>
      <c r="R373" t="s">
        <v>9368</v>
      </c>
      <c r="X373" t="s">
        <v>4634</v>
      </c>
      <c r="Y373" t="s">
        <v>9369</v>
      </c>
      <c r="AI373" t="s">
        <v>9370</v>
      </c>
      <c r="AJ373" t="s">
        <v>9371</v>
      </c>
      <c r="AM373" t="s">
        <v>5451</v>
      </c>
      <c r="AR373">
        <v>347744</v>
      </c>
      <c r="AV373" t="s">
        <v>78</v>
      </c>
      <c r="AW373" t="s">
        <v>659</v>
      </c>
      <c r="AX373" t="s">
        <v>79</v>
      </c>
      <c r="AY373" t="s">
        <v>4620</v>
      </c>
      <c r="AZ373" t="s">
        <v>4672</v>
      </c>
      <c r="BA373" t="s">
        <v>4584</v>
      </c>
      <c r="BB373" t="s">
        <v>9372</v>
      </c>
    </row>
    <row r="374" spans="1:54" x14ac:dyDescent="0.25">
      <c r="A374" t="s">
        <v>9373</v>
      </c>
      <c r="B374" t="s">
        <v>9374</v>
      </c>
      <c r="C374" t="s">
        <v>9375</v>
      </c>
      <c r="D374">
        <v>2022</v>
      </c>
      <c r="E374" t="s">
        <v>8252</v>
      </c>
      <c r="F374">
        <v>20</v>
      </c>
      <c r="G374">
        <v>1</v>
      </c>
      <c r="I374">
        <v>24</v>
      </c>
      <c r="J374">
        <v>36</v>
      </c>
      <c r="M374" t="s">
        <v>4613</v>
      </c>
      <c r="N374" t="s">
        <v>9376</v>
      </c>
      <c r="O374" t="s">
        <v>9377</v>
      </c>
      <c r="P374" t="s">
        <v>9378</v>
      </c>
      <c r="Q374" t="s">
        <v>9379</v>
      </c>
      <c r="R374" t="s">
        <v>9380</v>
      </c>
      <c r="X374" t="s">
        <v>9381</v>
      </c>
      <c r="Y374" t="s">
        <v>9382</v>
      </c>
      <c r="AI374" t="s">
        <v>9383</v>
      </c>
      <c r="AJ374" t="s">
        <v>9384</v>
      </c>
    </row>
    <row r="375" spans="1:54" x14ac:dyDescent="0.25">
      <c r="A375" t="s">
        <v>4606</v>
      </c>
      <c r="B375" t="s">
        <v>10763</v>
      </c>
      <c r="C375" t="s">
        <v>10699</v>
      </c>
      <c r="D375" t="s">
        <v>10765</v>
      </c>
      <c r="G375" t="s">
        <v>5955</v>
      </c>
      <c r="L375">
        <v>16656423</v>
      </c>
      <c r="P375" t="s">
        <v>78</v>
      </c>
      <c r="Q375" t="s">
        <v>8262</v>
      </c>
      <c r="R375" t="s">
        <v>79</v>
      </c>
      <c r="S375" t="s">
        <v>4620</v>
      </c>
      <c r="T375" t="s">
        <v>4672</v>
      </c>
      <c r="U375" t="s">
        <v>4584</v>
      </c>
      <c r="V375" t="s">
        <v>9385</v>
      </c>
    </row>
    <row r="376" spans="1:54" x14ac:dyDescent="0.25">
      <c r="A376" t="s">
        <v>9386</v>
      </c>
      <c r="B376" t="s">
        <v>9387</v>
      </c>
      <c r="C376" t="s">
        <v>9388</v>
      </c>
      <c r="D376">
        <v>2022</v>
      </c>
      <c r="E376" t="s">
        <v>8252</v>
      </c>
      <c r="F376">
        <v>20</v>
      </c>
      <c r="G376">
        <v>1</v>
      </c>
      <c r="I376">
        <v>84</v>
      </c>
      <c r="J376">
        <v>91</v>
      </c>
      <c r="M376" t="s">
        <v>4610</v>
      </c>
      <c r="N376" t="s">
        <v>9389</v>
      </c>
      <c r="O376" t="s">
        <v>9390</v>
      </c>
      <c r="P376" t="s">
        <v>9391</v>
      </c>
      <c r="Q376" t="s">
        <v>9392</v>
      </c>
      <c r="R376" t="s">
        <v>9393</v>
      </c>
      <c r="Y376" t="s">
        <v>9394</v>
      </c>
      <c r="AI376" t="s">
        <v>9395</v>
      </c>
      <c r="AJ376" t="s">
        <v>9396</v>
      </c>
      <c r="AM376" t="s">
        <v>5955</v>
      </c>
      <c r="AR376">
        <v>16656423</v>
      </c>
      <c r="AV376" t="s">
        <v>78</v>
      </c>
      <c r="AW376" t="s">
        <v>8262</v>
      </c>
      <c r="AX376" t="s">
        <v>79</v>
      </c>
      <c r="AY376" t="s">
        <v>4620</v>
      </c>
      <c r="AZ376" t="s">
        <v>4672</v>
      </c>
      <c r="BA376" t="s">
        <v>4584</v>
      </c>
      <c r="BB376" t="s">
        <v>9397</v>
      </c>
    </row>
    <row r="377" spans="1:54" x14ac:dyDescent="0.25">
      <c r="A377" t="s">
        <v>9398</v>
      </c>
      <c r="B377" t="s">
        <v>9399</v>
      </c>
      <c r="C377" t="s">
        <v>9400</v>
      </c>
      <c r="D377">
        <v>2022</v>
      </c>
      <c r="E377" t="s">
        <v>9401</v>
      </c>
      <c r="F377">
        <v>33</v>
      </c>
      <c r="G377">
        <v>2</v>
      </c>
      <c r="I377">
        <v>259</v>
      </c>
      <c r="J377">
        <v>267</v>
      </c>
      <c r="M377" t="s">
        <v>9402</v>
      </c>
      <c r="N377" t="s">
        <v>9403</v>
      </c>
      <c r="O377" t="s">
        <v>9404</v>
      </c>
      <c r="P377" t="s">
        <v>9405</v>
      </c>
      <c r="Q377" t="s">
        <v>9406</v>
      </c>
      <c r="R377" t="s">
        <v>9407</v>
      </c>
      <c r="AI377" t="s">
        <v>9408</v>
      </c>
      <c r="AJ377" t="s">
        <v>9409</v>
      </c>
      <c r="AM377" t="s">
        <v>8123</v>
      </c>
      <c r="AR377">
        <v>11302496</v>
      </c>
      <c r="AV377" t="s">
        <v>1234</v>
      </c>
      <c r="AW377" t="s">
        <v>9410</v>
      </c>
      <c r="AX377" t="s">
        <v>79</v>
      </c>
      <c r="AY377" t="s">
        <v>4620</v>
      </c>
      <c r="AZ377" t="s">
        <v>4672</v>
      </c>
      <c r="BA377" t="s">
        <v>4584</v>
      </c>
      <c r="BB377" t="s">
        <v>9411</v>
      </c>
    </row>
    <row r="378" spans="1:54" x14ac:dyDescent="0.25">
      <c r="A378" t="s">
        <v>9412</v>
      </c>
      <c r="B378" t="s">
        <v>9413</v>
      </c>
      <c r="C378" t="s">
        <v>9414</v>
      </c>
      <c r="D378">
        <v>2022</v>
      </c>
      <c r="E378" t="s">
        <v>9233</v>
      </c>
      <c r="F378">
        <v>38</v>
      </c>
      <c r="G378">
        <v>1</v>
      </c>
      <c r="I378">
        <v>35</v>
      </c>
      <c r="J378">
        <v>50</v>
      </c>
      <c r="M378" t="s">
        <v>9415</v>
      </c>
      <c r="N378" t="s">
        <v>9416</v>
      </c>
      <c r="O378" t="s">
        <v>9417</v>
      </c>
      <c r="P378" t="s">
        <v>9418</v>
      </c>
      <c r="Q378" t="s">
        <v>9419</v>
      </c>
      <c r="R378" t="s">
        <v>9420</v>
      </c>
      <c r="AI378" t="s">
        <v>9421</v>
      </c>
      <c r="AJ378" t="s">
        <v>9422</v>
      </c>
      <c r="AM378" t="s">
        <v>9242</v>
      </c>
      <c r="AR378">
        <v>1205552</v>
      </c>
      <c r="AV378" t="s">
        <v>1234</v>
      </c>
      <c r="AW378" t="s">
        <v>9233</v>
      </c>
      <c r="AX378" t="s">
        <v>79</v>
      </c>
      <c r="AY378" t="s">
        <v>4620</v>
      </c>
      <c r="AZ378" t="s">
        <v>4672</v>
      </c>
      <c r="BA378" t="s">
        <v>4584</v>
      </c>
      <c r="BB378" t="s">
        <v>9423</v>
      </c>
    </row>
    <row r="379" spans="1:54" x14ac:dyDescent="0.25">
      <c r="A379" t="s">
        <v>9424</v>
      </c>
      <c r="B379" t="s">
        <v>9425</v>
      </c>
      <c r="C379" t="s">
        <v>9426</v>
      </c>
      <c r="D379">
        <v>2022</v>
      </c>
      <c r="E379" t="s">
        <v>5909</v>
      </c>
      <c r="F379">
        <v>25</v>
      </c>
      <c r="G379">
        <v>1</v>
      </c>
      <c r="H379" t="s">
        <v>4604</v>
      </c>
      <c r="M379" t="s">
        <v>4605</v>
      </c>
      <c r="N379" t="s">
        <v>9427</v>
      </c>
      <c r="O379" t="s">
        <v>9428</v>
      </c>
      <c r="P379" t="s">
        <v>9429</v>
      </c>
      <c r="Q379" t="s">
        <v>9430</v>
      </c>
      <c r="R379" t="s">
        <v>9431</v>
      </c>
      <c r="AI379" t="s">
        <v>9432</v>
      </c>
      <c r="AJ379" t="s">
        <v>8688</v>
      </c>
      <c r="AM379" t="s">
        <v>5919</v>
      </c>
      <c r="AR379">
        <v>1234226</v>
      </c>
      <c r="AV379" t="s">
        <v>78</v>
      </c>
      <c r="AW379" t="s">
        <v>5920</v>
      </c>
      <c r="AX379" t="s">
        <v>79</v>
      </c>
      <c r="AY379" t="s">
        <v>4620</v>
      </c>
      <c r="AZ379" t="s">
        <v>4672</v>
      </c>
      <c r="BA379" t="s">
        <v>4584</v>
      </c>
      <c r="BB379" t="s">
        <v>9433</v>
      </c>
    </row>
    <row r="380" spans="1:54" x14ac:dyDescent="0.25">
      <c r="A380" t="s">
        <v>9434</v>
      </c>
      <c r="B380" t="s">
        <v>9435</v>
      </c>
      <c r="C380" t="s">
        <v>9436</v>
      </c>
      <c r="D380">
        <v>2022</v>
      </c>
      <c r="E380" t="s">
        <v>8942</v>
      </c>
      <c r="F380">
        <v>30</v>
      </c>
      <c r="G380">
        <v>8</v>
      </c>
      <c r="I380">
        <v>3087</v>
      </c>
      <c r="J380">
        <v>3110</v>
      </c>
      <c r="L380">
        <v>1</v>
      </c>
      <c r="M380" t="s">
        <v>9437</v>
      </c>
      <c r="N380" t="s">
        <v>9438</v>
      </c>
      <c r="O380" t="s">
        <v>9439</v>
      </c>
      <c r="P380" t="s">
        <v>9440</v>
      </c>
      <c r="Q380" t="s">
        <v>9441</v>
      </c>
      <c r="R380" t="s">
        <v>9442</v>
      </c>
      <c r="X380" t="s">
        <v>5392</v>
      </c>
      <c r="Y380" t="s">
        <v>9443</v>
      </c>
      <c r="AI380" t="s">
        <v>9444</v>
      </c>
      <c r="AJ380" t="s">
        <v>9445</v>
      </c>
      <c r="AM380" t="s">
        <v>8951</v>
      </c>
      <c r="AR380">
        <v>26881594</v>
      </c>
      <c r="AV380" t="s">
        <v>78</v>
      </c>
      <c r="AW380" t="s">
        <v>2611</v>
      </c>
      <c r="AX380" t="s">
        <v>79</v>
      </c>
      <c r="AY380" t="s">
        <v>4620</v>
      </c>
      <c r="AZ380" t="s">
        <v>4672</v>
      </c>
      <c r="BA380" t="s">
        <v>4584</v>
      </c>
      <c r="BB380" t="s">
        <v>9446</v>
      </c>
    </row>
    <row r="381" spans="1:54" x14ac:dyDescent="0.25">
      <c r="A381" t="s">
        <v>9447</v>
      </c>
      <c r="B381" t="s">
        <v>9448</v>
      </c>
      <c r="C381" t="s">
        <v>9449</v>
      </c>
      <c r="D381">
        <v>2022</v>
      </c>
      <c r="E381" t="s">
        <v>9450</v>
      </c>
      <c r="F381">
        <v>2022</v>
      </c>
      <c r="H381">
        <v>5433623</v>
      </c>
      <c r="M381" t="s">
        <v>9451</v>
      </c>
      <c r="N381" t="s">
        <v>9452</v>
      </c>
      <c r="O381" t="s">
        <v>9453</v>
      </c>
      <c r="P381" t="s">
        <v>9454</v>
      </c>
      <c r="Q381" t="s">
        <v>9455</v>
      </c>
      <c r="S381" t="s">
        <v>9456</v>
      </c>
      <c r="AI381" t="s">
        <v>9457</v>
      </c>
      <c r="AJ381" t="s">
        <v>9458</v>
      </c>
      <c r="AM381" t="s">
        <v>8994</v>
      </c>
      <c r="AR381">
        <v>1976729</v>
      </c>
      <c r="AT381" t="s">
        <v>9459</v>
      </c>
      <c r="AV381" t="s">
        <v>78</v>
      </c>
      <c r="AW381" t="s">
        <v>9460</v>
      </c>
      <c r="AX381" t="s">
        <v>79</v>
      </c>
      <c r="AY381" t="s">
        <v>4620</v>
      </c>
      <c r="AZ381" t="s">
        <v>4672</v>
      </c>
      <c r="BA381" t="s">
        <v>4584</v>
      </c>
      <c r="BB381" t="s">
        <v>9461</v>
      </c>
    </row>
    <row r="382" spans="1:54" x14ac:dyDescent="0.25">
      <c r="A382" t="s">
        <v>9462</v>
      </c>
      <c r="B382" t="s">
        <v>9463</v>
      </c>
      <c r="C382" t="s">
        <v>9464</v>
      </c>
      <c r="D382">
        <v>2022</v>
      </c>
      <c r="E382" t="s">
        <v>9465</v>
      </c>
      <c r="F382">
        <v>39</v>
      </c>
      <c r="G382">
        <v>2</v>
      </c>
      <c r="H382" t="s">
        <v>9466</v>
      </c>
      <c r="M382" t="s">
        <v>9467</v>
      </c>
      <c r="N382" t="s">
        <v>9468</v>
      </c>
      <c r="O382" t="s">
        <v>9469</v>
      </c>
      <c r="P382" t="s">
        <v>9470</v>
      </c>
      <c r="Q382" t="s">
        <v>9471</v>
      </c>
      <c r="R382" t="s">
        <v>9472</v>
      </c>
      <c r="Y382" t="s">
        <v>9473</v>
      </c>
      <c r="AI382" t="s">
        <v>9474</v>
      </c>
      <c r="AJ382" t="s">
        <v>9475</v>
      </c>
      <c r="AM382" t="s">
        <v>4670</v>
      </c>
      <c r="AR382">
        <v>3787818</v>
      </c>
      <c r="AV382" t="s">
        <v>78</v>
      </c>
      <c r="AW382" t="s">
        <v>9476</v>
      </c>
      <c r="AX382" t="s">
        <v>79</v>
      </c>
      <c r="AY382" t="s">
        <v>4620</v>
      </c>
      <c r="AZ382" t="s">
        <v>4768</v>
      </c>
      <c r="BA382" t="s">
        <v>4584</v>
      </c>
      <c r="BB382" t="s">
        <v>9477</v>
      </c>
    </row>
    <row r="383" spans="1:54" x14ac:dyDescent="0.25">
      <c r="A383" t="s">
        <v>9478</v>
      </c>
      <c r="B383" t="s">
        <v>9479</v>
      </c>
      <c r="C383" t="s">
        <v>9480</v>
      </c>
      <c r="D383">
        <v>2022</v>
      </c>
      <c r="E383" t="s">
        <v>9481</v>
      </c>
      <c r="F383">
        <v>12</v>
      </c>
      <c r="G383">
        <v>1</v>
      </c>
      <c r="I383">
        <v>195</v>
      </c>
      <c r="J383">
        <v>211</v>
      </c>
      <c r="M383" t="s">
        <v>9482</v>
      </c>
      <c r="N383" t="s">
        <v>9483</v>
      </c>
      <c r="O383" t="s">
        <v>9484</v>
      </c>
      <c r="P383" t="s">
        <v>9485</v>
      </c>
      <c r="Q383" t="s">
        <v>9486</v>
      </c>
      <c r="R383" t="s">
        <v>9487</v>
      </c>
      <c r="AI383" t="s">
        <v>9488</v>
      </c>
      <c r="AJ383" t="s">
        <v>9489</v>
      </c>
      <c r="AM383" t="s">
        <v>9490</v>
      </c>
      <c r="AR383">
        <v>21548633</v>
      </c>
      <c r="AV383" t="s">
        <v>78</v>
      </c>
      <c r="AW383" t="s">
        <v>9491</v>
      </c>
      <c r="AX383" t="s">
        <v>79</v>
      </c>
      <c r="AY383" t="s">
        <v>4620</v>
      </c>
      <c r="BA383" t="s">
        <v>4584</v>
      </c>
      <c r="BB383" t="s">
        <v>9492</v>
      </c>
    </row>
    <row r="384" spans="1:54" x14ac:dyDescent="0.25">
      <c r="A384" t="s">
        <v>9493</v>
      </c>
      <c r="B384" t="s">
        <v>9494</v>
      </c>
      <c r="C384" t="s">
        <v>9495</v>
      </c>
      <c r="D384">
        <v>2022</v>
      </c>
      <c r="E384" t="s">
        <v>9496</v>
      </c>
      <c r="F384">
        <v>2022</v>
      </c>
      <c r="H384">
        <v>5891265</v>
      </c>
      <c r="M384" t="s">
        <v>9497</v>
      </c>
      <c r="N384" t="s">
        <v>9498</v>
      </c>
      <c r="O384" t="s">
        <v>9499</v>
      </c>
      <c r="P384" t="s">
        <v>9500</v>
      </c>
      <c r="Q384" t="s">
        <v>9501</v>
      </c>
      <c r="S384" t="s">
        <v>4574</v>
      </c>
      <c r="AI384" t="s">
        <v>9502</v>
      </c>
      <c r="AJ384" t="s">
        <v>9503</v>
      </c>
      <c r="AM384" t="s">
        <v>8994</v>
      </c>
      <c r="AR384">
        <v>23566140</v>
      </c>
      <c r="AU384">
        <v>35668869</v>
      </c>
      <c r="AV384" t="s">
        <v>78</v>
      </c>
      <c r="AW384" t="s">
        <v>9504</v>
      </c>
      <c r="AX384" t="s">
        <v>79</v>
      </c>
      <c r="AY384" t="s">
        <v>4620</v>
      </c>
      <c r="AZ384" t="s">
        <v>4688</v>
      </c>
      <c r="BA384" t="s">
        <v>4584</v>
      </c>
      <c r="BB384" t="s">
        <v>9505</v>
      </c>
    </row>
    <row r="385" spans="1:54" x14ac:dyDescent="0.25">
      <c r="A385" t="s">
        <v>9506</v>
      </c>
      <c r="B385" t="s">
        <v>9507</v>
      </c>
      <c r="C385" t="s">
        <v>9508</v>
      </c>
      <c r="D385">
        <v>2022</v>
      </c>
      <c r="E385" t="s">
        <v>9509</v>
      </c>
      <c r="F385">
        <v>68</v>
      </c>
      <c r="H385" t="s">
        <v>9510</v>
      </c>
      <c r="M385" t="s">
        <v>9511</v>
      </c>
      <c r="N385" t="s">
        <v>9512</v>
      </c>
      <c r="O385" t="s">
        <v>9513</v>
      </c>
      <c r="P385" t="s">
        <v>9514</v>
      </c>
      <c r="Q385" t="s">
        <v>9515</v>
      </c>
      <c r="R385" t="s">
        <v>9516</v>
      </c>
      <c r="X385" t="s">
        <v>9517</v>
      </c>
      <c r="Y385" t="s">
        <v>9518</v>
      </c>
      <c r="AI385" t="s">
        <v>9519</v>
      </c>
      <c r="AJ385" t="s">
        <v>9520</v>
      </c>
      <c r="AM385" t="s">
        <v>9521</v>
      </c>
      <c r="AR385">
        <v>7160925</v>
      </c>
      <c r="AV385" t="s">
        <v>5228</v>
      </c>
      <c r="AW385" t="s">
        <v>9522</v>
      </c>
      <c r="AX385" t="s">
        <v>79</v>
      </c>
      <c r="AY385" t="s">
        <v>4620</v>
      </c>
      <c r="AZ385" t="s">
        <v>4672</v>
      </c>
      <c r="BA385" t="s">
        <v>4584</v>
      </c>
      <c r="BB385" t="s">
        <v>9523</v>
      </c>
    </row>
    <row r="386" spans="1:54" x14ac:dyDescent="0.25">
      <c r="A386" t="s">
        <v>9524</v>
      </c>
      <c r="B386" t="s">
        <v>9525</v>
      </c>
      <c r="C386" t="s">
        <v>9526</v>
      </c>
      <c r="D386">
        <v>2022</v>
      </c>
      <c r="E386" t="s">
        <v>4618</v>
      </c>
      <c r="F386">
        <v>29</v>
      </c>
      <c r="G386">
        <v>2</v>
      </c>
      <c r="H386">
        <v>347446</v>
      </c>
      <c r="L386">
        <v>1</v>
      </c>
      <c r="M386" t="s">
        <v>9527</v>
      </c>
      <c r="N386" t="s">
        <v>9528</v>
      </c>
      <c r="O386" t="s">
        <v>9529</v>
      </c>
      <c r="P386" t="s">
        <v>9530</v>
      </c>
      <c r="Q386" t="s">
        <v>9531</v>
      </c>
      <c r="R386" t="s">
        <v>9532</v>
      </c>
      <c r="S386" t="s">
        <v>9533</v>
      </c>
      <c r="U386" t="s">
        <v>9534</v>
      </c>
      <c r="X386" t="s">
        <v>9535</v>
      </c>
      <c r="Y386" t="s">
        <v>9536</v>
      </c>
      <c r="Z386" t="s">
        <v>9537</v>
      </c>
      <c r="AI386" t="s">
        <v>9538</v>
      </c>
      <c r="AJ386" t="s">
        <v>9539</v>
      </c>
      <c r="AM386" t="s">
        <v>5890</v>
      </c>
      <c r="AR386">
        <v>1214004</v>
      </c>
      <c r="AV386" t="s">
        <v>78</v>
      </c>
      <c r="AW386" t="s">
        <v>4618</v>
      </c>
      <c r="AX386" t="s">
        <v>79</v>
      </c>
      <c r="AY386" t="s">
        <v>4620</v>
      </c>
      <c r="AZ386" t="s">
        <v>4672</v>
      </c>
      <c r="BA386" t="s">
        <v>4584</v>
      </c>
      <c r="BB386" t="s">
        <v>9540</v>
      </c>
    </row>
    <row r="387" spans="1:54" x14ac:dyDescent="0.25">
      <c r="A387" t="s">
        <v>9541</v>
      </c>
      <c r="B387" t="s">
        <v>9542</v>
      </c>
      <c r="C387" t="s">
        <v>9543</v>
      </c>
      <c r="D387">
        <v>2022</v>
      </c>
      <c r="E387" t="s">
        <v>9544</v>
      </c>
      <c r="F387">
        <v>37</v>
      </c>
      <c r="G387">
        <v>104</v>
      </c>
      <c r="I387">
        <v>46</v>
      </c>
      <c r="J387">
        <v>70</v>
      </c>
      <c r="M387" t="s">
        <v>9545</v>
      </c>
      <c r="N387" t="s">
        <v>9546</v>
      </c>
      <c r="O387" t="s">
        <v>9547</v>
      </c>
      <c r="P387" t="s">
        <v>9548</v>
      </c>
      <c r="Q387" t="s">
        <v>9549</v>
      </c>
      <c r="R387" t="s">
        <v>9550</v>
      </c>
      <c r="AI387" t="s">
        <v>9551</v>
      </c>
      <c r="AM387" t="s">
        <v>9552</v>
      </c>
      <c r="AR387">
        <v>7181299</v>
      </c>
      <c r="AV387" t="s">
        <v>1234</v>
      </c>
      <c r="AW387" t="s">
        <v>9553</v>
      </c>
      <c r="AX387" t="s">
        <v>79</v>
      </c>
      <c r="AY387" t="s">
        <v>4620</v>
      </c>
      <c r="AZ387" t="s">
        <v>4672</v>
      </c>
      <c r="BA387" t="s">
        <v>4584</v>
      </c>
      <c r="BB387" t="s">
        <v>9554</v>
      </c>
    </row>
    <row r="388" spans="1:54" x14ac:dyDescent="0.25">
      <c r="A388" t="s">
        <v>9555</v>
      </c>
      <c r="B388" t="s">
        <v>9556</v>
      </c>
      <c r="C388" t="s">
        <v>9557</v>
      </c>
      <c r="D388">
        <v>2022</v>
      </c>
      <c r="E388" t="s">
        <v>9558</v>
      </c>
      <c r="F388">
        <v>17</v>
      </c>
      <c r="G388">
        <v>40</v>
      </c>
      <c r="I388">
        <v>251</v>
      </c>
      <c r="J388">
        <v>280</v>
      </c>
      <c r="M388" t="s">
        <v>1809</v>
      </c>
      <c r="N388" t="s">
        <v>9559</v>
      </c>
      <c r="O388" t="s">
        <v>4674</v>
      </c>
      <c r="P388" t="s">
        <v>9560</v>
      </c>
      <c r="Q388" t="s">
        <v>9561</v>
      </c>
      <c r="R388" t="s">
        <v>9562</v>
      </c>
      <c r="AI388" t="s">
        <v>9563</v>
      </c>
      <c r="AJ388" t="s">
        <v>9564</v>
      </c>
      <c r="AM388" t="s">
        <v>9565</v>
      </c>
      <c r="AR388">
        <v>1228803</v>
      </c>
      <c r="AV388" t="s">
        <v>1234</v>
      </c>
      <c r="AW388" t="s">
        <v>1808</v>
      </c>
      <c r="AX388" t="s">
        <v>79</v>
      </c>
      <c r="AY388" t="s">
        <v>4620</v>
      </c>
      <c r="AZ388" t="s">
        <v>4688</v>
      </c>
      <c r="BA388" t="s">
        <v>4584</v>
      </c>
      <c r="BB388" t="s">
        <v>9566</v>
      </c>
    </row>
    <row r="389" spans="1:54" x14ac:dyDescent="0.25">
      <c r="A389" t="s">
        <v>9567</v>
      </c>
      <c r="B389" t="s">
        <v>9568</v>
      </c>
      <c r="C389" t="s">
        <v>9569</v>
      </c>
      <c r="D389">
        <v>2022</v>
      </c>
      <c r="E389" t="s">
        <v>7135</v>
      </c>
      <c r="F389">
        <v>33</v>
      </c>
      <c r="H389" t="s">
        <v>9570</v>
      </c>
      <c r="N389" t="s">
        <v>9571</v>
      </c>
      <c r="O389" t="s">
        <v>9572</v>
      </c>
      <c r="P389" t="s">
        <v>9573</v>
      </c>
      <c r="Q389" t="s">
        <v>9574</v>
      </c>
      <c r="R389" t="s">
        <v>9575</v>
      </c>
      <c r="AI389" t="s">
        <v>9576</v>
      </c>
      <c r="AJ389" t="s">
        <v>9577</v>
      </c>
      <c r="AM389" t="s">
        <v>7142</v>
      </c>
      <c r="AR389">
        <v>23072113</v>
      </c>
      <c r="AV389" t="s">
        <v>1234</v>
      </c>
      <c r="AW389" t="s">
        <v>7143</v>
      </c>
      <c r="AX389" t="s">
        <v>79</v>
      </c>
      <c r="AY389" t="s">
        <v>4620</v>
      </c>
      <c r="BA389" t="s">
        <v>4584</v>
      </c>
      <c r="BB389" t="s">
        <v>9578</v>
      </c>
    </row>
    <row r="390" spans="1:54" x14ac:dyDescent="0.25">
      <c r="A390" t="s">
        <v>9579</v>
      </c>
      <c r="B390" t="s">
        <v>10766</v>
      </c>
      <c r="C390" t="s">
        <v>9580</v>
      </c>
      <c r="D390">
        <v>2022</v>
      </c>
      <c r="E390" t="s">
        <v>7135</v>
      </c>
      <c r="F390">
        <v>33</v>
      </c>
      <c r="H390" t="s">
        <v>9581</v>
      </c>
      <c r="N390" t="s">
        <v>9582</v>
      </c>
      <c r="O390" t="s">
        <v>9583</v>
      </c>
      <c r="P390" t="s">
        <v>9584</v>
      </c>
      <c r="Q390" t="s">
        <v>10704</v>
      </c>
      <c r="AI390" t="s">
        <v>9585</v>
      </c>
      <c r="AJ390" t="s">
        <v>9586</v>
      </c>
      <c r="AM390" t="s">
        <v>7142</v>
      </c>
      <c r="AR390">
        <v>23072113</v>
      </c>
      <c r="AV390" t="s">
        <v>1234</v>
      </c>
      <c r="AW390" t="s">
        <v>7143</v>
      </c>
      <c r="AX390" t="s">
        <v>1816</v>
      </c>
      <c r="AY390" t="s">
        <v>4620</v>
      </c>
      <c r="BA390" t="s">
        <v>4584</v>
      </c>
      <c r="BB390" t="s">
        <v>9587</v>
      </c>
    </row>
    <row r="391" spans="1:54" x14ac:dyDescent="0.25">
      <c r="A391" t="s">
        <v>9588</v>
      </c>
      <c r="B391" t="s">
        <v>9589</v>
      </c>
      <c r="C391" t="s">
        <v>9590</v>
      </c>
      <c r="D391">
        <v>2022</v>
      </c>
      <c r="E391" t="s">
        <v>5909</v>
      </c>
      <c r="F391">
        <v>25</v>
      </c>
      <c r="G391">
        <v>1</v>
      </c>
      <c r="M391" t="s">
        <v>4588</v>
      </c>
      <c r="N391" t="s">
        <v>9591</v>
      </c>
      <c r="O391" t="s">
        <v>9592</v>
      </c>
      <c r="P391" t="s">
        <v>9593</v>
      </c>
      <c r="Q391" t="s">
        <v>9594</v>
      </c>
      <c r="R391" t="s">
        <v>9595</v>
      </c>
      <c r="AI391" t="s">
        <v>9596</v>
      </c>
      <c r="AJ391" t="s">
        <v>9597</v>
      </c>
      <c r="AM391" t="s">
        <v>5919</v>
      </c>
      <c r="AR391">
        <v>1234226</v>
      </c>
      <c r="AV391" t="s">
        <v>1234</v>
      </c>
      <c r="AW391" t="s">
        <v>5920</v>
      </c>
      <c r="AX391" t="s">
        <v>79</v>
      </c>
      <c r="AY391" t="s">
        <v>4620</v>
      </c>
      <c r="AZ391" t="s">
        <v>4672</v>
      </c>
      <c r="BA391" t="s">
        <v>4584</v>
      </c>
      <c r="BB391" t="s">
        <v>9598</v>
      </c>
    </row>
    <row r="392" spans="1:54" x14ac:dyDescent="0.25">
      <c r="A392" t="s">
        <v>9599</v>
      </c>
      <c r="B392" t="s">
        <v>9600</v>
      </c>
      <c r="C392" t="s">
        <v>9601</v>
      </c>
      <c r="D392">
        <v>2022</v>
      </c>
      <c r="E392" t="s">
        <v>9602</v>
      </c>
      <c r="F392">
        <v>25</v>
      </c>
      <c r="H392" t="s">
        <v>9603</v>
      </c>
      <c r="M392" t="s">
        <v>9604</v>
      </c>
      <c r="N392" t="s">
        <v>9605</v>
      </c>
      <c r="O392" t="s">
        <v>9606</v>
      </c>
      <c r="P392" t="s">
        <v>9607</v>
      </c>
      <c r="Q392" t="s">
        <v>9608</v>
      </c>
      <c r="R392" t="s">
        <v>9609</v>
      </c>
      <c r="AI392" t="s">
        <v>9610</v>
      </c>
      <c r="AJ392" t="s">
        <v>9611</v>
      </c>
      <c r="AM392" t="s">
        <v>9612</v>
      </c>
      <c r="AR392">
        <v>19816723</v>
      </c>
      <c r="AV392" t="s">
        <v>78</v>
      </c>
      <c r="AW392" t="s">
        <v>9613</v>
      </c>
      <c r="AX392" t="s">
        <v>79</v>
      </c>
      <c r="AY392" t="s">
        <v>4620</v>
      </c>
      <c r="AZ392" t="s">
        <v>4672</v>
      </c>
      <c r="BA392" t="s">
        <v>4584</v>
      </c>
      <c r="BB392" t="s">
        <v>9614</v>
      </c>
    </row>
    <row r="393" spans="1:54" x14ac:dyDescent="0.25">
      <c r="A393" t="s">
        <v>9615</v>
      </c>
      <c r="B393" t="s">
        <v>9616</v>
      </c>
      <c r="C393" t="s">
        <v>9617</v>
      </c>
      <c r="D393">
        <v>2022</v>
      </c>
      <c r="E393" t="s">
        <v>6707</v>
      </c>
      <c r="F393">
        <v>2022</v>
      </c>
      <c r="G393">
        <v>44</v>
      </c>
      <c r="H393" t="s">
        <v>9618</v>
      </c>
      <c r="M393" t="s">
        <v>9619</v>
      </c>
      <c r="N393" t="s">
        <v>9620</v>
      </c>
      <c r="O393" t="s">
        <v>9621</v>
      </c>
      <c r="P393" t="s">
        <v>9622</v>
      </c>
      <c r="Q393" t="s">
        <v>9623</v>
      </c>
      <c r="R393" t="s">
        <v>9624</v>
      </c>
      <c r="AI393" t="s">
        <v>9625</v>
      </c>
      <c r="AJ393" t="s">
        <v>9626</v>
      </c>
      <c r="AM393" t="s">
        <v>431</v>
      </c>
      <c r="AR393">
        <v>1218530</v>
      </c>
      <c r="AV393" t="s">
        <v>1234</v>
      </c>
      <c r="AW393" t="s">
        <v>6707</v>
      </c>
      <c r="AX393" t="s">
        <v>79</v>
      </c>
      <c r="AY393" t="s">
        <v>4620</v>
      </c>
      <c r="AZ393" t="s">
        <v>4672</v>
      </c>
      <c r="BA393" t="s">
        <v>4584</v>
      </c>
      <c r="BB393" t="s">
        <v>9627</v>
      </c>
    </row>
    <row r="394" spans="1:54" x14ac:dyDescent="0.25">
      <c r="A394" t="s">
        <v>9628</v>
      </c>
      <c r="B394" t="s">
        <v>9629</v>
      </c>
      <c r="C394" t="s">
        <v>9630</v>
      </c>
      <c r="D394">
        <v>2022</v>
      </c>
      <c r="E394" t="s">
        <v>3556</v>
      </c>
      <c r="F394">
        <v>47</v>
      </c>
      <c r="G394" s="1">
        <v>44958</v>
      </c>
      <c r="I394">
        <v>8</v>
      </c>
      <c r="J394">
        <v>15</v>
      </c>
      <c r="N394" t="s">
        <v>9631</v>
      </c>
      <c r="O394" t="s">
        <v>9632</v>
      </c>
      <c r="P394" t="s">
        <v>9633</v>
      </c>
      <c r="Q394" t="s">
        <v>9634</v>
      </c>
      <c r="AI394" t="s">
        <v>9635</v>
      </c>
      <c r="AJ394" t="s">
        <v>9636</v>
      </c>
      <c r="AM394" t="s">
        <v>5003</v>
      </c>
      <c r="AR394">
        <v>3781844</v>
      </c>
      <c r="AV394" t="s">
        <v>1234</v>
      </c>
      <c r="AW394" t="s">
        <v>3556</v>
      </c>
      <c r="AX394" t="s">
        <v>79</v>
      </c>
      <c r="AY394" t="s">
        <v>4620</v>
      </c>
      <c r="BA394" t="s">
        <v>4584</v>
      </c>
      <c r="BB394" t="s">
        <v>9637</v>
      </c>
    </row>
    <row r="395" spans="1:54" x14ac:dyDescent="0.25">
      <c r="A395" t="s">
        <v>9638</v>
      </c>
      <c r="B395" t="s">
        <v>9639</v>
      </c>
      <c r="C395" t="s">
        <v>9640</v>
      </c>
      <c r="D395">
        <v>2022</v>
      </c>
      <c r="E395" t="s">
        <v>4617</v>
      </c>
      <c r="F395">
        <v>39</v>
      </c>
      <c r="G395">
        <v>2</v>
      </c>
      <c r="I395">
        <v>211</v>
      </c>
      <c r="J395">
        <v>228</v>
      </c>
      <c r="M395" t="s">
        <v>9641</v>
      </c>
      <c r="N395" t="s">
        <v>9642</v>
      </c>
      <c r="O395" t="s">
        <v>9643</v>
      </c>
      <c r="P395" t="s">
        <v>9644</v>
      </c>
      <c r="Q395" t="s">
        <v>9645</v>
      </c>
      <c r="R395" t="s">
        <v>9646</v>
      </c>
      <c r="AI395" t="s">
        <v>9647</v>
      </c>
      <c r="AJ395" t="s">
        <v>9648</v>
      </c>
      <c r="AM395" t="s">
        <v>9649</v>
      </c>
      <c r="AR395">
        <v>3258203</v>
      </c>
      <c r="AV395" t="s">
        <v>1234</v>
      </c>
      <c r="AW395" t="s">
        <v>4617</v>
      </c>
      <c r="AX395" t="s">
        <v>79</v>
      </c>
      <c r="AY395" t="s">
        <v>4620</v>
      </c>
      <c r="AZ395" t="s">
        <v>4672</v>
      </c>
      <c r="BA395" t="s">
        <v>4584</v>
      </c>
      <c r="BB395" t="s">
        <v>9650</v>
      </c>
    </row>
    <row r="396" spans="1:54" x14ac:dyDescent="0.25">
      <c r="A396" t="s">
        <v>9651</v>
      </c>
      <c r="B396" t="s">
        <v>9652</v>
      </c>
      <c r="C396" t="s">
        <v>9653</v>
      </c>
      <c r="D396">
        <v>2022</v>
      </c>
      <c r="E396" t="s">
        <v>9654</v>
      </c>
      <c r="F396" t="s">
        <v>9655</v>
      </c>
      <c r="I396">
        <v>285</v>
      </c>
      <c r="J396">
        <v>291</v>
      </c>
      <c r="L396">
        <v>1</v>
      </c>
      <c r="M396" t="s">
        <v>9656</v>
      </c>
      <c r="N396" t="s">
        <v>9657</v>
      </c>
      <c r="O396" t="s">
        <v>9658</v>
      </c>
      <c r="P396" t="s">
        <v>9659</v>
      </c>
      <c r="Q396" t="s">
        <v>9660</v>
      </c>
      <c r="R396" t="s">
        <v>9661</v>
      </c>
      <c r="S396" t="s">
        <v>9662</v>
      </c>
      <c r="AI396" t="s">
        <v>9663</v>
      </c>
      <c r="AK396" t="s">
        <v>9664</v>
      </c>
      <c r="AM396" t="s">
        <v>9665</v>
      </c>
      <c r="AN396" t="s">
        <v>9666</v>
      </c>
      <c r="AO396" t="s">
        <v>9667</v>
      </c>
      <c r="AQ396">
        <v>179170</v>
      </c>
      <c r="AR396">
        <v>21659559</v>
      </c>
      <c r="AS396">
        <v>9781665444347</v>
      </c>
      <c r="AV396" t="s">
        <v>78</v>
      </c>
      <c r="AW396" t="s">
        <v>9668</v>
      </c>
      <c r="AX396" t="s">
        <v>10683</v>
      </c>
      <c r="AY396" t="s">
        <v>4620</v>
      </c>
      <c r="BA396" t="s">
        <v>4584</v>
      </c>
      <c r="BB396" t="s">
        <v>9669</v>
      </c>
    </row>
    <row r="397" spans="1:54" x14ac:dyDescent="0.25">
      <c r="A397" t="s">
        <v>9670</v>
      </c>
      <c r="B397" t="s">
        <v>9671</v>
      </c>
      <c r="C397" t="s">
        <v>9672</v>
      </c>
      <c r="D397">
        <v>2022</v>
      </c>
      <c r="E397" t="s">
        <v>9673</v>
      </c>
      <c r="F397">
        <v>22</v>
      </c>
      <c r="G397">
        <v>2</v>
      </c>
      <c r="I397">
        <v>45</v>
      </c>
      <c r="J397">
        <v>60</v>
      </c>
      <c r="M397" t="s">
        <v>9674</v>
      </c>
      <c r="N397" t="s">
        <v>9675</v>
      </c>
      <c r="O397" t="s">
        <v>9676</v>
      </c>
      <c r="P397" t="s">
        <v>9677</v>
      </c>
      <c r="Q397" t="s">
        <v>9678</v>
      </c>
      <c r="R397" t="s">
        <v>9679</v>
      </c>
      <c r="AI397" t="s">
        <v>9680</v>
      </c>
      <c r="AJ397" t="s">
        <v>9681</v>
      </c>
      <c r="AM397" t="s">
        <v>9682</v>
      </c>
      <c r="AR397">
        <v>11316837</v>
      </c>
      <c r="AV397" t="s">
        <v>78</v>
      </c>
      <c r="AW397" t="s">
        <v>778</v>
      </c>
      <c r="AX397" t="s">
        <v>79</v>
      </c>
      <c r="AY397" t="s">
        <v>4620</v>
      </c>
      <c r="AZ397" t="s">
        <v>4688</v>
      </c>
      <c r="BA397" t="s">
        <v>4584</v>
      </c>
      <c r="BB397" t="s">
        <v>9683</v>
      </c>
    </row>
    <row r="398" spans="1:54" x14ac:dyDescent="0.25">
      <c r="A398" t="s">
        <v>9684</v>
      </c>
      <c r="B398" t="s">
        <v>9685</v>
      </c>
      <c r="C398" t="s">
        <v>9686</v>
      </c>
      <c r="D398">
        <v>2022</v>
      </c>
      <c r="E398" t="s">
        <v>9673</v>
      </c>
      <c r="F398">
        <v>22</v>
      </c>
      <c r="G398">
        <v>2</v>
      </c>
      <c r="I398">
        <v>139</v>
      </c>
      <c r="J398">
        <v>153</v>
      </c>
      <c r="M398" t="s">
        <v>779</v>
      </c>
      <c r="N398" t="s">
        <v>9687</v>
      </c>
      <c r="O398" t="s">
        <v>9688</v>
      </c>
      <c r="P398" t="s">
        <v>9689</v>
      </c>
      <c r="Q398" t="s">
        <v>9690</v>
      </c>
      <c r="R398" t="s">
        <v>9691</v>
      </c>
      <c r="X398" t="s">
        <v>9692</v>
      </c>
      <c r="Y398" t="s">
        <v>9693</v>
      </c>
      <c r="Z398" t="s">
        <v>771</v>
      </c>
      <c r="AI398" t="s">
        <v>9694</v>
      </c>
      <c r="AJ398" t="s">
        <v>9695</v>
      </c>
      <c r="AM398" t="s">
        <v>9682</v>
      </c>
      <c r="AR398">
        <v>11316837</v>
      </c>
      <c r="AV398" t="s">
        <v>78</v>
      </c>
      <c r="AW398" t="s">
        <v>778</v>
      </c>
      <c r="AX398" t="s">
        <v>79</v>
      </c>
      <c r="AY398" t="s">
        <v>4620</v>
      </c>
      <c r="AZ398" t="s">
        <v>4688</v>
      </c>
      <c r="BA398" t="s">
        <v>4584</v>
      </c>
      <c r="BB398" t="s">
        <v>9696</v>
      </c>
    </row>
    <row r="399" spans="1:54" x14ac:dyDescent="0.25">
      <c r="A399" t="s">
        <v>9697</v>
      </c>
      <c r="B399" t="s">
        <v>9698</v>
      </c>
      <c r="C399" t="s">
        <v>9699</v>
      </c>
      <c r="D399">
        <v>2022</v>
      </c>
      <c r="E399" t="s">
        <v>9700</v>
      </c>
      <c r="F399">
        <v>35</v>
      </c>
      <c r="G399">
        <v>1</v>
      </c>
      <c r="I399">
        <v>3</v>
      </c>
      <c r="J399">
        <v>13</v>
      </c>
      <c r="M399" t="s">
        <v>4393</v>
      </c>
      <c r="N399" t="s">
        <v>9701</v>
      </c>
      <c r="O399" t="s">
        <v>9702</v>
      </c>
      <c r="P399" t="s">
        <v>9703</v>
      </c>
      <c r="Q399" t="s">
        <v>9704</v>
      </c>
      <c r="R399" t="s">
        <v>9705</v>
      </c>
      <c r="Y399" t="s">
        <v>9706</v>
      </c>
      <c r="AI399" t="s">
        <v>9707</v>
      </c>
      <c r="AJ399" t="s">
        <v>9708</v>
      </c>
      <c r="AM399" t="s">
        <v>5890</v>
      </c>
      <c r="AR399">
        <v>1200690</v>
      </c>
      <c r="AV399" t="s">
        <v>78</v>
      </c>
      <c r="AW399" t="s">
        <v>9709</v>
      </c>
      <c r="AX399" t="s">
        <v>79</v>
      </c>
      <c r="AY399" t="s">
        <v>4620</v>
      </c>
      <c r="AZ399" t="s">
        <v>4688</v>
      </c>
      <c r="BA399" t="s">
        <v>4584</v>
      </c>
      <c r="BB399" t="s">
        <v>9710</v>
      </c>
    </row>
    <row r="400" spans="1:54" x14ac:dyDescent="0.25">
      <c r="A400" t="s">
        <v>9711</v>
      </c>
      <c r="B400" t="s">
        <v>9712</v>
      </c>
      <c r="C400" t="s">
        <v>9713</v>
      </c>
      <c r="D400">
        <v>2022</v>
      </c>
      <c r="E400" t="s">
        <v>9714</v>
      </c>
      <c r="G400">
        <v>15</v>
      </c>
      <c r="I400">
        <v>298</v>
      </c>
      <c r="J400">
        <v>314</v>
      </c>
      <c r="M400" t="s">
        <v>9715</v>
      </c>
      <c r="N400" t="s">
        <v>9716</v>
      </c>
      <c r="O400" t="s">
        <v>9717</v>
      </c>
      <c r="P400" t="s">
        <v>9718</v>
      </c>
      <c r="Q400" t="s">
        <v>9719</v>
      </c>
      <c r="R400" t="s">
        <v>9720</v>
      </c>
      <c r="AI400" t="s">
        <v>9721</v>
      </c>
      <c r="AM400" t="s">
        <v>9722</v>
      </c>
      <c r="AR400">
        <v>23436131</v>
      </c>
      <c r="AV400" t="s">
        <v>1234</v>
      </c>
      <c r="AW400" t="s">
        <v>9723</v>
      </c>
      <c r="AX400" t="s">
        <v>79</v>
      </c>
      <c r="AY400" t="s">
        <v>4620</v>
      </c>
      <c r="BA400" t="s">
        <v>4584</v>
      </c>
      <c r="BB400" t="s">
        <v>9724</v>
      </c>
    </row>
    <row r="401" spans="1:54" x14ac:dyDescent="0.25">
      <c r="A401" t="s">
        <v>9725</v>
      </c>
      <c r="B401" t="s">
        <v>9726</v>
      </c>
      <c r="C401" t="s">
        <v>9727</v>
      </c>
      <c r="D401">
        <v>2022</v>
      </c>
      <c r="E401" t="s">
        <v>9728</v>
      </c>
      <c r="F401">
        <v>13</v>
      </c>
      <c r="G401">
        <v>1</v>
      </c>
      <c r="I401">
        <v>200</v>
      </c>
      <c r="J401">
        <v>210</v>
      </c>
      <c r="M401" t="s">
        <v>9729</v>
      </c>
      <c r="N401" t="s">
        <v>9730</v>
      </c>
      <c r="O401" t="s">
        <v>9731</v>
      </c>
      <c r="P401" t="s">
        <v>9732</v>
      </c>
      <c r="Q401" t="s">
        <v>9733</v>
      </c>
      <c r="R401" t="s">
        <v>9734</v>
      </c>
      <c r="S401" t="s">
        <v>9735</v>
      </c>
      <c r="V401" t="s">
        <v>9736</v>
      </c>
      <c r="W401" t="s">
        <v>9737</v>
      </c>
      <c r="AI401" t="s">
        <v>9738</v>
      </c>
      <c r="AJ401" t="s">
        <v>9739</v>
      </c>
      <c r="AM401" t="s">
        <v>9740</v>
      </c>
      <c r="AR401">
        <v>20071124</v>
      </c>
      <c r="AV401" t="s">
        <v>78</v>
      </c>
      <c r="AW401" t="s">
        <v>9741</v>
      </c>
      <c r="AX401" t="s">
        <v>79</v>
      </c>
      <c r="AY401" t="s">
        <v>4620</v>
      </c>
      <c r="AZ401" t="s">
        <v>4672</v>
      </c>
      <c r="BA401" t="s">
        <v>4584</v>
      </c>
      <c r="BB401" t="s">
        <v>9742</v>
      </c>
    </row>
    <row r="402" spans="1:54" x14ac:dyDescent="0.25">
      <c r="A402" t="s">
        <v>9743</v>
      </c>
      <c r="B402" t="s">
        <v>9744</v>
      </c>
      <c r="C402" t="s">
        <v>9745</v>
      </c>
      <c r="D402">
        <v>2022</v>
      </c>
      <c r="E402" t="s">
        <v>9746</v>
      </c>
      <c r="F402">
        <v>84</v>
      </c>
      <c r="G402">
        <v>2</v>
      </c>
      <c r="I402">
        <v>389</v>
      </c>
      <c r="J402">
        <v>416</v>
      </c>
      <c r="M402" t="s">
        <v>4603</v>
      </c>
      <c r="N402" t="s">
        <v>9747</v>
      </c>
      <c r="O402" t="s">
        <v>9748</v>
      </c>
      <c r="P402" t="s">
        <v>9749</v>
      </c>
      <c r="Q402" t="s">
        <v>9750</v>
      </c>
      <c r="R402" t="s">
        <v>9751</v>
      </c>
      <c r="AI402" t="s">
        <v>9752</v>
      </c>
      <c r="AM402" t="s">
        <v>5955</v>
      </c>
      <c r="AR402">
        <v>1882503</v>
      </c>
      <c r="AV402" t="s">
        <v>1234</v>
      </c>
      <c r="AW402" t="s">
        <v>9753</v>
      </c>
      <c r="AX402" t="s">
        <v>79</v>
      </c>
      <c r="AY402" t="s">
        <v>4620</v>
      </c>
      <c r="BA402" t="s">
        <v>4584</v>
      </c>
      <c r="BB402" t="s">
        <v>9754</v>
      </c>
    </row>
    <row r="403" spans="1:54" x14ac:dyDescent="0.25">
      <c r="A403" t="s">
        <v>9755</v>
      </c>
      <c r="B403" t="s">
        <v>9756</v>
      </c>
      <c r="C403" t="s">
        <v>9757</v>
      </c>
      <c r="D403">
        <v>2022</v>
      </c>
      <c r="E403" t="s">
        <v>9758</v>
      </c>
      <c r="F403" t="s">
        <v>9759</v>
      </c>
      <c r="L403">
        <v>1</v>
      </c>
      <c r="M403" t="s">
        <v>9760</v>
      </c>
      <c r="N403" t="s">
        <v>9761</v>
      </c>
      <c r="O403" t="s">
        <v>9762</v>
      </c>
      <c r="P403" t="s">
        <v>9763</v>
      </c>
      <c r="Q403" t="s">
        <v>9764</v>
      </c>
      <c r="R403" t="s">
        <v>9765</v>
      </c>
      <c r="S403" t="s">
        <v>9766</v>
      </c>
      <c r="X403" t="s">
        <v>9767</v>
      </c>
      <c r="Y403" t="s">
        <v>9768</v>
      </c>
      <c r="AI403" t="s">
        <v>9769</v>
      </c>
      <c r="AJ403" t="s">
        <v>9770</v>
      </c>
      <c r="AM403" t="s">
        <v>9665</v>
      </c>
      <c r="AN403" t="s">
        <v>9771</v>
      </c>
      <c r="AO403" t="s">
        <v>9772</v>
      </c>
      <c r="AQ403">
        <v>178865</v>
      </c>
      <c r="AR403">
        <v>23278161</v>
      </c>
      <c r="AS403">
        <v>9781665484350</v>
      </c>
      <c r="AV403" t="s">
        <v>78</v>
      </c>
      <c r="AW403" t="s">
        <v>9773</v>
      </c>
      <c r="AX403" t="s">
        <v>10683</v>
      </c>
      <c r="AY403" t="s">
        <v>4620</v>
      </c>
      <c r="BA403" t="s">
        <v>4584</v>
      </c>
      <c r="BB403" t="s">
        <v>9774</v>
      </c>
    </row>
    <row r="404" spans="1:54" x14ac:dyDescent="0.25">
      <c r="A404" t="s">
        <v>9775</v>
      </c>
      <c r="B404" t="s">
        <v>9776</v>
      </c>
      <c r="C404" t="s">
        <v>2658</v>
      </c>
      <c r="D404">
        <v>2022</v>
      </c>
      <c r="E404" t="s">
        <v>9777</v>
      </c>
      <c r="M404" t="s">
        <v>2675</v>
      </c>
      <c r="N404" t="s">
        <v>9778</v>
      </c>
      <c r="O404" t="s">
        <v>9779</v>
      </c>
      <c r="P404" t="s">
        <v>9780</v>
      </c>
      <c r="Q404" t="s">
        <v>9781</v>
      </c>
      <c r="R404" t="s">
        <v>9782</v>
      </c>
      <c r="X404" t="s">
        <v>5392</v>
      </c>
      <c r="Y404" t="s">
        <v>9783</v>
      </c>
      <c r="Z404" t="s">
        <v>9784</v>
      </c>
      <c r="AI404" t="s">
        <v>9785</v>
      </c>
      <c r="AJ404" t="s">
        <v>9786</v>
      </c>
      <c r="AM404" t="s">
        <v>4748</v>
      </c>
      <c r="AR404">
        <v>15178382</v>
      </c>
      <c r="AU404">
        <v>35486355</v>
      </c>
      <c r="AV404" t="s">
        <v>78</v>
      </c>
      <c r="AW404" t="s">
        <v>2674</v>
      </c>
      <c r="AX404" t="s">
        <v>79</v>
      </c>
      <c r="AY404" t="s">
        <v>4694</v>
      </c>
      <c r="BA404" t="s">
        <v>4584</v>
      </c>
      <c r="BB404" t="s">
        <v>9787</v>
      </c>
    </row>
    <row r="405" spans="1:54" x14ac:dyDescent="0.25">
      <c r="A405" t="s">
        <v>9788</v>
      </c>
      <c r="B405" t="s">
        <v>9789</v>
      </c>
      <c r="C405" t="s">
        <v>9790</v>
      </c>
      <c r="D405">
        <v>2022</v>
      </c>
      <c r="E405" t="s">
        <v>9758</v>
      </c>
      <c r="F405" t="s">
        <v>9759</v>
      </c>
      <c r="M405" t="s">
        <v>9791</v>
      </c>
      <c r="N405" t="s">
        <v>9792</v>
      </c>
      <c r="O405" t="s">
        <v>9793</v>
      </c>
      <c r="P405" t="s">
        <v>9794</v>
      </c>
      <c r="Q405" t="s">
        <v>9795</v>
      </c>
      <c r="R405" t="s">
        <v>9796</v>
      </c>
      <c r="S405" t="s">
        <v>9797</v>
      </c>
      <c r="AI405" t="s">
        <v>9798</v>
      </c>
      <c r="AJ405" t="s">
        <v>9799</v>
      </c>
      <c r="AM405" t="s">
        <v>9665</v>
      </c>
      <c r="AN405" t="s">
        <v>9771</v>
      </c>
      <c r="AO405" t="s">
        <v>9772</v>
      </c>
      <c r="AQ405">
        <v>178865</v>
      </c>
      <c r="AR405">
        <v>23278161</v>
      </c>
      <c r="AS405">
        <v>9781665484350</v>
      </c>
      <c r="AV405" t="s">
        <v>1234</v>
      </c>
      <c r="AW405" t="s">
        <v>9773</v>
      </c>
      <c r="AX405" t="s">
        <v>10683</v>
      </c>
      <c r="AY405" t="s">
        <v>4620</v>
      </c>
      <c r="BA405" t="s">
        <v>4584</v>
      </c>
      <c r="BB405" t="s">
        <v>9800</v>
      </c>
    </row>
    <row r="406" spans="1:54" x14ac:dyDescent="0.25">
      <c r="A406" t="s">
        <v>9801</v>
      </c>
      <c r="B406" t="s">
        <v>9802</v>
      </c>
      <c r="C406" t="s">
        <v>9803</v>
      </c>
      <c r="D406">
        <v>2022</v>
      </c>
      <c r="E406" t="s">
        <v>9804</v>
      </c>
      <c r="F406">
        <v>37</v>
      </c>
      <c r="G406">
        <v>1</v>
      </c>
      <c r="I406">
        <v>3</v>
      </c>
      <c r="J406">
        <v>9</v>
      </c>
      <c r="M406" t="s">
        <v>9805</v>
      </c>
      <c r="N406" t="s">
        <v>9806</v>
      </c>
      <c r="O406" t="s">
        <v>9807</v>
      </c>
      <c r="P406" t="s">
        <v>9808</v>
      </c>
      <c r="Q406" t="s">
        <v>9809</v>
      </c>
      <c r="R406" t="s">
        <v>9810</v>
      </c>
      <c r="S406" t="s">
        <v>9811</v>
      </c>
      <c r="U406" t="s">
        <v>9812</v>
      </c>
      <c r="AI406" t="s">
        <v>9813</v>
      </c>
      <c r="AJ406" t="s">
        <v>9814</v>
      </c>
      <c r="AM406" t="s">
        <v>9815</v>
      </c>
      <c r="AR406">
        <v>1209957</v>
      </c>
      <c r="AV406" t="s">
        <v>1234</v>
      </c>
      <c r="AW406" t="s">
        <v>9816</v>
      </c>
      <c r="AX406" t="s">
        <v>79</v>
      </c>
      <c r="AY406" t="s">
        <v>4620</v>
      </c>
      <c r="AZ406" t="s">
        <v>4672</v>
      </c>
      <c r="BA406" t="s">
        <v>4584</v>
      </c>
      <c r="BB406" t="s">
        <v>9817</v>
      </c>
    </row>
    <row r="407" spans="1:54" x14ac:dyDescent="0.25">
      <c r="A407" t="s">
        <v>7024</v>
      </c>
      <c r="B407" t="s">
        <v>7025</v>
      </c>
      <c r="C407" t="s">
        <v>9818</v>
      </c>
      <c r="D407">
        <v>2022</v>
      </c>
      <c r="E407" t="s">
        <v>9819</v>
      </c>
      <c r="F407">
        <v>83</v>
      </c>
      <c r="I407">
        <v>1487</v>
      </c>
      <c r="J407">
        <v>1493</v>
      </c>
      <c r="M407" t="s">
        <v>9820</v>
      </c>
      <c r="N407" t="s">
        <v>9821</v>
      </c>
      <c r="O407" t="s">
        <v>9822</v>
      </c>
      <c r="P407" t="s">
        <v>9823</v>
      </c>
      <c r="Q407" t="s">
        <v>9824</v>
      </c>
      <c r="R407" t="s">
        <v>9825</v>
      </c>
      <c r="S407" t="s">
        <v>9826</v>
      </c>
      <c r="Y407" t="s">
        <v>9827</v>
      </c>
      <c r="AI407" t="s">
        <v>9828</v>
      </c>
      <c r="AJ407" t="s">
        <v>9829</v>
      </c>
      <c r="AK407" t="s">
        <v>9830</v>
      </c>
      <c r="AM407" t="s">
        <v>4748</v>
      </c>
      <c r="AN407" t="s">
        <v>9831</v>
      </c>
      <c r="AO407" t="s">
        <v>9832</v>
      </c>
      <c r="AQ407">
        <v>276829</v>
      </c>
      <c r="AR407">
        <v>16800737</v>
      </c>
      <c r="AS407">
        <v>9783030706005</v>
      </c>
      <c r="AV407" t="s">
        <v>78</v>
      </c>
      <c r="AW407" t="s">
        <v>9833</v>
      </c>
      <c r="AX407" t="s">
        <v>10683</v>
      </c>
      <c r="AY407" t="s">
        <v>4620</v>
      </c>
      <c r="BA407" t="s">
        <v>4584</v>
      </c>
      <c r="BB407" t="s">
        <v>9834</v>
      </c>
    </row>
    <row r="408" spans="1:54" x14ac:dyDescent="0.25">
      <c r="A408" t="s">
        <v>9835</v>
      </c>
      <c r="B408" t="s">
        <v>9836</v>
      </c>
      <c r="C408" t="s">
        <v>9837</v>
      </c>
      <c r="D408">
        <v>2022</v>
      </c>
      <c r="E408" t="s">
        <v>9838</v>
      </c>
      <c r="F408">
        <v>18</v>
      </c>
      <c r="G408">
        <v>1</v>
      </c>
      <c r="L408">
        <v>1</v>
      </c>
      <c r="N408" t="s">
        <v>9839</v>
      </c>
      <c r="O408" t="s">
        <v>9840</v>
      </c>
      <c r="P408" t="s">
        <v>9841</v>
      </c>
      <c r="Q408" t="s">
        <v>9842</v>
      </c>
      <c r="R408" t="s">
        <v>9843</v>
      </c>
      <c r="AI408" t="s">
        <v>9844</v>
      </c>
      <c r="AJ408" t="s">
        <v>9845</v>
      </c>
      <c r="AM408" t="s">
        <v>9846</v>
      </c>
      <c r="AR408" t="s">
        <v>9847</v>
      </c>
      <c r="AV408" t="s">
        <v>1234</v>
      </c>
      <c r="AW408" t="s">
        <v>9848</v>
      </c>
      <c r="AX408" t="s">
        <v>79</v>
      </c>
      <c r="AY408" t="s">
        <v>4620</v>
      </c>
      <c r="BA408" t="s">
        <v>4584</v>
      </c>
      <c r="BB408" t="s">
        <v>9849</v>
      </c>
    </row>
    <row r="409" spans="1:54" x14ac:dyDescent="0.25">
      <c r="A409" t="s">
        <v>9850</v>
      </c>
      <c r="B409" t="s">
        <v>9851</v>
      </c>
      <c r="C409" t="s">
        <v>9852</v>
      </c>
      <c r="D409">
        <v>2022</v>
      </c>
      <c r="E409" t="s">
        <v>5846</v>
      </c>
      <c r="F409">
        <v>46</v>
      </c>
      <c r="G409">
        <v>178</v>
      </c>
      <c r="I409">
        <v>50</v>
      </c>
      <c r="J409">
        <v>67</v>
      </c>
      <c r="M409" t="s">
        <v>9853</v>
      </c>
      <c r="N409" t="s">
        <v>9854</v>
      </c>
      <c r="O409" t="s">
        <v>9855</v>
      </c>
      <c r="P409" t="s">
        <v>9856</v>
      </c>
      <c r="Q409" t="s">
        <v>9857</v>
      </c>
      <c r="R409" t="s">
        <v>9858</v>
      </c>
      <c r="AI409" t="s">
        <v>9859</v>
      </c>
      <c r="AJ409" t="s">
        <v>9860</v>
      </c>
      <c r="AM409" t="s">
        <v>5857</v>
      </c>
      <c r="AR409">
        <v>3703908</v>
      </c>
      <c r="AV409" t="s">
        <v>1234</v>
      </c>
      <c r="AW409" t="s">
        <v>5858</v>
      </c>
      <c r="AX409" t="s">
        <v>162</v>
      </c>
      <c r="AY409" t="s">
        <v>4620</v>
      </c>
      <c r="AZ409" t="s">
        <v>4672</v>
      </c>
      <c r="BA409" t="s">
        <v>4584</v>
      </c>
      <c r="BB409" t="s">
        <v>9861</v>
      </c>
    </row>
    <row r="410" spans="1:54" x14ac:dyDescent="0.25">
      <c r="A410" t="s">
        <v>9862</v>
      </c>
      <c r="B410" t="s">
        <v>9863</v>
      </c>
      <c r="C410" t="s">
        <v>9864</v>
      </c>
      <c r="D410">
        <v>2022</v>
      </c>
      <c r="E410" t="s">
        <v>9865</v>
      </c>
      <c r="F410">
        <v>41</v>
      </c>
      <c r="G410">
        <v>1</v>
      </c>
      <c r="I410">
        <v>52</v>
      </c>
      <c r="J410">
        <v>57</v>
      </c>
      <c r="M410" t="s">
        <v>9866</v>
      </c>
      <c r="N410" t="s">
        <v>9867</v>
      </c>
      <c r="O410" t="s">
        <v>9868</v>
      </c>
      <c r="P410" t="s">
        <v>9869</v>
      </c>
      <c r="Q410" t="s">
        <v>9870</v>
      </c>
      <c r="R410" t="s">
        <v>9871</v>
      </c>
      <c r="AI410" t="s">
        <v>9872</v>
      </c>
      <c r="AM410" t="s">
        <v>9873</v>
      </c>
      <c r="AR410">
        <v>7980264</v>
      </c>
      <c r="AV410" t="s">
        <v>1234</v>
      </c>
      <c r="AW410" t="s">
        <v>9874</v>
      </c>
      <c r="AX410" t="s">
        <v>79</v>
      </c>
      <c r="AY410" t="s">
        <v>4620</v>
      </c>
      <c r="BA410" t="s">
        <v>4584</v>
      </c>
      <c r="BB410" t="s">
        <v>9875</v>
      </c>
    </row>
    <row r="411" spans="1:54" x14ac:dyDescent="0.25">
      <c r="A411" t="s">
        <v>9876</v>
      </c>
      <c r="B411" t="s">
        <v>9877</v>
      </c>
      <c r="C411" t="s">
        <v>9878</v>
      </c>
      <c r="D411">
        <v>2022</v>
      </c>
      <c r="E411" t="s">
        <v>6707</v>
      </c>
      <c r="F411">
        <v>2022</v>
      </c>
      <c r="G411">
        <v>42</v>
      </c>
      <c r="H411" t="s">
        <v>9879</v>
      </c>
      <c r="M411" t="s">
        <v>9880</v>
      </c>
      <c r="N411" t="s">
        <v>9881</v>
      </c>
      <c r="O411" t="s">
        <v>9882</v>
      </c>
      <c r="P411" t="s">
        <v>9883</v>
      </c>
      <c r="Q411" t="s">
        <v>9884</v>
      </c>
      <c r="R411" t="s">
        <v>9885</v>
      </c>
      <c r="AI411" t="s">
        <v>9886</v>
      </c>
      <c r="AJ411" t="s">
        <v>9887</v>
      </c>
      <c r="AM411" t="s">
        <v>431</v>
      </c>
      <c r="AR411">
        <v>1218530</v>
      </c>
      <c r="AV411" t="s">
        <v>1234</v>
      </c>
      <c r="AW411" t="s">
        <v>6707</v>
      </c>
      <c r="AX411" t="s">
        <v>79</v>
      </c>
      <c r="AY411" t="s">
        <v>4620</v>
      </c>
      <c r="AZ411" t="s">
        <v>4672</v>
      </c>
      <c r="BA411" t="s">
        <v>4584</v>
      </c>
      <c r="BB411" t="s">
        <v>9888</v>
      </c>
    </row>
    <row r="412" spans="1:54" x14ac:dyDescent="0.25">
      <c r="A412" t="s">
        <v>9889</v>
      </c>
      <c r="B412" t="s">
        <v>9890</v>
      </c>
      <c r="C412" t="s">
        <v>9891</v>
      </c>
      <c r="D412">
        <v>2022</v>
      </c>
      <c r="E412" t="s">
        <v>6707</v>
      </c>
      <c r="F412">
        <v>2022</v>
      </c>
      <c r="G412">
        <v>43</v>
      </c>
      <c r="H412" t="s">
        <v>9892</v>
      </c>
      <c r="M412" t="s">
        <v>9893</v>
      </c>
      <c r="N412" t="s">
        <v>9894</v>
      </c>
      <c r="O412" t="s">
        <v>9895</v>
      </c>
      <c r="P412" t="s">
        <v>9896</v>
      </c>
      <c r="Q412" t="s">
        <v>9897</v>
      </c>
      <c r="R412" t="s">
        <v>9898</v>
      </c>
      <c r="AI412" t="s">
        <v>9899</v>
      </c>
      <c r="AJ412" t="s">
        <v>9900</v>
      </c>
      <c r="AM412" t="s">
        <v>431</v>
      </c>
      <c r="AR412">
        <v>1218530</v>
      </c>
      <c r="AV412" t="s">
        <v>1234</v>
      </c>
      <c r="AW412" t="s">
        <v>6707</v>
      </c>
      <c r="AX412" t="s">
        <v>79</v>
      </c>
      <c r="AY412" t="s">
        <v>4620</v>
      </c>
      <c r="AZ412" t="s">
        <v>4672</v>
      </c>
      <c r="BA412" t="s">
        <v>4584</v>
      </c>
      <c r="BB412" t="s">
        <v>9901</v>
      </c>
    </row>
    <row r="413" spans="1:54" x14ac:dyDescent="0.25">
      <c r="A413" t="s">
        <v>9902</v>
      </c>
      <c r="B413" t="s">
        <v>9903</v>
      </c>
      <c r="C413" t="s">
        <v>9904</v>
      </c>
      <c r="D413">
        <v>2022</v>
      </c>
      <c r="E413" t="s">
        <v>4738</v>
      </c>
      <c r="F413">
        <v>337</v>
      </c>
      <c r="I413">
        <v>153</v>
      </c>
      <c r="J413">
        <v>168</v>
      </c>
      <c r="M413" t="s">
        <v>9905</v>
      </c>
      <c r="N413" t="s">
        <v>9906</v>
      </c>
      <c r="O413" t="s">
        <v>9907</v>
      </c>
      <c r="P413" t="s">
        <v>9908</v>
      </c>
      <c r="Q413" t="s">
        <v>9909</v>
      </c>
      <c r="R413" t="s">
        <v>9910</v>
      </c>
      <c r="AI413" t="s">
        <v>9911</v>
      </c>
      <c r="AJ413" t="s">
        <v>9912</v>
      </c>
      <c r="AM413" t="s">
        <v>4748</v>
      </c>
      <c r="AR413">
        <v>23673370</v>
      </c>
      <c r="AV413" t="s">
        <v>78</v>
      </c>
      <c r="AW413" t="s">
        <v>4751</v>
      </c>
      <c r="AX413" t="s">
        <v>10761</v>
      </c>
      <c r="AY413" t="s">
        <v>4620</v>
      </c>
      <c r="BA413" t="s">
        <v>4584</v>
      </c>
      <c r="BB413" t="s">
        <v>9913</v>
      </c>
    </row>
    <row r="414" spans="1:54" x14ac:dyDescent="0.25">
      <c r="A414" t="s">
        <v>9914</v>
      </c>
      <c r="B414" t="s">
        <v>9915</v>
      </c>
      <c r="C414" t="s">
        <v>9916</v>
      </c>
      <c r="D414">
        <v>2022</v>
      </c>
      <c r="E414" t="s">
        <v>4738</v>
      </c>
      <c r="F414">
        <v>337</v>
      </c>
      <c r="I414" t="s">
        <v>4577</v>
      </c>
      <c r="J414" t="s">
        <v>4581</v>
      </c>
      <c r="N414" t="s">
        <v>9917</v>
      </c>
      <c r="O414" t="s">
        <v>9918</v>
      </c>
      <c r="P414" t="s">
        <v>9919</v>
      </c>
      <c r="Q414" t="s">
        <v>10704</v>
      </c>
      <c r="AM414" t="s">
        <v>4748</v>
      </c>
      <c r="AR414">
        <v>23673370</v>
      </c>
      <c r="AV414" t="s">
        <v>78</v>
      </c>
      <c r="AW414" t="s">
        <v>4751</v>
      </c>
      <c r="AX414" t="s">
        <v>1500</v>
      </c>
      <c r="AY414" t="s">
        <v>4620</v>
      </c>
      <c r="BA414" t="s">
        <v>4584</v>
      </c>
      <c r="BB414" t="s">
        <v>9920</v>
      </c>
    </row>
    <row r="415" spans="1:54" x14ac:dyDescent="0.25">
      <c r="A415" t="s">
        <v>9921</v>
      </c>
      <c r="B415" t="s">
        <v>9922</v>
      </c>
      <c r="C415" t="s">
        <v>9923</v>
      </c>
      <c r="D415">
        <v>2022</v>
      </c>
      <c r="E415" t="s">
        <v>4738</v>
      </c>
      <c r="F415">
        <v>337</v>
      </c>
      <c r="I415">
        <v>211</v>
      </c>
      <c r="J415">
        <v>248</v>
      </c>
      <c r="M415" t="s">
        <v>9924</v>
      </c>
      <c r="N415" t="s">
        <v>9925</v>
      </c>
      <c r="O415" t="s">
        <v>9926</v>
      </c>
      <c r="P415" t="s">
        <v>9927</v>
      </c>
      <c r="Q415" t="s">
        <v>9928</v>
      </c>
      <c r="R415" t="s">
        <v>9929</v>
      </c>
      <c r="AI415" t="s">
        <v>9930</v>
      </c>
      <c r="AJ415" t="s">
        <v>9931</v>
      </c>
      <c r="AM415" t="s">
        <v>4748</v>
      </c>
      <c r="AR415">
        <v>23673370</v>
      </c>
      <c r="AV415" t="s">
        <v>78</v>
      </c>
      <c r="AW415" t="s">
        <v>4751</v>
      </c>
      <c r="AX415" t="s">
        <v>10761</v>
      </c>
      <c r="AY415" t="s">
        <v>4620</v>
      </c>
      <c r="BA415" t="s">
        <v>4584</v>
      </c>
      <c r="BB415" t="s">
        <v>9932</v>
      </c>
    </row>
    <row r="416" spans="1:54" x14ac:dyDescent="0.25">
      <c r="A416" t="s">
        <v>9933</v>
      </c>
      <c r="B416" t="s">
        <v>9934</v>
      </c>
      <c r="C416" t="s">
        <v>9935</v>
      </c>
      <c r="D416">
        <v>2022</v>
      </c>
      <c r="E416" t="s">
        <v>4738</v>
      </c>
      <c r="F416">
        <v>337</v>
      </c>
      <c r="I416">
        <v>275</v>
      </c>
      <c r="J416">
        <v>308</v>
      </c>
      <c r="M416" t="s">
        <v>9936</v>
      </c>
      <c r="N416" t="s">
        <v>9937</v>
      </c>
      <c r="O416" t="s">
        <v>9938</v>
      </c>
      <c r="P416" t="s">
        <v>9939</v>
      </c>
      <c r="Q416" t="s">
        <v>9940</v>
      </c>
      <c r="R416" t="s">
        <v>9941</v>
      </c>
      <c r="AI416" t="s">
        <v>9942</v>
      </c>
      <c r="AJ416" t="s">
        <v>9943</v>
      </c>
      <c r="AM416" t="s">
        <v>4748</v>
      </c>
      <c r="AR416">
        <v>23673370</v>
      </c>
      <c r="AV416" t="s">
        <v>78</v>
      </c>
      <c r="AW416" t="s">
        <v>4751</v>
      </c>
      <c r="AX416" t="s">
        <v>10761</v>
      </c>
      <c r="AY416" t="s">
        <v>4620</v>
      </c>
      <c r="BA416" t="s">
        <v>4584</v>
      </c>
      <c r="BB416" t="s">
        <v>9944</v>
      </c>
    </row>
    <row r="417" spans="1:54" x14ac:dyDescent="0.25">
      <c r="A417" t="s">
        <v>9945</v>
      </c>
      <c r="B417" t="s">
        <v>9946</v>
      </c>
      <c r="C417" t="s">
        <v>9947</v>
      </c>
      <c r="D417">
        <v>2022</v>
      </c>
      <c r="E417" t="s">
        <v>8191</v>
      </c>
      <c r="F417" t="s">
        <v>9948</v>
      </c>
      <c r="I417">
        <v>97</v>
      </c>
      <c r="J417">
        <v>107</v>
      </c>
      <c r="M417" t="s">
        <v>9949</v>
      </c>
      <c r="N417" t="s">
        <v>9950</v>
      </c>
      <c r="O417" t="s">
        <v>9951</v>
      </c>
      <c r="P417" t="s">
        <v>9952</v>
      </c>
      <c r="Q417" t="s">
        <v>9953</v>
      </c>
      <c r="R417" t="s">
        <v>9954</v>
      </c>
      <c r="S417" t="s">
        <v>9955</v>
      </c>
      <c r="AI417" t="s">
        <v>9956</v>
      </c>
      <c r="AJ417" t="s">
        <v>9957</v>
      </c>
      <c r="AK417" t="s">
        <v>9958</v>
      </c>
      <c r="AM417" t="s">
        <v>4748</v>
      </c>
      <c r="AN417" t="s">
        <v>9959</v>
      </c>
      <c r="AO417" t="s">
        <v>9960</v>
      </c>
      <c r="AQ417">
        <v>276429</v>
      </c>
      <c r="AR417">
        <v>18650929</v>
      </c>
      <c r="AS417">
        <v>9783031038839</v>
      </c>
      <c r="AV417" t="s">
        <v>78</v>
      </c>
      <c r="AW417" t="s">
        <v>8204</v>
      </c>
      <c r="AX417" t="s">
        <v>10683</v>
      </c>
      <c r="AY417" t="s">
        <v>4620</v>
      </c>
      <c r="BA417" t="s">
        <v>4584</v>
      </c>
      <c r="BB417" t="s">
        <v>9961</v>
      </c>
    </row>
    <row r="418" spans="1:54" x14ac:dyDescent="0.25">
      <c r="A418" t="s">
        <v>9962</v>
      </c>
      <c r="B418" t="s">
        <v>9963</v>
      </c>
      <c r="C418" t="s">
        <v>9964</v>
      </c>
      <c r="D418">
        <v>2022</v>
      </c>
      <c r="E418" t="s">
        <v>9965</v>
      </c>
      <c r="F418">
        <v>22</v>
      </c>
      <c r="G418">
        <v>1</v>
      </c>
      <c r="I418">
        <v>151</v>
      </c>
      <c r="J418">
        <v>182</v>
      </c>
      <c r="L418">
        <v>1</v>
      </c>
      <c r="M418" t="s">
        <v>3943</v>
      </c>
      <c r="N418" t="s">
        <v>9966</v>
      </c>
      <c r="O418" t="s">
        <v>9967</v>
      </c>
      <c r="P418" t="s">
        <v>9968</v>
      </c>
      <c r="Q418" t="s">
        <v>9969</v>
      </c>
      <c r="R418" t="s">
        <v>9970</v>
      </c>
      <c r="AI418" t="s">
        <v>9971</v>
      </c>
      <c r="AJ418" t="s">
        <v>9972</v>
      </c>
      <c r="AM418" t="s">
        <v>8645</v>
      </c>
      <c r="AR418">
        <v>1239155</v>
      </c>
      <c r="AV418" t="s">
        <v>1234</v>
      </c>
      <c r="AW418" t="s">
        <v>3942</v>
      </c>
      <c r="AX418" t="s">
        <v>79</v>
      </c>
      <c r="AY418" t="s">
        <v>4620</v>
      </c>
      <c r="AZ418" t="s">
        <v>4688</v>
      </c>
      <c r="BA418" t="s">
        <v>4584</v>
      </c>
      <c r="BB418" t="s">
        <v>9973</v>
      </c>
    </row>
    <row r="419" spans="1:54" x14ac:dyDescent="0.25">
      <c r="A419" t="s">
        <v>9974</v>
      </c>
      <c r="B419" t="s">
        <v>9975</v>
      </c>
      <c r="C419" t="s">
        <v>9976</v>
      </c>
      <c r="D419">
        <v>2022</v>
      </c>
      <c r="E419" t="s">
        <v>9977</v>
      </c>
      <c r="F419">
        <v>32</v>
      </c>
      <c r="G419">
        <v>1</v>
      </c>
      <c r="I419">
        <v>177</v>
      </c>
      <c r="J419">
        <v>190</v>
      </c>
      <c r="M419" t="s">
        <v>9978</v>
      </c>
      <c r="N419" t="s">
        <v>9979</v>
      </c>
      <c r="O419" t="s">
        <v>9980</v>
      </c>
      <c r="P419" t="s">
        <v>9981</v>
      </c>
      <c r="Q419" t="s">
        <v>9982</v>
      </c>
      <c r="R419" t="s">
        <v>9983</v>
      </c>
      <c r="AI419" t="s">
        <v>9984</v>
      </c>
      <c r="AM419" t="s">
        <v>5356</v>
      </c>
      <c r="AR419">
        <v>1247913</v>
      </c>
      <c r="AV419" t="s">
        <v>1234</v>
      </c>
      <c r="AW419" t="s">
        <v>9985</v>
      </c>
      <c r="AX419" t="s">
        <v>79</v>
      </c>
      <c r="AY419" t="s">
        <v>4620</v>
      </c>
      <c r="AZ419" t="s">
        <v>4672</v>
      </c>
      <c r="BA419" t="s">
        <v>4584</v>
      </c>
      <c r="BB419" t="s">
        <v>9986</v>
      </c>
    </row>
    <row r="420" spans="1:54" x14ac:dyDescent="0.25">
      <c r="A420" t="s">
        <v>9987</v>
      </c>
      <c r="B420" t="s">
        <v>9988</v>
      </c>
      <c r="C420" t="s">
        <v>9989</v>
      </c>
      <c r="D420">
        <v>2022</v>
      </c>
      <c r="E420" t="s">
        <v>9990</v>
      </c>
      <c r="G420">
        <v>51</v>
      </c>
      <c r="I420">
        <v>28</v>
      </c>
      <c r="J420">
        <v>48</v>
      </c>
      <c r="L420">
        <v>1</v>
      </c>
      <c r="M420" t="s">
        <v>9991</v>
      </c>
      <c r="N420" t="s">
        <v>9992</v>
      </c>
      <c r="O420" t="s">
        <v>9993</v>
      </c>
      <c r="P420" t="s">
        <v>9994</v>
      </c>
      <c r="Q420" t="s">
        <v>9995</v>
      </c>
      <c r="R420" t="s">
        <v>9996</v>
      </c>
      <c r="AI420" t="s">
        <v>9997</v>
      </c>
      <c r="AM420" t="s">
        <v>9998</v>
      </c>
      <c r="AR420">
        <v>7193661</v>
      </c>
      <c r="AV420" t="s">
        <v>1234</v>
      </c>
      <c r="AW420" t="s">
        <v>9990</v>
      </c>
      <c r="AX420" t="s">
        <v>79</v>
      </c>
      <c r="AY420" t="s">
        <v>4620</v>
      </c>
      <c r="AZ420" t="s">
        <v>4688</v>
      </c>
      <c r="BA420" t="s">
        <v>4584</v>
      </c>
      <c r="BB420" t="s">
        <v>9999</v>
      </c>
    </row>
    <row r="421" spans="1:54" x14ac:dyDescent="0.25">
      <c r="A421" t="s">
        <v>10000</v>
      </c>
      <c r="B421" t="s">
        <v>10001</v>
      </c>
      <c r="C421" t="s">
        <v>10002</v>
      </c>
      <c r="D421">
        <v>2022</v>
      </c>
      <c r="E421" t="s">
        <v>4619</v>
      </c>
      <c r="F421">
        <v>35</v>
      </c>
      <c r="G421">
        <v>1</v>
      </c>
      <c r="I421">
        <v>21</v>
      </c>
      <c r="J421">
        <v>28</v>
      </c>
      <c r="M421" t="s">
        <v>4621</v>
      </c>
      <c r="N421" t="s">
        <v>10003</v>
      </c>
      <c r="O421" t="s">
        <v>10004</v>
      </c>
      <c r="P421" t="s">
        <v>10005</v>
      </c>
      <c r="Q421" t="s">
        <v>10006</v>
      </c>
      <c r="R421" t="s">
        <v>10007</v>
      </c>
      <c r="AI421" t="s">
        <v>10008</v>
      </c>
      <c r="AJ421" t="s">
        <v>10009</v>
      </c>
      <c r="AM421" t="s">
        <v>5890</v>
      </c>
      <c r="AR421">
        <v>1210793</v>
      </c>
      <c r="AT421" t="s">
        <v>10010</v>
      </c>
      <c r="AV421" t="s">
        <v>1234</v>
      </c>
      <c r="AW421" t="s">
        <v>4619</v>
      </c>
      <c r="AX421" t="s">
        <v>79</v>
      </c>
      <c r="AY421" t="s">
        <v>4620</v>
      </c>
      <c r="BA421" t="s">
        <v>4584</v>
      </c>
      <c r="BB421" t="s">
        <v>10011</v>
      </c>
    </row>
    <row r="422" spans="1:54" x14ac:dyDescent="0.25">
      <c r="A422" t="s">
        <v>10012</v>
      </c>
      <c r="B422" t="s">
        <v>10013</v>
      </c>
      <c r="C422" t="s">
        <v>10014</v>
      </c>
      <c r="D422">
        <v>2022</v>
      </c>
      <c r="E422" t="s">
        <v>10015</v>
      </c>
      <c r="F422">
        <v>64</v>
      </c>
      <c r="G422">
        <v>1</v>
      </c>
      <c r="I422">
        <v>109</v>
      </c>
      <c r="J422">
        <v>132</v>
      </c>
      <c r="M422" t="s">
        <v>10016</v>
      </c>
      <c r="N422" t="s">
        <v>10017</v>
      </c>
      <c r="O422" t="s">
        <v>10018</v>
      </c>
      <c r="P422" t="s">
        <v>10019</v>
      </c>
      <c r="Q422" t="s">
        <v>10020</v>
      </c>
      <c r="R422" t="s">
        <v>10021</v>
      </c>
      <c r="AI422" t="s">
        <v>10022</v>
      </c>
      <c r="AM422" t="s">
        <v>10023</v>
      </c>
      <c r="AR422">
        <v>17943108</v>
      </c>
      <c r="AV422" t="s">
        <v>1234</v>
      </c>
      <c r="AW422" t="s">
        <v>10024</v>
      </c>
      <c r="AX422" t="s">
        <v>79</v>
      </c>
      <c r="AY422" t="s">
        <v>4620</v>
      </c>
      <c r="AZ422" t="s">
        <v>4771</v>
      </c>
      <c r="BA422" t="s">
        <v>4584</v>
      </c>
      <c r="BB422" t="s">
        <v>10025</v>
      </c>
    </row>
    <row r="423" spans="1:54" x14ac:dyDescent="0.25">
      <c r="A423" t="s">
        <v>10026</v>
      </c>
      <c r="B423" t="s">
        <v>10027</v>
      </c>
      <c r="C423" t="s">
        <v>10028</v>
      </c>
      <c r="D423">
        <v>2022</v>
      </c>
      <c r="E423" t="s">
        <v>4580</v>
      </c>
      <c r="G423">
        <v>46</v>
      </c>
      <c r="I423">
        <v>12</v>
      </c>
      <c r="J423">
        <v>48</v>
      </c>
      <c r="M423" t="s">
        <v>10029</v>
      </c>
      <c r="N423" t="s">
        <v>10030</v>
      </c>
      <c r="O423" t="s">
        <v>10031</v>
      </c>
      <c r="P423" t="s">
        <v>10032</v>
      </c>
      <c r="Q423" t="s">
        <v>10033</v>
      </c>
      <c r="R423" t="s">
        <v>10034</v>
      </c>
      <c r="AI423" t="s">
        <v>10035</v>
      </c>
      <c r="AM423" t="s">
        <v>9242</v>
      </c>
      <c r="AR423">
        <v>17948886</v>
      </c>
      <c r="AV423" t="s">
        <v>1234</v>
      </c>
      <c r="AW423" t="s">
        <v>4580</v>
      </c>
      <c r="AX423" t="s">
        <v>79</v>
      </c>
      <c r="AY423" t="s">
        <v>4620</v>
      </c>
      <c r="AZ423" t="s">
        <v>4688</v>
      </c>
      <c r="BA423" t="s">
        <v>4584</v>
      </c>
      <c r="BB423" t="s">
        <v>10036</v>
      </c>
    </row>
    <row r="424" spans="1:54" x14ac:dyDescent="0.25">
      <c r="A424" t="s">
        <v>10037</v>
      </c>
      <c r="B424" t="s">
        <v>10038</v>
      </c>
      <c r="C424" t="s">
        <v>10039</v>
      </c>
      <c r="D424">
        <v>2022</v>
      </c>
      <c r="E424" t="s">
        <v>8383</v>
      </c>
      <c r="F424">
        <v>33</v>
      </c>
      <c r="G424">
        <v>1</v>
      </c>
      <c r="H424" t="s">
        <v>4600</v>
      </c>
      <c r="M424" t="s">
        <v>4601</v>
      </c>
      <c r="N424" t="s">
        <v>10040</v>
      </c>
      <c r="O424" t="s">
        <v>10041</v>
      </c>
      <c r="P424" t="s">
        <v>10042</v>
      </c>
      <c r="Q424" t="s">
        <v>10043</v>
      </c>
      <c r="R424" t="s">
        <v>10044</v>
      </c>
      <c r="S424" t="s">
        <v>10045</v>
      </c>
      <c r="U424" t="s">
        <v>10046</v>
      </c>
      <c r="AI424" t="s">
        <v>10047</v>
      </c>
      <c r="AJ424" t="s">
        <v>10048</v>
      </c>
      <c r="AM424" t="s">
        <v>8394</v>
      </c>
      <c r="AR424">
        <v>16823419</v>
      </c>
      <c r="AV424" t="s">
        <v>1234</v>
      </c>
      <c r="AW424" t="s">
        <v>8395</v>
      </c>
      <c r="AX424" t="s">
        <v>79</v>
      </c>
      <c r="AY424" t="s">
        <v>4620</v>
      </c>
      <c r="AZ424" t="s">
        <v>4672</v>
      </c>
      <c r="BA424" t="s">
        <v>4584</v>
      </c>
      <c r="BB424" t="s">
        <v>10049</v>
      </c>
    </row>
    <row r="425" spans="1:54" x14ac:dyDescent="0.25">
      <c r="A425" t="s">
        <v>10050</v>
      </c>
      <c r="B425" t="s">
        <v>10051</v>
      </c>
      <c r="C425" t="s">
        <v>10052</v>
      </c>
      <c r="D425">
        <v>2022</v>
      </c>
      <c r="E425" t="s">
        <v>10053</v>
      </c>
      <c r="F425">
        <v>280</v>
      </c>
      <c r="I425">
        <v>285</v>
      </c>
      <c r="J425">
        <v>295</v>
      </c>
      <c r="M425" t="s">
        <v>10054</v>
      </c>
      <c r="N425" t="s">
        <v>10055</v>
      </c>
      <c r="O425" t="s">
        <v>10056</v>
      </c>
      <c r="P425" t="s">
        <v>10057</v>
      </c>
      <c r="Q425" t="s">
        <v>10058</v>
      </c>
      <c r="R425" t="s">
        <v>10059</v>
      </c>
      <c r="S425" t="s">
        <v>10060</v>
      </c>
      <c r="AI425" t="s">
        <v>10061</v>
      </c>
      <c r="AJ425" t="s">
        <v>10062</v>
      </c>
      <c r="AK425" t="s">
        <v>10063</v>
      </c>
      <c r="AM425" t="s">
        <v>4748</v>
      </c>
      <c r="AN425" t="s">
        <v>10064</v>
      </c>
      <c r="AO425" t="s">
        <v>10065</v>
      </c>
      <c r="AQ425">
        <v>274959</v>
      </c>
      <c r="AR425">
        <v>21903018</v>
      </c>
      <c r="AS425">
        <v>9789811692710</v>
      </c>
      <c r="AV425" t="s">
        <v>78</v>
      </c>
      <c r="AW425" t="s">
        <v>10066</v>
      </c>
      <c r="AX425" t="s">
        <v>10683</v>
      </c>
      <c r="AY425" t="s">
        <v>4620</v>
      </c>
      <c r="BA425" t="s">
        <v>4584</v>
      </c>
      <c r="BB425" t="s">
        <v>10067</v>
      </c>
    </row>
    <row r="426" spans="1:54" x14ac:dyDescent="0.25">
      <c r="A426" t="s">
        <v>10068</v>
      </c>
      <c r="B426" t="s">
        <v>10069</v>
      </c>
      <c r="C426" t="s">
        <v>10070</v>
      </c>
      <c r="D426">
        <v>2022</v>
      </c>
      <c r="E426" t="s">
        <v>10071</v>
      </c>
      <c r="F426">
        <v>15</v>
      </c>
      <c r="G426">
        <v>1</v>
      </c>
      <c r="I426">
        <v>1</v>
      </c>
      <c r="J426">
        <v>13</v>
      </c>
      <c r="M426" t="s">
        <v>10072</v>
      </c>
      <c r="N426" t="s">
        <v>10073</v>
      </c>
      <c r="O426" t="s">
        <v>10074</v>
      </c>
      <c r="P426" t="s">
        <v>10075</v>
      </c>
      <c r="Q426" t="s">
        <v>10076</v>
      </c>
      <c r="R426" t="s">
        <v>10077</v>
      </c>
      <c r="AI426" t="s">
        <v>10078</v>
      </c>
      <c r="AJ426" t="s">
        <v>10079</v>
      </c>
      <c r="AM426" t="s">
        <v>4765</v>
      </c>
      <c r="AR426" t="s">
        <v>10080</v>
      </c>
      <c r="AV426" t="s">
        <v>78</v>
      </c>
      <c r="AW426" t="s">
        <v>10081</v>
      </c>
      <c r="AX426" t="s">
        <v>1500</v>
      </c>
      <c r="AY426" t="s">
        <v>4620</v>
      </c>
      <c r="BA426" t="s">
        <v>4584</v>
      </c>
      <c r="BB426" t="s">
        <v>10082</v>
      </c>
    </row>
    <row r="427" spans="1:54" x14ac:dyDescent="0.25">
      <c r="A427" t="s">
        <v>10083</v>
      </c>
      <c r="B427" t="s">
        <v>10084</v>
      </c>
      <c r="C427" t="s">
        <v>10085</v>
      </c>
      <c r="D427">
        <v>2022</v>
      </c>
      <c r="E427" t="s">
        <v>5442</v>
      </c>
      <c r="F427">
        <v>33</v>
      </c>
      <c r="G427">
        <v>1</v>
      </c>
      <c r="H427">
        <v>46905</v>
      </c>
      <c r="M427" t="s">
        <v>10086</v>
      </c>
      <c r="N427" t="s">
        <v>10087</v>
      </c>
      <c r="O427" t="s">
        <v>10088</v>
      </c>
      <c r="P427" t="s">
        <v>10089</v>
      </c>
      <c r="Q427" t="s">
        <v>10090</v>
      </c>
      <c r="R427" t="s">
        <v>10091</v>
      </c>
      <c r="AI427" t="s">
        <v>10092</v>
      </c>
      <c r="AJ427" t="s">
        <v>10093</v>
      </c>
      <c r="AM427" t="s">
        <v>5451</v>
      </c>
      <c r="AR427">
        <v>22153608</v>
      </c>
      <c r="AV427" t="s">
        <v>1234</v>
      </c>
      <c r="AW427" t="s">
        <v>5452</v>
      </c>
      <c r="AX427" t="s">
        <v>79</v>
      </c>
      <c r="AY427" t="s">
        <v>4620</v>
      </c>
      <c r="AZ427" t="s">
        <v>4688</v>
      </c>
      <c r="BA427" t="s">
        <v>4584</v>
      </c>
      <c r="BB427" t="s">
        <v>10094</v>
      </c>
    </row>
    <row r="428" spans="1:54" x14ac:dyDescent="0.25">
      <c r="A428" t="s">
        <v>10095</v>
      </c>
      <c r="B428" t="s">
        <v>10096</v>
      </c>
      <c r="C428" t="s">
        <v>10097</v>
      </c>
      <c r="D428">
        <v>2022</v>
      </c>
      <c r="E428" t="s">
        <v>10098</v>
      </c>
      <c r="F428">
        <v>29</v>
      </c>
      <c r="G428">
        <v>1</v>
      </c>
      <c r="I428">
        <v>57</v>
      </c>
      <c r="J428">
        <v>63</v>
      </c>
      <c r="M428" t="s">
        <v>10099</v>
      </c>
      <c r="N428" t="s">
        <v>10100</v>
      </c>
      <c r="O428" t="s">
        <v>10101</v>
      </c>
      <c r="P428" t="s">
        <v>10102</v>
      </c>
      <c r="Q428" t="s">
        <v>10103</v>
      </c>
      <c r="R428" t="s">
        <v>10104</v>
      </c>
      <c r="S428" t="s">
        <v>10105</v>
      </c>
      <c r="AI428" t="s">
        <v>10106</v>
      </c>
      <c r="AJ428" t="s">
        <v>10107</v>
      </c>
      <c r="AM428" t="s">
        <v>10108</v>
      </c>
      <c r="AR428">
        <v>1205633</v>
      </c>
      <c r="AV428" t="s">
        <v>1234</v>
      </c>
      <c r="AW428" t="s">
        <v>10109</v>
      </c>
      <c r="AX428" t="s">
        <v>79</v>
      </c>
      <c r="AY428" t="s">
        <v>4620</v>
      </c>
      <c r="AZ428" t="s">
        <v>4672</v>
      </c>
      <c r="BA428" t="s">
        <v>4584</v>
      </c>
      <c r="BB428" t="s">
        <v>10110</v>
      </c>
    </row>
    <row r="429" spans="1:54" x14ac:dyDescent="0.25">
      <c r="A429" t="s">
        <v>10111</v>
      </c>
      <c r="B429" t="s">
        <v>10112</v>
      </c>
      <c r="C429" t="s">
        <v>10113</v>
      </c>
      <c r="D429">
        <v>2022</v>
      </c>
      <c r="E429" t="s">
        <v>10114</v>
      </c>
      <c r="F429">
        <v>62</v>
      </c>
      <c r="G429">
        <v>1</v>
      </c>
      <c r="I429">
        <v>47</v>
      </c>
      <c r="J429">
        <v>54</v>
      </c>
      <c r="M429" t="s">
        <v>10115</v>
      </c>
      <c r="N429" t="s">
        <v>10116</v>
      </c>
      <c r="O429" t="s">
        <v>10117</v>
      </c>
      <c r="P429" t="s">
        <v>10118</v>
      </c>
      <c r="Q429" t="s">
        <v>10119</v>
      </c>
      <c r="R429" t="s">
        <v>10120</v>
      </c>
      <c r="AI429" t="s">
        <v>10121</v>
      </c>
      <c r="AJ429" t="s">
        <v>10122</v>
      </c>
      <c r="AM429" t="s">
        <v>10123</v>
      </c>
      <c r="AR429">
        <v>16904648</v>
      </c>
      <c r="AV429" t="s">
        <v>1234</v>
      </c>
      <c r="AW429" t="s">
        <v>10124</v>
      </c>
      <c r="AX429" t="s">
        <v>79</v>
      </c>
      <c r="AY429" t="s">
        <v>4620</v>
      </c>
      <c r="BA429" t="s">
        <v>4584</v>
      </c>
      <c r="BB429" t="s">
        <v>10125</v>
      </c>
    </row>
    <row r="430" spans="1:54" x14ac:dyDescent="0.25">
      <c r="A430" t="s">
        <v>10126</v>
      </c>
      <c r="B430" t="s">
        <v>10127</v>
      </c>
      <c r="C430" t="s">
        <v>10128</v>
      </c>
      <c r="D430">
        <v>2022</v>
      </c>
      <c r="E430" t="s">
        <v>10114</v>
      </c>
      <c r="F430">
        <v>62</v>
      </c>
      <c r="G430">
        <v>1</v>
      </c>
      <c r="I430">
        <v>83</v>
      </c>
      <c r="J430">
        <v>89</v>
      </c>
      <c r="M430" t="s">
        <v>10129</v>
      </c>
      <c r="N430" t="s">
        <v>10130</v>
      </c>
      <c r="O430" t="s">
        <v>10131</v>
      </c>
      <c r="P430" t="s">
        <v>10132</v>
      </c>
      <c r="Q430" t="s">
        <v>10133</v>
      </c>
      <c r="R430" t="s">
        <v>10134</v>
      </c>
      <c r="AI430" t="s">
        <v>10135</v>
      </c>
      <c r="AJ430" t="s">
        <v>10136</v>
      </c>
      <c r="AM430" t="s">
        <v>10123</v>
      </c>
      <c r="AR430">
        <v>16904648</v>
      </c>
      <c r="AV430" t="s">
        <v>1234</v>
      </c>
      <c r="AW430" t="s">
        <v>10124</v>
      </c>
      <c r="AX430" t="s">
        <v>79</v>
      </c>
      <c r="AY430" t="s">
        <v>4620</v>
      </c>
      <c r="BA430" t="s">
        <v>4584</v>
      </c>
      <c r="BB430" t="s">
        <v>10137</v>
      </c>
    </row>
    <row r="431" spans="1:54" x14ac:dyDescent="0.25">
      <c r="A431" t="s">
        <v>10138</v>
      </c>
      <c r="B431" t="s">
        <v>10139</v>
      </c>
      <c r="C431" t="s">
        <v>499</v>
      </c>
      <c r="D431">
        <v>2022</v>
      </c>
      <c r="E431" t="s">
        <v>10140</v>
      </c>
      <c r="F431">
        <v>2022</v>
      </c>
      <c r="H431">
        <v>7287487</v>
      </c>
      <c r="L431">
        <v>2</v>
      </c>
      <c r="M431" t="s">
        <v>517</v>
      </c>
      <c r="N431" t="s">
        <v>10141</v>
      </c>
      <c r="O431" t="s">
        <v>10142</v>
      </c>
      <c r="P431" t="s">
        <v>10143</v>
      </c>
      <c r="Q431" t="s">
        <v>10144</v>
      </c>
      <c r="AI431" t="s">
        <v>10145</v>
      </c>
      <c r="AJ431" t="s">
        <v>10146</v>
      </c>
      <c r="AM431" t="s">
        <v>8994</v>
      </c>
      <c r="AR431">
        <v>23567015</v>
      </c>
      <c r="AV431" t="s">
        <v>78</v>
      </c>
      <c r="AW431" t="s">
        <v>515</v>
      </c>
      <c r="AX431" t="s">
        <v>79</v>
      </c>
      <c r="AY431" t="s">
        <v>4620</v>
      </c>
      <c r="AZ431" t="s">
        <v>4688</v>
      </c>
      <c r="BA431" t="s">
        <v>4584</v>
      </c>
      <c r="BB431" t="s">
        <v>10147</v>
      </c>
    </row>
    <row r="432" spans="1:54" x14ac:dyDescent="0.25">
      <c r="A432" t="s">
        <v>10148</v>
      </c>
      <c r="B432" t="s">
        <v>10149</v>
      </c>
      <c r="C432" t="s">
        <v>10150</v>
      </c>
      <c r="D432">
        <v>2022</v>
      </c>
      <c r="E432" t="s">
        <v>5883</v>
      </c>
      <c r="G432">
        <v>96</v>
      </c>
      <c r="I432">
        <v>145</v>
      </c>
      <c r="J432">
        <v>169</v>
      </c>
      <c r="M432" t="s">
        <v>10151</v>
      </c>
      <c r="N432" t="s">
        <v>10152</v>
      </c>
      <c r="O432" t="s">
        <v>10153</v>
      </c>
      <c r="P432" t="s">
        <v>10154</v>
      </c>
      <c r="Q432" t="s">
        <v>10155</v>
      </c>
      <c r="R432" t="s">
        <v>10156</v>
      </c>
      <c r="AI432" t="s">
        <v>10157</v>
      </c>
      <c r="AM432" t="s">
        <v>5890</v>
      </c>
      <c r="AR432">
        <v>1202596</v>
      </c>
      <c r="AV432" t="s">
        <v>1234</v>
      </c>
      <c r="AW432" t="s">
        <v>5891</v>
      </c>
      <c r="AX432" t="s">
        <v>79</v>
      </c>
      <c r="AY432" t="s">
        <v>4620</v>
      </c>
      <c r="AZ432" t="s">
        <v>4688</v>
      </c>
      <c r="BA432" t="s">
        <v>4584</v>
      </c>
      <c r="BB432" t="s">
        <v>10158</v>
      </c>
    </row>
    <row r="433" spans="1:54" x14ac:dyDescent="0.25">
      <c r="A433" t="s">
        <v>10159</v>
      </c>
      <c r="B433" t="s">
        <v>10160</v>
      </c>
      <c r="C433" t="s">
        <v>10161</v>
      </c>
      <c r="D433">
        <v>2022</v>
      </c>
      <c r="E433" t="s">
        <v>10162</v>
      </c>
      <c r="F433">
        <v>2022</v>
      </c>
      <c r="G433">
        <v>83</v>
      </c>
      <c r="I433">
        <v>99</v>
      </c>
      <c r="J433">
        <v>123</v>
      </c>
      <c r="M433" t="s">
        <v>10163</v>
      </c>
      <c r="N433" t="s">
        <v>10164</v>
      </c>
      <c r="O433" t="s">
        <v>10165</v>
      </c>
      <c r="P433" t="s">
        <v>10166</v>
      </c>
      <c r="Q433" t="s">
        <v>10167</v>
      </c>
      <c r="R433" t="s">
        <v>10168</v>
      </c>
      <c r="AI433" t="s">
        <v>10169</v>
      </c>
      <c r="AM433" t="s">
        <v>10170</v>
      </c>
      <c r="AR433">
        <v>1211617</v>
      </c>
      <c r="AV433" t="s">
        <v>1234</v>
      </c>
      <c r="AW433" t="s">
        <v>10171</v>
      </c>
      <c r="AX433" t="s">
        <v>79</v>
      </c>
      <c r="AY433" t="s">
        <v>4620</v>
      </c>
      <c r="AZ433" t="s">
        <v>4688</v>
      </c>
      <c r="BA433" t="s">
        <v>4584</v>
      </c>
      <c r="BB433" t="s">
        <v>10172</v>
      </c>
    </row>
    <row r="434" spans="1:54" x14ac:dyDescent="0.25">
      <c r="A434" t="s">
        <v>10173</v>
      </c>
      <c r="B434" t="s">
        <v>10174</v>
      </c>
      <c r="C434" t="s">
        <v>10175</v>
      </c>
      <c r="D434">
        <v>2022</v>
      </c>
      <c r="E434" t="s">
        <v>10162</v>
      </c>
      <c r="F434">
        <v>2022</v>
      </c>
      <c r="G434">
        <v>83</v>
      </c>
      <c r="I434">
        <v>3</v>
      </c>
      <c r="J434">
        <v>31</v>
      </c>
      <c r="M434" t="s">
        <v>10176</v>
      </c>
      <c r="N434" t="s">
        <v>10177</v>
      </c>
      <c r="O434" t="s">
        <v>10178</v>
      </c>
      <c r="P434" t="s">
        <v>10179</v>
      </c>
      <c r="Q434" t="s">
        <v>10180</v>
      </c>
      <c r="R434" t="s">
        <v>10181</v>
      </c>
      <c r="AI434" t="s">
        <v>10182</v>
      </c>
      <c r="AJ434" t="s">
        <v>10183</v>
      </c>
      <c r="AM434" t="s">
        <v>10170</v>
      </c>
      <c r="AR434">
        <v>1211617</v>
      </c>
      <c r="AV434" t="s">
        <v>1234</v>
      </c>
      <c r="AW434" t="s">
        <v>10171</v>
      </c>
      <c r="AX434" t="s">
        <v>79</v>
      </c>
      <c r="AY434" t="s">
        <v>4620</v>
      </c>
      <c r="AZ434" t="s">
        <v>4688</v>
      </c>
      <c r="BA434" t="s">
        <v>4584</v>
      </c>
      <c r="BB434" t="s">
        <v>10184</v>
      </c>
    </row>
    <row r="435" spans="1:54" x14ac:dyDescent="0.25">
      <c r="A435" t="s">
        <v>10185</v>
      </c>
      <c r="B435" t="s">
        <v>10186</v>
      </c>
      <c r="C435" t="s">
        <v>603</v>
      </c>
      <c r="D435">
        <v>2022</v>
      </c>
      <c r="E435" t="s">
        <v>10187</v>
      </c>
      <c r="F435">
        <v>61</v>
      </c>
      <c r="G435">
        <v>4</v>
      </c>
      <c r="I435">
        <v>464</v>
      </c>
      <c r="J435">
        <v>474</v>
      </c>
      <c r="M435" t="s">
        <v>621</v>
      </c>
      <c r="N435" t="s">
        <v>10188</v>
      </c>
      <c r="O435" t="s">
        <v>10189</v>
      </c>
      <c r="P435" t="s">
        <v>10190</v>
      </c>
      <c r="Q435" t="s">
        <v>10191</v>
      </c>
      <c r="R435" t="s">
        <v>10192</v>
      </c>
      <c r="S435" t="s">
        <v>10193</v>
      </c>
      <c r="X435" t="s">
        <v>4690</v>
      </c>
      <c r="Y435" t="s">
        <v>10194</v>
      </c>
      <c r="Z435" t="s">
        <v>10195</v>
      </c>
      <c r="AI435" t="s">
        <v>10196</v>
      </c>
      <c r="AJ435" t="s">
        <v>10197</v>
      </c>
      <c r="AM435" t="s">
        <v>4693</v>
      </c>
      <c r="AR435">
        <v>84433</v>
      </c>
      <c r="AT435" t="s">
        <v>10198</v>
      </c>
      <c r="AV435" t="s">
        <v>78</v>
      </c>
      <c r="AW435" t="s">
        <v>10199</v>
      </c>
      <c r="AX435" t="s">
        <v>79</v>
      </c>
      <c r="AY435" t="s">
        <v>4620</v>
      </c>
      <c r="BA435" t="s">
        <v>4584</v>
      </c>
      <c r="BB435" t="s">
        <v>10200</v>
      </c>
    </row>
    <row r="436" spans="1:54" x14ac:dyDescent="0.25">
      <c r="A436" t="s">
        <v>10201</v>
      </c>
      <c r="B436" t="s">
        <v>10202</v>
      </c>
      <c r="C436" t="s">
        <v>3689</v>
      </c>
      <c r="D436">
        <v>2022</v>
      </c>
      <c r="E436" t="s">
        <v>10203</v>
      </c>
      <c r="M436" t="s">
        <v>3703</v>
      </c>
      <c r="N436" t="s">
        <v>10204</v>
      </c>
      <c r="O436" t="s">
        <v>10205</v>
      </c>
      <c r="P436" t="s">
        <v>10206</v>
      </c>
      <c r="Q436" t="s">
        <v>10207</v>
      </c>
      <c r="R436" t="s">
        <v>10208</v>
      </c>
      <c r="AI436" t="s">
        <v>10209</v>
      </c>
      <c r="AJ436" t="s">
        <v>10210</v>
      </c>
      <c r="AM436" t="s">
        <v>4693</v>
      </c>
      <c r="AR436">
        <v>1650521</v>
      </c>
      <c r="AT436" t="s">
        <v>10211</v>
      </c>
      <c r="AV436" t="s">
        <v>78</v>
      </c>
      <c r="AW436" t="s">
        <v>3702</v>
      </c>
      <c r="AX436" t="s">
        <v>79</v>
      </c>
      <c r="AY436" t="s">
        <v>4694</v>
      </c>
      <c r="BA436" t="s">
        <v>4584</v>
      </c>
      <c r="BB436" t="s">
        <v>10212</v>
      </c>
    </row>
    <row r="437" spans="1:54" x14ac:dyDescent="0.25">
      <c r="A437" t="s">
        <v>10213</v>
      </c>
      <c r="B437" t="s">
        <v>10214</v>
      </c>
      <c r="C437" t="s">
        <v>10215</v>
      </c>
      <c r="D437">
        <v>2022</v>
      </c>
      <c r="E437" t="s">
        <v>5362</v>
      </c>
      <c r="F437">
        <v>75</v>
      </c>
      <c r="G437">
        <v>1</v>
      </c>
      <c r="I437">
        <v>9853</v>
      </c>
      <c r="J437">
        <v>9865</v>
      </c>
      <c r="L437">
        <v>1</v>
      </c>
      <c r="M437" t="s">
        <v>10216</v>
      </c>
      <c r="N437" t="s">
        <v>10217</v>
      </c>
      <c r="O437" t="s">
        <v>10218</v>
      </c>
      <c r="P437" t="s">
        <v>10219</v>
      </c>
      <c r="Q437" t="s">
        <v>10220</v>
      </c>
      <c r="R437" t="s">
        <v>10221</v>
      </c>
      <c r="X437" t="s">
        <v>10222</v>
      </c>
      <c r="Y437" t="s">
        <v>10223</v>
      </c>
      <c r="AI437" t="s">
        <v>10224</v>
      </c>
      <c r="AJ437" t="s">
        <v>10225</v>
      </c>
      <c r="AM437" t="s">
        <v>5356</v>
      </c>
      <c r="AR437">
        <v>3042847</v>
      </c>
      <c r="AV437" t="s">
        <v>78</v>
      </c>
      <c r="AW437" t="s">
        <v>5373</v>
      </c>
      <c r="AX437" t="s">
        <v>79</v>
      </c>
      <c r="AY437" t="s">
        <v>4620</v>
      </c>
      <c r="AZ437" t="s">
        <v>4672</v>
      </c>
      <c r="BA437" t="s">
        <v>4584</v>
      </c>
      <c r="BB437" t="s">
        <v>10226</v>
      </c>
    </row>
    <row r="438" spans="1:54" x14ac:dyDescent="0.25">
      <c r="A438" t="s">
        <v>10227</v>
      </c>
      <c r="B438" t="s">
        <v>10228</v>
      </c>
      <c r="C438" t="s">
        <v>10229</v>
      </c>
      <c r="D438">
        <v>2022</v>
      </c>
      <c r="E438" t="s">
        <v>9126</v>
      </c>
      <c r="F438">
        <v>44</v>
      </c>
      <c r="G438">
        <v>1</v>
      </c>
      <c r="I438">
        <v>49</v>
      </c>
      <c r="J438">
        <v>73</v>
      </c>
      <c r="M438" t="s">
        <v>3475</v>
      </c>
      <c r="N438" t="s">
        <v>10230</v>
      </c>
      <c r="O438" t="s">
        <v>10231</v>
      </c>
      <c r="P438" t="s">
        <v>10232</v>
      </c>
      <c r="Q438" t="s">
        <v>10233</v>
      </c>
      <c r="R438" t="s">
        <v>10234</v>
      </c>
      <c r="AI438" t="s">
        <v>10235</v>
      </c>
      <c r="AJ438" t="s">
        <v>10236</v>
      </c>
      <c r="AM438" t="s">
        <v>9134</v>
      </c>
      <c r="AR438">
        <v>1200283</v>
      </c>
      <c r="AV438" t="s">
        <v>1234</v>
      </c>
      <c r="AW438" t="s">
        <v>1619</v>
      </c>
      <c r="AX438" t="s">
        <v>79</v>
      </c>
      <c r="AY438" t="s">
        <v>4620</v>
      </c>
      <c r="AZ438" t="s">
        <v>4672</v>
      </c>
      <c r="BA438" t="s">
        <v>4584</v>
      </c>
      <c r="BB438" t="s">
        <v>10237</v>
      </c>
    </row>
    <row r="439" spans="1:54" x14ac:dyDescent="0.25">
      <c r="A439" t="s">
        <v>10238</v>
      </c>
      <c r="B439" t="s">
        <v>10239</v>
      </c>
      <c r="C439" t="s">
        <v>2745</v>
      </c>
      <c r="D439">
        <v>2022</v>
      </c>
      <c r="E439" t="s">
        <v>10240</v>
      </c>
      <c r="F439">
        <v>2022</v>
      </c>
      <c r="G439">
        <v>1</v>
      </c>
      <c r="H439" t="s">
        <v>2763</v>
      </c>
      <c r="L439">
        <v>2</v>
      </c>
      <c r="M439" t="s">
        <v>2764</v>
      </c>
      <c r="N439" t="s">
        <v>10241</v>
      </c>
      <c r="O439" t="s">
        <v>10242</v>
      </c>
      <c r="P439" t="s">
        <v>10243</v>
      </c>
      <c r="Q439" t="s">
        <v>10244</v>
      </c>
      <c r="AI439" t="s">
        <v>10245</v>
      </c>
      <c r="AM439" t="s">
        <v>10246</v>
      </c>
      <c r="AR439">
        <v>20503911</v>
      </c>
      <c r="AV439" t="s">
        <v>78</v>
      </c>
      <c r="AW439" t="s">
        <v>2761</v>
      </c>
      <c r="AX439" t="s">
        <v>79</v>
      </c>
      <c r="AY439" t="s">
        <v>4620</v>
      </c>
      <c r="AZ439" t="s">
        <v>4688</v>
      </c>
      <c r="BA439" t="s">
        <v>4584</v>
      </c>
      <c r="BB439" t="s">
        <v>10247</v>
      </c>
    </row>
    <row r="440" spans="1:54" x14ac:dyDescent="0.25">
      <c r="A440" t="s">
        <v>10248</v>
      </c>
      <c r="B440" t="s">
        <v>10249</v>
      </c>
      <c r="C440" t="s">
        <v>10250</v>
      </c>
      <c r="D440">
        <v>2022</v>
      </c>
      <c r="E440" t="s">
        <v>10251</v>
      </c>
      <c r="F440">
        <v>16</v>
      </c>
      <c r="G440">
        <v>2</v>
      </c>
      <c r="I440">
        <v>99</v>
      </c>
      <c r="J440">
        <v>113</v>
      </c>
      <c r="L440">
        <v>2</v>
      </c>
      <c r="M440" t="s">
        <v>10252</v>
      </c>
      <c r="N440" t="s">
        <v>10253</v>
      </c>
      <c r="O440" t="s">
        <v>6147</v>
      </c>
      <c r="P440" t="s">
        <v>10254</v>
      </c>
      <c r="Q440" t="s">
        <v>10255</v>
      </c>
      <c r="R440" t="s">
        <v>10256</v>
      </c>
      <c r="AI440" t="s">
        <v>10257</v>
      </c>
      <c r="AM440" t="s">
        <v>10258</v>
      </c>
      <c r="AR440">
        <v>18873987</v>
      </c>
      <c r="AV440" t="s">
        <v>1234</v>
      </c>
      <c r="AW440" t="s">
        <v>10259</v>
      </c>
      <c r="AX440" t="s">
        <v>79</v>
      </c>
      <c r="AY440" t="s">
        <v>4620</v>
      </c>
      <c r="AZ440" t="s">
        <v>4688</v>
      </c>
      <c r="BA440" t="s">
        <v>4584</v>
      </c>
      <c r="BB440" t="s">
        <v>10260</v>
      </c>
    </row>
    <row r="441" spans="1:54" x14ac:dyDescent="0.25">
      <c r="A441" t="s">
        <v>10261</v>
      </c>
      <c r="B441" t="s">
        <v>10262</v>
      </c>
      <c r="C441" t="s">
        <v>10263</v>
      </c>
      <c r="D441">
        <v>2022</v>
      </c>
      <c r="E441" t="s">
        <v>10264</v>
      </c>
      <c r="F441">
        <v>45</v>
      </c>
      <c r="G441">
        <v>1</v>
      </c>
      <c r="I441">
        <v>197</v>
      </c>
      <c r="J441">
        <v>217</v>
      </c>
      <c r="M441" t="s">
        <v>1380</v>
      </c>
      <c r="N441" t="s">
        <v>10265</v>
      </c>
      <c r="O441" t="s">
        <v>7680</v>
      </c>
      <c r="P441" t="s">
        <v>10266</v>
      </c>
      <c r="Q441" t="s">
        <v>10267</v>
      </c>
      <c r="R441" t="s">
        <v>10268</v>
      </c>
      <c r="AI441" t="s">
        <v>10269</v>
      </c>
      <c r="AJ441" t="s">
        <v>10270</v>
      </c>
      <c r="AM441" t="s">
        <v>5356</v>
      </c>
      <c r="AR441" t="s">
        <v>10271</v>
      </c>
      <c r="AV441" t="s">
        <v>1234</v>
      </c>
      <c r="AW441" t="s">
        <v>10272</v>
      </c>
      <c r="AX441" t="s">
        <v>79</v>
      </c>
      <c r="AY441" t="s">
        <v>4620</v>
      </c>
      <c r="BA441" t="s">
        <v>4584</v>
      </c>
      <c r="BB441" t="s">
        <v>10273</v>
      </c>
    </row>
    <row r="442" spans="1:54" x14ac:dyDescent="0.25">
      <c r="A442" t="s">
        <v>10274</v>
      </c>
      <c r="B442" t="s">
        <v>10275</v>
      </c>
      <c r="C442" t="s">
        <v>10276</v>
      </c>
      <c r="D442">
        <v>2022</v>
      </c>
      <c r="E442" t="s">
        <v>10264</v>
      </c>
      <c r="F442">
        <v>45</v>
      </c>
      <c r="G442">
        <v>1</v>
      </c>
      <c r="I442">
        <v>147</v>
      </c>
      <c r="J442">
        <v>172</v>
      </c>
      <c r="M442" t="s">
        <v>10277</v>
      </c>
      <c r="N442" t="s">
        <v>10278</v>
      </c>
      <c r="O442" t="s">
        <v>10279</v>
      </c>
      <c r="P442" t="s">
        <v>10280</v>
      </c>
      <c r="Q442" t="s">
        <v>10281</v>
      </c>
      <c r="R442" t="s">
        <v>10282</v>
      </c>
      <c r="AI442" t="s">
        <v>10283</v>
      </c>
      <c r="AJ442" t="s">
        <v>10284</v>
      </c>
      <c r="AM442" t="s">
        <v>5356</v>
      </c>
      <c r="AR442" t="s">
        <v>10271</v>
      </c>
      <c r="AV442" t="s">
        <v>1234</v>
      </c>
      <c r="AW442" t="s">
        <v>10272</v>
      </c>
      <c r="AX442" t="s">
        <v>79</v>
      </c>
      <c r="AY442" t="s">
        <v>4620</v>
      </c>
      <c r="BA442" t="s">
        <v>4584</v>
      </c>
      <c r="BB442" t="s">
        <v>10285</v>
      </c>
    </row>
    <row r="443" spans="1:54" x14ac:dyDescent="0.25">
      <c r="A443" t="s">
        <v>10286</v>
      </c>
      <c r="B443" t="s">
        <v>10287</v>
      </c>
      <c r="C443" t="s">
        <v>10288</v>
      </c>
      <c r="D443">
        <v>2022</v>
      </c>
      <c r="E443" t="s">
        <v>5170</v>
      </c>
      <c r="F443">
        <v>51</v>
      </c>
      <c r="G443">
        <v>1</v>
      </c>
      <c r="H443" t="s">
        <v>10289</v>
      </c>
      <c r="N443" t="s">
        <v>10290</v>
      </c>
      <c r="O443" t="s">
        <v>10291</v>
      </c>
      <c r="P443" t="s">
        <v>10292</v>
      </c>
      <c r="Q443" t="s">
        <v>10293</v>
      </c>
      <c r="R443" t="s">
        <v>10294</v>
      </c>
      <c r="AI443" t="s">
        <v>10295</v>
      </c>
      <c r="AJ443" t="s">
        <v>10296</v>
      </c>
      <c r="AM443" t="s">
        <v>5171</v>
      </c>
      <c r="AR443">
        <v>1386557</v>
      </c>
      <c r="AV443" t="s">
        <v>1234</v>
      </c>
      <c r="AW443" t="s">
        <v>5172</v>
      </c>
      <c r="AX443" t="s">
        <v>79</v>
      </c>
      <c r="AY443" t="s">
        <v>4620</v>
      </c>
      <c r="BA443" t="s">
        <v>4584</v>
      </c>
      <c r="BB443" t="s">
        <v>10297</v>
      </c>
    </row>
    <row r="444" spans="1:54" x14ac:dyDescent="0.25">
      <c r="A444" t="s">
        <v>10298</v>
      </c>
      <c r="B444" t="s">
        <v>10299</v>
      </c>
      <c r="C444" t="s">
        <v>2539</v>
      </c>
      <c r="D444">
        <v>2022</v>
      </c>
      <c r="E444" t="s">
        <v>10300</v>
      </c>
      <c r="F444">
        <v>50</v>
      </c>
      <c r="G444">
        <v>8</v>
      </c>
      <c r="I444">
        <v>3261</v>
      </c>
      <c r="J444">
        <v>3275</v>
      </c>
      <c r="M444" t="s">
        <v>2557</v>
      </c>
      <c r="N444" t="s">
        <v>10301</v>
      </c>
      <c r="O444" t="s">
        <v>10302</v>
      </c>
      <c r="P444" t="s">
        <v>10303</v>
      </c>
      <c r="Q444" t="s">
        <v>10304</v>
      </c>
      <c r="R444" t="s">
        <v>2541</v>
      </c>
      <c r="X444" t="s">
        <v>5392</v>
      </c>
      <c r="Y444" t="s">
        <v>10305</v>
      </c>
      <c r="AI444" t="s">
        <v>10306</v>
      </c>
      <c r="AJ444" t="s">
        <v>10307</v>
      </c>
      <c r="AM444" t="s">
        <v>4693</v>
      </c>
      <c r="AR444">
        <v>927872</v>
      </c>
      <c r="AV444" t="s">
        <v>78</v>
      </c>
      <c r="AW444" t="s">
        <v>10308</v>
      </c>
      <c r="AX444" t="s">
        <v>79</v>
      </c>
      <c r="AY444" t="s">
        <v>4620</v>
      </c>
      <c r="AZ444" t="s">
        <v>4771</v>
      </c>
      <c r="BA444" t="s">
        <v>4584</v>
      </c>
      <c r="BB444" t="s">
        <v>10309</v>
      </c>
    </row>
    <row r="445" spans="1:54" x14ac:dyDescent="0.25">
      <c r="A445" t="s">
        <v>10310</v>
      </c>
      <c r="B445" t="s">
        <v>10311</v>
      </c>
      <c r="C445" t="s">
        <v>10312</v>
      </c>
      <c r="D445">
        <v>2022</v>
      </c>
      <c r="E445" t="s">
        <v>10313</v>
      </c>
      <c r="F445">
        <v>27</v>
      </c>
      <c r="G445">
        <v>1</v>
      </c>
      <c r="I445">
        <v>230</v>
      </c>
      <c r="J445">
        <v>251</v>
      </c>
      <c r="M445" t="s">
        <v>10314</v>
      </c>
      <c r="N445" t="s">
        <v>10315</v>
      </c>
      <c r="O445" t="s">
        <v>10316</v>
      </c>
      <c r="P445" t="s">
        <v>10317</v>
      </c>
      <c r="Q445" t="s">
        <v>10704</v>
      </c>
      <c r="AI445" t="s">
        <v>10318</v>
      </c>
      <c r="AJ445" t="s">
        <v>10319</v>
      </c>
      <c r="AM445" t="s">
        <v>10320</v>
      </c>
      <c r="AR445">
        <v>20274688</v>
      </c>
      <c r="AV445" t="s">
        <v>1234</v>
      </c>
      <c r="AW445" t="s">
        <v>10313</v>
      </c>
      <c r="AX445" t="s">
        <v>79</v>
      </c>
      <c r="AY445" t="s">
        <v>4620</v>
      </c>
      <c r="AZ445" t="s">
        <v>4688</v>
      </c>
      <c r="BA445" t="s">
        <v>4584</v>
      </c>
      <c r="BB445" t="s">
        <v>10321</v>
      </c>
    </row>
    <row r="446" spans="1:54" x14ac:dyDescent="0.25">
      <c r="A446" t="s">
        <v>10322</v>
      </c>
      <c r="B446" t="s">
        <v>7599</v>
      </c>
      <c r="C446" t="s">
        <v>10323</v>
      </c>
      <c r="D446">
        <v>2022</v>
      </c>
      <c r="E446" t="s">
        <v>10324</v>
      </c>
      <c r="F446">
        <v>127</v>
      </c>
      <c r="G446">
        <v>3</v>
      </c>
      <c r="I446">
        <v>275</v>
      </c>
      <c r="J446">
        <v>296</v>
      </c>
      <c r="M446" t="s">
        <v>1929</v>
      </c>
      <c r="N446" t="s">
        <v>10325</v>
      </c>
      <c r="O446" t="s">
        <v>10326</v>
      </c>
      <c r="P446" t="s">
        <v>10327</v>
      </c>
      <c r="Q446" t="s">
        <v>10328</v>
      </c>
      <c r="R446" t="s">
        <v>10329</v>
      </c>
      <c r="S446" t="s">
        <v>10330</v>
      </c>
      <c r="AI446" t="s">
        <v>10331</v>
      </c>
      <c r="AJ446" t="s">
        <v>10332</v>
      </c>
      <c r="AM446" t="s">
        <v>10333</v>
      </c>
      <c r="AR446">
        <v>9217134</v>
      </c>
      <c r="AT446" t="s">
        <v>10334</v>
      </c>
      <c r="AV446" t="s">
        <v>78</v>
      </c>
      <c r="AW446" t="s">
        <v>10335</v>
      </c>
      <c r="AX446" t="s">
        <v>79</v>
      </c>
      <c r="AY446" t="s">
        <v>4620</v>
      </c>
      <c r="BA446" t="s">
        <v>4584</v>
      </c>
      <c r="BB446" t="s">
        <v>10336</v>
      </c>
    </row>
    <row r="447" spans="1:54" x14ac:dyDescent="0.25">
      <c r="A447" t="s">
        <v>10337</v>
      </c>
      <c r="B447" t="s">
        <v>10338</v>
      </c>
      <c r="C447" t="s">
        <v>10339</v>
      </c>
      <c r="D447">
        <v>2022</v>
      </c>
      <c r="E447" t="s">
        <v>5735</v>
      </c>
      <c r="F447">
        <v>24</v>
      </c>
      <c r="G447">
        <v>1</v>
      </c>
      <c r="I447">
        <v>15</v>
      </c>
      <c r="J447">
        <v>28</v>
      </c>
      <c r="M447" t="s">
        <v>3495</v>
      </c>
      <c r="N447" t="s">
        <v>10340</v>
      </c>
      <c r="O447" t="s">
        <v>10341</v>
      </c>
      <c r="P447" t="s">
        <v>10342</v>
      </c>
      <c r="Q447" t="s">
        <v>10343</v>
      </c>
      <c r="R447" t="s">
        <v>10344</v>
      </c>
      <c r="AI447" t="s">
        <v>10345</v>
      </c>
      <c r="AM447" t="s">
        <v>5356</v>
      </c>
      <c r="AR447">
        <v>16570790</v>
      </c>
      <c r="AV447" t="s">
        <v>78</v>
      </c>
      <c r="AW447" t="s">
        <v>5742</v>
      </c>
      <c r="AX447" t="s">
        <v>79</v>
      </c>
      <c r="AY447" t="s">
        <v>4620</v>
      </c>
      <c r="AZ447" t="s">
        <v>4672</v>
      </c>
      <c r="BA447" t="s">
        <v>4584</v>
      </c>
      <c r="BB447" t="s">
        <v>10346</v>
      </c>
    </row>
    <row r="448" spans="1:54" x14ac:dyDescent="0.25">
      <c r="A448" t="s">
        <v>10347</v>
      </c>
      <c r="B448" t="s">
        <v>10348</v>
      </c>
      <c r="C448" t="s">
        <v>10349</v>
      </c>
      <c r="D448">
        <v>2022</v>
      </c>
      <c r="E448" t="s">
        <v>8292</v>
      </c>
      <c r="F448">
        <v>82</v>
      </c>
      <c r="H448" t="s">
        <v>4608</v>
      </c>
      <c r="L448">
        <v>1</v>
      </c>
      <c r="M448" t="s">
        <v>4609</v>
      </c>
      <c r="N448" t="s">
        <v>10350</v>
      </c>
      <c r="O448" t="s">
        <v>10351</v>
      </c>
      <c r="P448" t="s">
        <v>10352</v>
      </c>
      <c r="Q448" t="s">
        <v>10353</v>
      </c>
      <c r="R448" t="s">
        <v>10354</v>
      </c>
      <c r="S448" t="s">
        <v>10355</v>
      </c>
      <c r="Y448" t="s">
        <v>10356</v>
      </c>
      <c r="AI448" t="s">
        <v>10357</v>
      </c>
      <c r="AJ448" t="s">
        <v>8302</v>
      </c>
      <c r="AM448" t="s">
        <v>8303</v>
      </c>
      <c r="AR448">
        <v>15196984</v>
      </c>
      <c r="AU448">
        <v>35081251</v>
      </c>
      <c r="AV448" t="s">
        <v>78</v>
      </c>
      <c r="AW448" t="s">
        <v>8304</v>
      </c>
      <c r="AX448" t="s">
        <v>79</v>
      </c>
      <c r="AY448" t="s">
        <v>4620</v>
      </c>
      <c r="AZ448" t="s">
        <v>4672</v>
      </c>
      <c r="BA448" t="s">
        <v>4584</v>
      </c>
      <c r="BB448" t="s">
        <v>10358</v>
      </c>
    </row>
    <row r="449" spans="1:54" x14ac:dyDescent="0.25">
      <c r="A449" t="s">
        <v>10359</v>
      </c>
      <c r="B449" t="s">
        <v>10360</v>
      </c>
      <c r="C449" t="s">
        <v>10361</v>
      </c>
      <c r="D449">
        <v>2022</v>
      </c>
      <c r="E449" t="s">
        <v>10362</v>
      </c>
      <c r="F449">
        <v>23</v>
      </c>
      <c r="G449">
        <v>1</v>
      </c>
      <c r="I449">
        <v>79</v>
      </c>
      <c r="J449">
        <v>85</v>
      </c>
      <c r="M449" t="s">
        <v>10363</v>
      </c>
      <c r="N449" t="s">
        <v>10364</v>
      </c>
      <c r="O449" t="s">
        <v>10365</v>
      </c>
      <c r="P449" t="s">
        <v>10366</v>
      </c>
      <c r="Q449" t="s">
        <v>10367</v>
      </c>
      <c r="R449" t="s">
        <v>10368</v>
      </c>
      <c r="S449" t="s">
        <v>10369</v>
      </c>
      <c r="U449" t="s">
        <v>10370</v>
      </c>
      <c r="Y449" t="s">
        <v>10371</v>
      </c>
      <c r="AI449" t="s">
        <v>10372</v>
      </c>
      <c r="AJ449" t="s">
        <v>10373</v>
      </c>
      <c r="AM449" t="s">
        <v>10374</v>
      </c>
      <c r="AR449">
        <v>15137368</v>
      </c>
      <c r="AU449">
        <v>35092374</v>
      </c>
      <c r="AV449" t="s">
        <v>78</v>
      </c>
      <c r="AW449" t="s">
        <v>10375</v>
      </c>
      <c r="AX449" t="s">
        <v>79</v>
      </c>
      <c r="AY449" t="s">
        <v>4620</v>
      </c>
      <c r="AZ449" t="s">
        <v>4688</v>
      </c>
      <c r="BA449" t="s">
        <v>4584</v>
      </c>
      <c r="BB449" t="s">
        <v>10376</v>
      </c>
    </row>
    <row r="450" spans="1:54" x14ac:dyDescent="0.25">
      <c r="A450" t="s">
        <v>10377</v>
      </c>
      <c r="B450" t="s">
        <v>10378</v>
      </c>
      <c r="C450" t="s">
        <v>10379</v>
      </c>
      <c r="D450">
        <v>2022</v>
      </c>
      <c r="E450" t="s">
        <v>10380</v>
      </c>
      <c r="F450">
        <v>21</v>
      </c>
      <c r="G450">
        <v>1</v>
      </c>
      <c r="H450" t="s">
        <v>854</v>
      </c>
      <c r="L450">
        <v>1</v>
      </c>
      <c r="M450" t="s">
        <v>10381</v>
      </c>
      <c r="N450" t="s">
        <v>10382</v>
      </c>
      <c r="O450" t="s">
        <v>10383</v>
      </c>
      <c r="P450" t="s">
        <v>10384</v>
      </c>
      <c r="Q450" t="s">
        <v>10385</v>
      </c>
      <c r="R450" t="s">
        <v>10386</v>
      </c>
      <c r="Y450" t="s">
        <v>10387</v>
      </c>
      <c r="AI450" t="s">
        <v>10388</v>
      </c>
      <c r="AJ450" t="s">
        <v>10389</v>
      </c>
      <c r="AM450" t="s">
        <v>10390</v>
      </c>
      <c r="AR450">
        <v>16652738</v>
      </c>
      <c r="AV450" t="s">
        <v>78</v>
      </c>
      <c r="AW450" t="s">
        <v>10391</v>
      </c>
      <c r="AX450" t="s">
        <v>79</v>
      </c>
      <c r="AY450" t="s">
        <v>4620</v>
      </c>
      <c r="AZ450" t="s">
        <v>4769</v>
      </c>
      <c r="BA450" t="s">
        <v>4584</v>
      </c>
      <c r="BB450" t="s">
        <v>10392</v>
      </c>
    </row>
    <row r="451" spans="1:54" x14ac:dyDescent="0.25">
      <c r="A451" t="s">
        <v>5657</v>
      </c>
      <c r="B451" t="s">
        <v>5658</v>
      </c>
      <c r="C451" t="s">
        <v>76</v>
      </c>
      <c r="D451">
        <v>2022</v>
      </c>
      <c r="E451" t="s">
        <v>97</v>
      </c>
      <c r="F451">
        <v>14</v>
      </c>
      <c r="G451">
        <v>2</v>
      </c>
      <c r="H451">
        <v>310</v>
      </c>
      <c r="L451">
        <v>3</v>
      </c>
      <c r="M451" t="s">
        <v>99</v>
      </c>
      <c r="N451" t="s">
        <v>10393</v>
      </c>
      <c r="O451" t="s">
        <v>10394</v>
      </c>
      <c r="P451" t="s">
        <v>10395</v>
      </c>
      <c r="Q451" t="s">
        <v>10396</v>
      </c>
      <c r="R451" t="s">
        <v>10397</v>
      </c>
      <c r="S451" t="s">
        <v>10398</v>
      </c>
      <c r="X451" t="s">
        <v>10399</v>
      </c>
      <c r="Y451" t="s">
        <v>10400</v>
      </c>
      <c r="Z451" t="s">
        <v>10401</v>
      </c>
      <c r="AA451" t="s">
        <v>10402</v>
      </c>
      <c r="AI451" t="s">
        <v>10403</v>
      </c>
      <c r="AJ451" t="s">
        <v>10404</v>
      </c>
    </row>
    <row r="452" spans="1:54" x14ac:dyDescent="0.25">
      <c r="A452" t="s">
        <v>10708</v>
      </c>
      <c r="B452" t="s">
        <v>10709</v>
      </c>
      <c r="C452" t="s">
        <v>10710</v>
      </c>
      <c r="D452" t="s">
        <v>10699</v>
      </c>
      <c r="E452" t="s">
        <v>10711</v>
      </c>
      <c r="H452" t="s">
        <v>92</v>
      </c>
      <c r="M452">
        <v>20734360</v>
      </c>
      <c r="Q452" t="s">
        <v>78</v>
      </c>
      <c r="R452" t="s">
        <v>4692</v>
      </c>
      <c r="S452" t="s">
        <v>79</v>
      </c>
      <c r="T452" t="s">
        <v>4620</v>
      </c>
      <c r="U452" t="s">
        <v>4688</v>
      </c>
      <c r="V452" t="s">
        <v>4584</v>
      </c>
      <c r="W452" t="s">
        <v>10405</v>
      </c>
    </row>
    <row r="453" spans="1:54" x14ac:dyDescent="0.25">
      <c r="A453" t="s">
        <v>10406</v>
      </c>
      <c r="B453" t="s">
        <v>10407</v>
      </c>
      <c r="C453" t="s">
        <v>1035</v>
      </c>
      <c r="D453">
        <v>2022</v>
      </c>
      <c r="E453" t="s">
        <v>1050</v>
      </c>
      <c r="F453">
        <v>15</v>
      </c>
      <c r="G453">
        <v>2</v>
      </c>
      <c r="H453">
        <v>597</v>
      </c>
      <c r="L453">
        <v>1</v>
      </c>
      <c r="M453" t="s">
        <v>1051</v>
      </c>
      <c r="N453" t="s">
        <v>10408</v>
      </c>
      <c r="O453" t="s">
        <v>10409</v>
      </c>
      <c r="P453" t="s">
        <v>10410</v>
      </c>
      <c r="Q453" t="s">
        <v>10411</v>
      </c>
      <c r="R453" t="s">
        <v>10412</v>
      </c>
      <c r="S453" t="s">
        <v>10413</v>
      </c>
      <c r="X453" t="s">
        <v>10414</v>
      </c>
      <c r="Y453" t="s">
        <v>10415</v>
      </c>
      <c r="AI453" t="s">
        <v>10416</v>
      </c>
      <c r="AJ453" t="s">
        <v>10417</v>
      </c>
      <c r="AM453" t="s">
        <v>92</v>
      </c>
      <c r="AR453">
        <v>19961944</v>
      </c>
      <c r="AV453" t="s">
        <v>78</v>
      </c>
      <c r="AW453" t="s">
        <v>10418</v>
      </c>
      <c r="AX453" t="s">
        <v>79</v>
      </c>
      <c r="AY453" t="s">
        <v>4620</v>
      </c>
      <c r="AZ453" t="s">
        <v>4688</v>
      </c>
      <c r="BA453" t="s">
        <v>4584</v>
      </c>
      <c r="BB453" t="s">
        <v>10419</v>
      </c>
    </row>
    <row r="454" spans="1:54" x14ac:dyDescent="0.25">
      <c r="A454" t="s">
        <v>10420</v>
      </c>
      <c r="B454" t="s">
        <v>10421</v>
      </c>
      <c r="C454" t="s">
        <v>1074</v>
      </c>
      <c r="D454">
        <v>2022</v>
      </c>
      <c r="E454" t="s">
        <v>10422</v>
      </c>
      <c r="F454">
        <v>39</v>
      </c>
      <c r="H454">
        <v>102281</v>
      </c>
      <c r="L454">
        <v>5</v>
      </c>
      <c r="M454" t="s">
        <v>1087</v>
      </c>
      <c r="N454" t="s">
        <v>10423</v>
      </c>
      <c r="O454" t="s">
        <v>10424</v>
      </c>
      <c r="P454" t="s">
        <v>10425</v>
      </c>
      <c r="Q454" t="s">
        <v>10426</v>
      </c>
      <c r="R454" t="s">
        <v>10427</v>
      </c>
      <c r="X454" t="s">
        <v>4634</v>
      </c>
      <c r="Y454" t="s">
        <v>10428</v>
      </c>
      <c r="AI454" t="s">
        <v>10429</v>
      </c>
      <c r="AJ454" t="s">
        <v>10430</v>
      </c>
      <c r="AM454" t="s">
        <v>4635</v>
      </c>
      <c r="AR454">
        <v>18788181</v>
      </c>
      <c r="AV454" t="s">
        <v>78</v>
      </c>
      <c r="AW454" t="s">
        <v>1086</v>
      </c>
      <c r="AX454" t="s">
        <v>79</v>
      </c>
      <c r="AY454" t="s">
        <v>4620</v>
      </c>
      <c r="BA454" t="s">
        <v>4584</v>
      </c>
      <c r="BB454" t="s">
        <v>10431</v>
      </c>
    </row>
    <row r="455" spans="1:54" x14ac:dyDescent="0.25">
      <c r="A455" t="s">
        <v>10432</v>
      </c>
      <c r="B455" t="s">
        <v>10433</v>
      </c>
      <c r="C455" t="s">
        <v>10434</v>
      </c>
      <c r="D455">
        <v>2022</v>
      </c>
      <c r="E455" t="s">
        <v>10435</v>
      </c>
      <c r="F455">
        <v>50</v>
      </c>
      <c r="G455">
        <v>1</v>
      </c>
      <c r="H455" t="s">
        <v>10436</v>
      </c>
      <c r="M455" t="s">
        <v>4607</v>
      </c>
      <c r="N455" t="s">
        <v>10437</v>
      </c>
      <c r="O455" t="s">
        <v>10438</v>
      </c>
      <c r="P455" t="s">
        <v>10439</v>
      </c>
      <c r="Q455" t="s">
        <v>10440</v>
      </c>
      <c r="R455" t="s">
        <v>10441</v>
      </c>
      <c r="S455" t="s">
        <v>10442</v>
      </c>
      <c r="U455" t="s">
        <v>10443</v>
      </c>
      <c r="AI455" t="s">
        <v>10444</v>
      </c>
      <c r="AJ455" t="s">
        <v>10445</v>
      </c>
      <c r="AM455" t="s">
        <v>10446</v>
      </c>
      <c r="AR455">
        <v>22562087</v>
      </c>
      <c r="AV455" t="s">
        <v>78</v>
      </c>
      <c r="AW455" t="s">
        <v>10447</v>
      </c>
      <c r="AX455" t="s">
        <v>79</v>
      </c>
      <c r="AY455" t="s">
        <v>4620</v>
      </c>
      <c r="AZ455" t="s">
        <v>4672</v>
      </c>
      <c r="BA455" t="s">
        <v>4584</v>
      </c>
      <c r="BB455" t="s">
        <v>10448</v>
      </c>
    </row>
    <row r="456" spans="1:54" x14ac:dyDescent="0.25">
      <c r="A456" t="s">
        <v>10449</v>
      </c>
      <c r="B456" t="s">
        <v>10450</v>
      </c>
      <c r="C456" t="s">
        <v>10451</v>
      </c>
      <c r="D456">
        <v>2022</v>
      </c>
      <c r="E456" t="s">
        <v>10452</v>
      </c>
      <c r="F456">
        <v>40</v>
      </c>
      <c r="G456">
        <v>1</v>
      </c>
      <c r="I456">
        <v>401</v>
      </c>
      <c r="J456">
        <v>432</v>
      </c>
      <c r="M456" t="s">
        <v>1541</v>
      </c>
      <c r="N456" t="s">
        <v>10453</v>
      </c>
      <c r="O456" t="s">
        <v>10454</v>
      </c>
      <c r="P456" t="s">
        <v>10455</v>
      </c>
      <c r="Q456" t="s">
        <v>10456</v>
      </c>
      <c r="R456" t="s">
        <v>10457</v>
      </c>
      <c r="S456" t="s">
        <v>10458</v>
      </c>
      <c r="AI456" t="s">
        <v>10459</v>
      </c>
      <c r="AM456" t="s">
        <v>10460</v>
      </c>
      <c r="AR456">
        <v>2549247</v>
      </c>
      <c r="AV456" t="s">
        <v>1234</v>
      </c>
      <c r="AW456" t="s">
        <v>10461</v>
      </c>
      <c r="AX456" t="s">
        <v>79</v>
      </c>
      <c r="AY456" t="s">
        <v>4620</v>
      </c>
      <c r="AZ456" t="s">
        <v>4688</v>
      </c>
      <c r="BA456" t="s">
        <v>4584</v>
      </c>
      <c r="BB456" t="s">
        <v>10462</v>
      </c>
    </row>
    <row r="457" spans="1:54" x14ac:dyDescent="0.25">
      <c r="A457" t="s">
        <v>10463</v>
      </c>
      <c r="B457" t="s">
        <v>10464</v>
      </c>
      <c r="C457" t="s">
        <v>10465</v>
      </c>
      <c r="D457">
        <v>2022</v>
      </c>
      <c r="E457" t="s">
        <v>10452</v>
      </c>
      <c r="F457">
        <v>40</v>
      </c>
      <c r="G457">
        <v>1</v>
      </c>
      <c r="I457">
        <v>119</v>
      </c>
      <c r="J457">
        <v>154</v>
      </c>
      <c r="M457" t="s">
        <v>4472</v>
      </c>
      <c r="N457" t="s">
        <v>10466</v>
      </c>
      <c r="O457" t="s">
        <v>10467</v>
      </c>
      <c r="P457" t="s">
        <v>10468</v>
      </c>
      <c r="Q457" t="s">
        <v>10469</v>
      </c>
      <c r="R457" t="s">
        <v>10470</v>
      </c>
      <c r="S457" t="s">
        <v>10471</v>
      </c>
      <c r="AI457" t="s">
        <v>10472</v>
      </c>
      <c r="AM457" t="s">
        <v>10460</v>
      </c>
      <c r="AR457">
        <v>2549247</v>
      </c>
      <c r="AV457" t="s">
        <v>1234</v>
      </c>
      <c r="AW457" t="s">
        <v>10461</v>
      </c>
      <c r="AX457" t="s">
        <v>79</v>
      </c>
      <c r="AY457" t="s">
        <v>4620</v>
      </c>
      <c r="AZ457" t="s">
        <v>4688</v>
      </c>
      <c r="BA457" t="s">
        <v>4584</v>
      </c>
      <c r="BB457" t="s">
        <v>10473</v>
      </c>
    </row>
    <row r="458" spans="1:54" x14ac:dyDescent="0.25">
      <c r="A458" t="s">
        <v>10474</v>
      </c>
      <c r="B458" t="s">
        <v>10475</v>
      </c>
      <c r="C458" t="s">
        <v>10476</v>
      </c>
      <c r="D458">
        <v>2022</v>
      </c>
      <c r="E458" t="s">
        <v>10477</v>
      </c>
      <c r="F458" t="s">
        <v>10478</v>
      </c>
      <c r="I458">
        <v>755</v>
      </c>
      <c r="J458">
        <v>763</v>
      </c>
      <c r="M458" t="s">
        <v>10479</v>
      </c>
      <c r="N458" t="s">
        <v>10480</v>
      </c>
      <c r="O458" t="s">
        <v>10481</v>
      </c>
      <c r="P458" t="s">
        <v>10482</v>
      </c>
      <c r="Q458" t="s">
        <v>10483</v>
      </c>
      <c r="R458" t="s">
        <v>10484</v>
      </c>
      <c r="S458" t="s">
        <v>10485</v>
      </c>
      <c r="AI458" t="s">
        <v>10486</v>
      </c>
      <c r="AJ458" t="s">
        <v>10487</v>
      </c>
      <c r="AK458" t="s">
        <v>10488</v>
      </c>
      <c r="AM458" t="s">
        <v>4748</v>
      </c>
      <c r="AN458" t="s">
        <v>10489</v>
      </c>
      <c r="AO458" t="s">
        <v>10490</v>
      </c>
      <c r="AQ458">
        <v>269929</v>
      </c>
      <c r="AR458">
        <v>23662557</v>
      </c>
      <c r="AS458">
        <v>9783030907877</v>
      </c>
      <c r="AV458" t="s">
        <v>78</v>
      </c>
      <c r="AW458" t="s">
        <v>10491</v>
      </c>
      <c r="AX458" t="s">
        <v>10683</v>
      </c>
      <c r="AY458" t="s">
        <v>4620</v>
      </c>
      <c r="BA458" t="s">
        <v>4584</v>
      </c>
      <c r="BB458" t="s">
        <v>10492</v>
      </c>
    </row>
    <row r="459" spans="1:54" x14ac:dyDescent="0.25">
      <c r="A459" t="s">
        <v>10493</v>
      </c>
      <c r="B459" t="s">
        <v>10494</v>
      </c>
      <c r="C459" t="s">
        <v>10495</v>
      </c>
      <c r="D459">
        <v>2022</v>
      </c>
      <c r="E459" t="s">
        <v>10496</v>
      </c>
      <c r="F459">
        <v>192</v>
      </c>
      <c r="H459">
        <v>106635</v>
      </c>
      <c r="L459">
        <v>4</v>
      </c>
      <c r="M459" t="s">
        <v>10497</v>
      </c>
      <c r="N459" t="s">
        <v>10498</v>
      </c>
      <c r="O459" t="s">
        <v>10499</v>
      </c>
      <c r="P459" t="s">
        <v>10500</v>
      </c>
      <c r="Q459" t="s">
        <v>10501</v>
      </c>
      <c r="R459" t="s">
        <v>10502</v>
      </c>
      <c r="S459" t="s">
        <v>10503</v>
      </c>
      <c r="X459" t="s">
        <v>10504</v>
      </c>
      <c r="Y459" t="s">
        <v>10505</v>
      </c>
      <c r="Z459" t="s">
        <v>10506</v>
      </c>
      <c r="AI459" t="s">
        <v>10507</v>
      </c>
      <c r="AJ459" t="s">
        <v>10508</v>
      </c>
      <c r="AM459" t="s">
        <v>4650</v>
      </c>
      <c r="AR459">
        <v>1681699</v>
      </c>
      <c r="AT459" t="s">
        <v>10509</v>
      </c>
      <c r="AV459" t="s">
        <v>78</v>
      </c>
      <c r="AW459" t="s">
        <v>10510</v>
      </c>
      <c r="AX459" t="s">
        <v>79</v>
      </c>
      <c r="AY459" t="s">
        <v>4620</v>
      </c>
      <c r="BA459" t="s">
        <v>4584</v>
      </c>
      <c r="BB459" t="s">
        <v>10511</v>
      </c>
    </row>
    <row r="460" spans="1:54" x14ac:dyDescent="0.25">
      <c r="A460" t="s">
        <v>10512</v>
      </c>
      <c r="B460" t="s">
        <v>10513</v>
      </c>
      <c r="C460" t="s">
        <v>10514</v>
      </c>
      <c r="D460">
        <v>2022</v>
      </c>
      <c r="E460" t="s">
        <v>10515</v>
      </c>
      <c r="F460">
        <v>109</v>
      </c>
      <c r="I460">
        <v>93</v>
      </c>
      <c r="J460">
        <v>103</v>
      </c>
      <c r="M460" t="s">
        <v>10516</v>
      </c>
      <c r="N460" t="s">
        <v>10517</v>
      </c>
      <c r="O460" t="s">
        <v>10518</v>
      </c>
      <c r="P460" t="s">
        <v>10519</v>
      </c>
      <c r="Q460" t="s">
        <v>10520</v>
      </c>
      <c r="R460" t="s">
        <v>10521</v>
      </c>
      <c r="S460" t="s">
        <v>10522</v>
      </c>
      <c r="X460" t="s">
        <v>8672</v>
      </c>
      <c r="Y460" t="s">
        <v>10523</v>
      </c>
      <c r="AI460" t="s">
        <v>10524</v>
      </c>
      <c r="AJ460" t="s">
        <v>10525</v>
      </c>
      <c r="AM460" t="s">
        <v>4635</v>
      </c>
      <c r="AR460">
        <v>9591524</v>
      </c>
      <c r="AT460" t="s">
        <v>10526</v>
      </c>
      <c r="AV460" t="s">
        <v>78</v>
      </c>
      <c r="AW460" t="s">
        <v>10527</v>
      </c>
      <c r="AX460" t="s">
        <v>79</v>
      </c>
      <c r="AY460" t="s">
        <v>4620</v>
      </c>
      <c r="AZ460" t="s">
        <v>5329</v>
      </c>
      <c r="BA460" t="s">
        <v>4584</v>
      </c>
      <c r="BB460" t="s">
        <v>10528</v>
      </c>
    </row>
    <row r="461" spans="1:54" x14ac:dyDescent="0.25">
      <c r="A461" t="s">
        <v>10529</v>
      </c>
      <c r="B461" t="s">
        <v>10530</v>
      </c>
      <c r="C461" t="s">
        <v>10531</v>
      </c>
      <c r="D461">
        <v>2022</v>
      </c>
      <c r="E461" t="s">
        <v>10532</v>
      </c>
      <c r="F461">
        <v>49</v>
      </c>
      <c r="G461">
        <v>1</v>
      </c>
      <c r="I461">
        <v>66</v>
      </c>
      <c r="J461">
        <v>96</v>
      </c>
      <c r="M461" t="s">
        <v>10533</v>
      </c>
      <c r="N461" t="s">
        <v>10534</v>
      </c>
      <c r="O461" t="s">
        <v>10535</v>
      </c>
      <c r="P461" t="s">
        <v>10536</v>
      </c>
      <c r="Q461" t="s">
        <v>10537</v>
      </c>
      <c r="R461" t="s">
        <v>10538</v>
      </c>
      <c r="AI461" t="s">
        <v>10539</v>
      </c>
      <c r="AJ461" t="s">
        <v>10540</v>
      </c>
      <c r="AM461" t="s">
        <v>5356</v>
      </c>
      <c r="AR461">
        <v>1202456</v>
      </c>
      <c r="AV461" t="s">
        <v>1234</v>
      </c>
      <c r="AW461" t="s">
        <v>10541</v>
      </c>
      <c r="AX461" t="s">
        <v>79</v>
      </c>
      <c r="AY461" t="s">
        <v>4620</v>
      </c>
      <c r="AZ461" t="s">
        <v>4688</v>
      </c>
      <c r="BA461" t="s">
        <v>4584</v>
      </c>
      <c r="BB461" t="s">
        <v>10542</v>
      </c>
    </row>
    <row r="462" spans="1:54" x14ac:dyDescent="0.25">
      <c r="A462" t="s">
        <v>10543</v>
      </c>
      <c r="B462" t="s">
        <v>10544</v>
      </c>
      <c r="C462" t="s">
        <v>10545</v>
      </c>
      <c r="D462">
        <v>2022</v>
      </c>
      <c r="E462" t="s">
        <v>10546</v>
      </c>
      <c r="F462">
        <v>30</v>
      </c>
      <c r="G462">
        <v>70</v>
      </c>
      <c r="I462">
        <v>63</v>
      </c>
      <c r="J462">
        <v>79</v>
      </c>
      <c r="L462">
        <v>5</v>
      </c>
      <c r="M462" t="s">
        <v>10547</v>
      </c>
      <c r="N462" t="s">
        <v>10548</v>
      </c>
      <c r="O462" t="s">
        <v>10549</v>
      </c>
      <c r="P462" t="s">
        <v>10550</v>
      </c>
      <c r="Q462" t="s">
        <v>10551</v>
      </c>
      <c r="R462" t="s">
        <v>10552</v>
      </c>
      <c r="AI462" t="s">
        <v>10553</v>
      </c>
      <c r="AJ462" t="s">
        <v>10554</v>
      </c>
      <c r="AM462" t="s">
        <v>10555</v>
      </c>
      <c r="AR462">
        <v>11343478</v>
      </c>
      <c r="AV462" t="s">
        <v>5228</v>
      </c>
      <c r="AW462" t="s">
        <v>10546</v>
      </c>
      <c r="AX462" t="s">
        <v>79</v>
      </c>
      <c r="AY462" t="s">
        <v>4620</v>
      </c>
      <c r="AZ462" t="s">
        <v>4688</v>
      </c>
      <c r="BA462" t="s">
        <v>4584</v>
      </c>
      <c r="BB462" t="s">
        <v>10556</v>
      </c>
    </row>
    <row r="463" spans="1:54" x14ac:dyDescent="0.25">
      <c r="A463" t="s">
        <v>10557</v>
      </c>
      <c r="B463" t="s">
        <v>10558</v>
      </c>
      <c r="C463" t="s">
        <v>4116</v>
      </c>
      <c r="D463">
        <v>2022</v>
      </c>
      <c r="E463" t="s">
        <v>10559</v>
      </c>
      <c r="F463">
        <v>8</v>
      </c>
      <c r="G463">
        <v>1</v>
      </c>
      <c r="H463">
        <v>15004</v>
      </c>
      <c r="L463">
        <v>3</v>
      </c>
      <c r="M463" t="s">
        <v>4136</v>
      </c>
      <c r="N463" t="s">
        <v>10560</v>
      </c>
      <c r="O463" t="s">
        <v>10561</v>
      </c>
      <c r="P463" t="s">
        <v>10562</v>
      </c>
      <c r="Q463" t="s">
        <v>10563</v>
      </c>
      <c r="R463" t="s">
        <v>10564</v>
      </c>
      <c r="S463" t="s">
        <v>10565</v>
      </c>
      <c r="V463" t="s">
        <v>10566</v>
      </c>
      <c r="W463" t="s">
        <v>10567</v>
      </c>
      <c r="X463" t="s">
        <v>10568</v>
      </c>
      <c r="Y463" t="s">
        <v>4129</v>
      </c>
      <c r="AI463" t="s">
        <v>10569</v>
      </c>
      <c r="AJ463" t="s">
        <v>10570</v>
      </c>
      <c r="AM463" t="s">
        <v>4130</v>
      </c>
      <c r="AR463">
        <v>20571976</v>
      </c>
      <c r="AU463">
        <v>34727526</v>
      </c>
      <c r="AV463" t="s">
        <v>78</v>
      </c>
      <c r="AW463" t="s">
        <v>4135</v>
      </c>
      <c r="AX463" t="s">
        <v>79</v>
      </c>
      <c r="AY463" t="s">
        <v>4620</v>
      </c>
      <c r="BA463" t="s">
        <v>4584</v>
      </c>
      <c r="BB463" t="s">
        <v>10571</v>
      </c>
    </row>
    <row r="464" spans="1:54" x14ac:dyDescent="0.25">
      <c r="A464" t="s">
        <v>10572</v>
      </c>
      <c r="B464" t="s">
        <v>10573</v>
      </c>
      <c r="C464" t="s">
        <v>10574</v>
      </c>
      <c r="D464">
        <v>2022</v>
      </c>
      <c r="E464" t="s">
        <v>10575</v>
      </c>
      <c r="F464">
        <v>79</v>
      </c>
      <c r="G464">
        <v>4</v>
      </c>
      <c r="H464" t="s">
        <v>3007</v>
      </c>
      <c r="L464">
        <v>1</v>
      </c>
      <c r="M464" t="s">
        <v>3008</v>
      </c>
      <c r="N464" t="s">
        <v>10576</v>
      </c>
      <c r="O464" t="s">
        <v>10577</v>
      </c>
      <c r="P464" t="s">
        <v>10578</v>
      </c>
      <c r="Q464" t="s">
        <v>10579</v>
      </c>
      <c r="R464" t="s">
        <v>10580</v>
      </c>
      <c r="Y464" t="s">
        <v>10581</v>
      </c>
      <c r="AI464" t="s">
        <v>10582</v>
      </c>
      <c r="AJ464" t="s">
        <v>10583</v>
      </c>
      <c r="AM464" t="s">
        <v>10584</v>
      </c>
      <c r="AR464">
        <v>1039016</v>
      </c>
      <c r="AV464" t="s">
        <v>78</v>
      </c>
      <c r="AW464" t="s">
        <v>3006</v>
      </c>
      <c r="AX464" t="s">
        <v>79</v>
      </c>
      <c r="AY464" t="s">
        <v>4620</v>
      </c>
      <c r="AZ464" t="s">
        <v>4672</v>
      </c>
      <c r="BA464" t="s">
        <v>4584</v>
      </c>
      <c r="BB464" t="s">
        <v>10585</v>
      </c>
    </row>
    <row r="465" spans="1:54" x14ac:dyDescent="0.25">
      <c r="A465" t="s">
        <v>10586</v>
      </c>
      <c r="B465" t="s">
        <v>10587</v>
      </c>
      <c r="C465" t="s">
        <v>10588</v>
      </c>
      <c r="D465">
        <v>2022</v>
      </c>
      <c r="E465" t="s">
        <v>10589</v>
      </c>
      <c r="F465">
        <v>132</v>
      </c>
      <c r="G465">
        <v>1</v>
      </c>
      <c r="I465">
        <v>725</v>
      </c>
      <c r="J465">
        <v>735</v>
      </c>
      <c r="L465">
        <v>1</v>
      </c>
      <c r="M465" t="s">
        <v>10590</v>
      </c>
      <c r="N465" t="s">
        <v>10591</v>
      </c>
      <c r="O465" t="s">
        <v>10592</v>
      </c>
      <c r="P465" t="s">
        <v>10593</v>
      </c>
      <c r="Q465" t="s">
        <v>10594</v>
      </c>
      <c r="S465" t="s">
        <v>10595</v>
      </c>
      <c r="U465" t="s">
        <v>10596</v>
      </c>
      <c r="X465" t="s">
        <v>10597</v>
      </c>
      <c r="Y465" t="s">
        <v>10598</v>
      </c>
      <c r="Z465" t="s">
        <v>10599</v>
      </c>
      <c r="AI465" t="s">
        <v>10600</v>
      </c>
      <c r="AJ465" t="s">
        <v>10601</v>
      </c>
      <c r="AM465" t="s">
        <v>5109</v>
      </c>
      <c r="AR465">
        <v>13645072</v>
      </c>
      <c r="AT465" t="s">
        <v>10602</v>
      </c>
      <c r="AU465">
        <v>34192401</v>
      </c>
      <c r="AV465" t="s">
        <v>78</v>
      </c>
      <c r="AW465" t="s">
        <v>10603</v>
      </c>
      <c r="AX465" t="s">
        <v>79</v>
      </c>
      <c r="AY465" t="s">
        <v>4620</v>
      </c>
      <c r="AZ465" t="s">
        <v>6235</v>
      </c>
      <c r="BA465" t="s">
        <v>4584</v>
      </c>
      <c r="BB465" t="s">
        <v>10604</v>
      </c>
    </row>
    <row r="466" spans="1:54" x14ac:dyDescent="0.25">
      <c r="A466" t="s">
        <v>10605</v>
      </c>
      <c r="B466" t="s">
        <v>10606</v>
      </c>
      <c r="C466" t="s">
        <v>10607</v>
      </c>
      <c r="D466">
        <v>2022</v>
      </c>
      <c r="E466" t="s">
        <v>10608</v>
      </c>
      <c r="F466">
        <v>52</v>
      </c>
      <c r="G466">
        <v>20</v>
      </c>
      <c r="I466">
        <v>3651</v>
      </c>
      <c r="J466">
        <v>3688</v>
      </c>
      <c r="L466">
        <v>6</v>
      </c>
      <c r="M466" t="s">
        <v>10609</v>
      </c>
      <c r="N466" t="s">
        <v>10610</v>
      </c>
      <c r="O466" t="s">
        <v>10611</v>
      </c>
      <c r="P466" t="s">
        <v>10612</v>
      </c>
      <c r="Q466" t="s">
        <v>10613</v>
      </c>
      <c r="R466" t="s">
        <v>10614</v>
      </c>
      <c r="S466" t="s">
        <v>10615</v>
      </c>
      <c r="X466" t="s">
        <v>10616</v>
      </c>
      <c r="Y466" t="s">
        <v>10617</v>
      </c>
      <c r="AI466" t="s">
        <v>10618</v>
      </c>
    </row>
    <row r="467" spans="1:54" x14ac:dyDescent="0.25">
      <c r="A467" t="s">
        <v>4578</v>
      </c>
      <c r="B467" t="s">
        <v>10767</v>
      </c>
      <c r="C467" t="s">
        <v>10768</v>
      </c>
      <c r="F467" t="s">
        <v>4693</v>
      </c>
      <c r="K467">
        <v>10643389</v>
      </c>
      <c r="M467" t="s">
        <v>10619</v>
      </c>
      <c r="O467" t="s">
        <v>78</v>
      </c>
      <c r="P467" t="s">
        <v>10620</v>
      </c>
      <c r="Q467" t="s">
        <v>162</v>
      </c>
      <c r="R467" t="s">
        <v>4620</v>
      </c>
      <c r="T467" t="s">
        <v>4584</v>
      </c>
      <c r="U467" t="s">
        <v>10621</v>
      </c>
    </row>
    <row r="468" spans="1:54" x14ac:dyDescent="0.25">
      <c r="A468" t="s">
        <v>10622</v>
      </c>
      <c r="B468" t="s">
        <v>10623</v>
      </c>
      <c r="C468" t="s">
        <v>10624</v>
      </c>
      <c r="D468">
        <v>2022</v>
      </c>
      <c r="E468" t="s">
        <v>10625</v>
      </c>
      <c r="F468">
        <v>46</v>
      </c>
      <c r="G468">
        <v>8</v>
      </c>
      <c r="I468">
        <v>2003</v>
      </c>
      <c r="J468">
        <v>2017</v>
      </c>
      <c r="L468">
        <v>23</v>
      </c>
      <c r="M468" t="s">
        <v>10626</v>
      </c>
      <c r="N468" t="s">
        <v>10627</v>
      </c>
      <c r="O468" t="s">
        <v>10628</v>
      </c>
      <c r="P468" t="s">
        <v>10629</v>
      </c>
      <c r="Q468" t="s">
        <v>10630</v>
      </c>
      <c r="S468" t="s">
        <v>10631</v>
      </c>
      <c r="AI468" t="s">
        <v>10632</v>
      </c>
      <c r="AJ468" t="s">
        <v>10633</v>
      </c>
      <c r="AM468" t="s">
        <v>4765</v>
      </c>
      <c r="AR468">
        <v>7481187</v>
      </c>
      <c r="AT468" t="s">
        <v>10634</v>
      </c>
      <c r="AU468">
        <v>33560185</v>
      </c>
      <c r="AV468" t="s">
        <v>78</v>
      </c>
      <c r="AW468" t="s">
        <v>10635</v>
      </c>
      <c r="AX468" t="s">
        <v>79</v>
      </c>
      <c r="AY468" t="s">
        <v>4620</v>
      </c>
      <c r="BA468" t="s">
        <v>4584</v>
      </c>
      <c r="BB468" t="s">
        <v>10636</v>
      </c>
    </row>
    <row r="469" spans="1:54" x14ac:dyDescent="0.25">
      <c r="A469" t="s">
        <v>10637</v>
      </c>
      <c r="B469" t="s">
        <v>10638</v>
      </c>
      <c r="C469" t="s">
        <v>10639</v>
      </c>
      <c r="D469">
        <v>2022</v>
      </c>
      <c r="E469" t="s">
        <v>10640</v>
      </c>
      <c r="F469">
        <v>11</v>
      </c>
      <c r="G469">
        <v>1</v>
      </c>
      <c r="I469">
        <v>21</v>
      </c>
      <c r="J469">
        <v>40</v>
      </c>
      <c r="L469">
        <v>1</v>
      </c>
      <c r="M469" t="s">
        <v>10641</v>
      </c>
      <c r="N469" t="s">
        <v>10642</v>
      </c>
      <c r="O469" t="s">
        <v>10643</v>
      </c>
      <c r="P469" t="s">
        <v>10644</v>
      </c>
      <c r="Q469" t="s">
        <v>10645</v>
      </c>
      <c r="R469" t="s">
        <v>10646</v>
      </c>
      <c r="X469" t="s">
        <v>4634</v>
      </c>
      <c r="Y469" t="s">
        <v>10647</v>
      </c>
      <c r="AI469" t="s">
        <v>10648</v>
      </c>
      <c r="AJ469" t="s">
        <v>10649</v>
      </c>
      <c r="AM469" t="s">
        <v>4693</v>
      </c>
      <c r="AR469">
        <v>21650373</v>
      </c>
      <c r="AV469" t="s">
        <v>78</v>
      </c>
      <c r="AW469" t="s">
        <v>10650</v>
      </c>
      <c r="AX469" t="s">
        <v>79</v>
      </c>
      <c r="AY469" t="s">
        <v>4620</v>
      </c>
      <c r="BA469" t="s">
        <v>4584</v>
      </c>
      <c r="BB469" t="s">
        <v>10651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wos</vt:lpstr>
      <vt:lpstr>scopus 1</vt:lpstr>
      <vt:lpstr>'scopus 1'!scopus221222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TUPTC</dc:creator>
  <cp:lastModifiedBy>Usuario</cp:lastModifiedBy>
  <dcterms:created xsi:type="dcterms:W3CDTF">2023-01-24T17:14:13Z</dcterms:created>
  <dcterms:modified xsi:type="dcterms:W3CDTF">2023-01-24T22:23:02Z</dcterms:modified>
</cp:coreProperties>
</file>