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orenaegea/documents_local/GT_class_folder/Module 01 Challenge - 01-30-2023/"/>
    </mc:Choice>
  </mc:AlternateContent>
  <xr:revisionPtr revIDLastSave="0" documentId="13_ncr:1_{7EAB138B-FFC8-8D46-9D28-2D857465597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Sheet2" sheetId="3" r:id="rId2"/>
    <sheet name="Sheet3" sheetId="6" r:id="rId3"/>
    <sheet name="Crowdfunding" sheetId="1" r:id="rId4"/>
    <sheet name="goal_analysis" sheetId="7" r:id="rId5"/>
    <sheet name="statistical_analysis" sheetId="9" r:id="rId6"/>
  </sheets>
  <definedNames>
    <definedName name="_xlnm._FilterDatabase" localSheetId="3" hidden="1">Crowdfunding!$A$1:$T$1001</definedName>
    <definedName name="_xlnm._FilterDatabase" localSheetId="5" hidden="1">statistical_analysis!$A$1:$B$1001</definedName>
    <definedName name="failed">statistical_analysis!$D$2:$D$365</definedName>
    <definedName name="goal">Crowdfunding!$D$2:$D$1001</definedName>
    <definedName name="outcome">Crowdfunding!$G$2:$G$1001</definedName>
    <definedName name="successful">statistical_analysis!$B$2:$B$566</definedName>
    <definedName name="yay">statistical_analysis!$G$20:$G$584</definedName>
  </definedNames>
  <calcPr calcId="191029"/>
  <pivotCaches>
    <pivotCache cacheId="32" r:id="rId7"/>
    <pivotCache cacheId="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4" i="9" s="1"/>
  <c r="H12" i="9"/>
  <c r="H11" i="9"/>
  <c r="G15" i="9"/>
  <c r="G14" i="9"/>
  <c r="G12" i="9"/>
  <c r="G13" i="9" s="1"/>
  <c r="G11" i="9"/>
  <c r="H8" i="9"/>
  <c r="H7" i="9"/>
  <c r="H6" i="9"/>
  <c r="H5" i="9"/>
  <c r="H4" i="9"/>
  <c r="H3" i="9"/>
  <c r="G8" i="9"/>
  <c r="G7" i="9"/>
  <c r="G6" i="9"/>
  <c r="G5" i="9"/>
  <c r="G4" i="9"/>
  <c r="G3" i="9"/>
  <c r="B3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10" i="7" l="1"/>
  <c r="H10" i="7" s="1"/>
  <c r="E11" i="7"/>
  <c r="F11" i="7" s="1"/>
  <c r="E4" i="7"/>
  <c r="G4" i="7" s="1"/>
  <c r="E12" i="7"/>
  <c r="G12" i="7" s="1"/>
  <c r="E9" i="7"/>
  <c r="H9" i="7" s="1"/>
  <c r="E8" i="7"/>
  <c r="H8" i="7" s="1"/>
  <c r="E7" i="7"/>
  <c r="F7" i="7" s="1"/>
  <c r="F10" i="7"/>
  <c r="E2" i="7"/>
  <c r="G2" i="7" s="1"/>
  <c r="E6" i="7"/>
  <c r="H6" i="7" s="1"/>
  <c r="E13" i="7"/>
  <c r="F13" i="7" s="1"/>
  <c r="E5" i="7"/>
  <c r="H5" i="7" s="1"/>
  <c r="E3" i="7"/>
  <c r="G3" i="7" s="1"/>
  <c r="F2" i="1"/>
  <c r="G10" i="7" l="1"/>
  <c r="G11" i="7"/>
  <c r="H11" i="7"/>
  <c r="F4" i="7"/>
  <c r="G7" i="7"/>
  <c r="H7" i="7"/>
  <c r="H4" i="7"/>
  <c r="G9" i="7"/>
  <c r="F9" i="7"/>
  <c r="H12" i="7"/>
  <c r="H3" i="7"/>
  <c r="F12" i="7"/>
  <c r="F6" i="7"/>
  <c r="G13" i="7"/>
  <c r="H13" i="7"/>
  <c r="G5" i="7"/>
  <c r="F8" i="7"/>
  <c r="F5" i="7"/>
  <c r="G6" i="7"/>
  <c r="G8" i="7"/>
  <c r="H2" i="7"/>
  <c r="F3" i="7"/>
  <c r="F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<sst xmlns="http://schemas.openxmlformats.org/spreadsheetml/2006/main" count="7070" uniqueCount="2121">
  <si>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</si>
  <si>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</si>
  <si>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</si>
  <si>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</si>
  <si>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</si>
  <si>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</si>
  <si>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</si>
  <si>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</si>
  <si>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</si>
  <si>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</si>
  <si>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</si>
  <si>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</si>
  <si>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</si>
  <si>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</si>
  <si>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</si>
  <si>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</si>
  <si>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</si>
  <si>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</si>
  <si>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</si>
  <si>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</si>
  <si>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</si>
  <si>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</si>
  <si>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</si>
  <si>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</si>
  <si>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</si>
  <si>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</si>
  <si>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</si>
  <si>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</si>
  <si>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</si>
  <si>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</si>
  <si>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</si>
  <si>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</si>
  <si>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</si>
  <si>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</si>
  <si>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</si>
  <si>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</si>
  <si>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</si>
  <si>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</si>
  <si>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</si>
  <si>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</si>
  <si>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</si>
  <si>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</si>
  <si>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</si>
  <si>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</si>
  <si>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</si>
  <si>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</si>
  <si>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</si>
  <si>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</si>
  <si>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</si>
  <si>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</si>
  <si>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</si>
  <si>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</si>
  <si>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</si>
  <si>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</si>
  <si>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</si>
  <si>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</si>
  <si>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</si>
  <si>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</si>
  <si>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</si>
  <si>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</si>
  <si>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</si>
  <si>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</si>
  <si>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</si>
  <si>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</si>
  <si>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</si>
  <si>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</si>
  <si>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</si>
  <si>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</si>
  <si>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</si>
  <si>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</si>
  <si>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</si>
  <si>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</si>
  <si>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</si>
  <si>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</si>
  <si>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</si>
  <si>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</si>
  <si>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</si>
  <si>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</si>
  <si>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</si>
  <si>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</si>
  <si>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</si>
  <si>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</si>
  <si>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</si>
  <si>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</si>
  <si>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</si>
  <si>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</si>
  <si>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</si>
  <si>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</si>
  <si>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</si>
  <si>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</si>
  <si>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</si>
  <si>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</si>
  <si>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</si>
  <si>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</si>
  <si>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</si>
  <si>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</si>
  <si>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</si>
  <si>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</si>
  <si>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</si>
  <si>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</si>
  <si>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</si>
  <si>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</si>
  <si>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</si>
  <si>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</si>
  <si>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</si>
  <si>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</si>
  <si>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</si>
  <si>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</si>
  <si>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</si>
  <si>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</si>
  <si>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</si>
  <si>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</si>
  <si>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</si>
  <si>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</si>
  <si>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</si>
  <si>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</si>
  <si>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</si>
  <si>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</si>
  <si>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</si>
  <si>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</si>
  <si>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</si>
  <si>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</si>
  <si>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</si>
  <si>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</si>
  <si>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</si>
  <si>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</si>
  <si>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</si>
  <si>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</si>
  <si>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</si>
  <si>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</si>
  <si>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</si>
  <si>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</si>
  <si>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</si>
  <si>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</si>
  <si>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</si>
  <si>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</si>
  <si>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</si>
  <si>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</si>
  <si>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</si>
  <si>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</si>
  <si>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</si>
  <si>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</si>
  <si>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</si>
  <si>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</si>
  <si>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</si>
  <si>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</si>
  <si>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</si>
  <si>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</si>
  <si>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</si>
  <si>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</si>
  <si>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</si>
  <si>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</si>
  <si>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</si>
  <si>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</si>
  <si>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</si>
  <si>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</si>
  <si>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</si>
  <si>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</si>
  <si>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</si>
  <si>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</si>
  <si>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</si>
  <si>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</si>
  <si>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</si>
  <si>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</si>
  <si>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</si>
  <si>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</si>
  <si>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</si>
  <si>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</si>
  <si>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</si>
  <si>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</si>
  <si>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</si>
  <si>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</si>
  <si>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</si>
  <si>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</si>
  <si>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</si>
  <si>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</si>
  <si>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</si>
  <si>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</si>
  <si>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</si>
  <si>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</si>
  <si>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</si>
  <si>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</si>
  <si>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</si>
  <si>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</si>
  <si>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</si>
  <si>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</si>
  <si>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</si>
  <si>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</si>
  <si>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</si>
  <si>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</si>
  <si>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</si>
  <si>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</si>
  <si>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</si>
  <si>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</si>
  <si>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</si>
  <si>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</si>
  <si>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</si>
  <si>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</si>
  <si>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</si>
  <si>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</si>
  <si>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</si>
  <si>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</si>
  <si>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</si>
  <si>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</si>
  <si>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</si>
  <si>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</si>
  <si>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</si>
  <si>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</si>
  <si>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</si>
  <si>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</si>
  <si>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</si>
  <si>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</si>
  <si>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</si>
  <si>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</si>
  <si>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</si>
  <si>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</si>
  <si>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</si>
  <si>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</si>
  <si>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</si>
  <si>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</si>
  <si>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</si>
  <si>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</si>
  <si>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</si>
  <si>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</si>
  <si>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</si>
  <si>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</si>
  <si>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</si>
  <si>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</si>
  <si>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</si>
  <si>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</si>
  <si>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</si>
  <si>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</si>
  <si>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</si>
  <si>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</si>
  <si>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</si>
  <si>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</si>
  <si>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</si>
  <si>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</si>
  <si>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</si>
  <si>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</si>
  <si>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</si>
  <si>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</si>
  <si>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</si>
  <si>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</si>
  <si>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</si>
  <si>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</si>
  <si>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</si>
  <si>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</si>
  <si>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</si>
  <si>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</si>
  <si>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</si>
  <si>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</si>
  <si>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</si>
  <si>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</si>
  <si>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</si>
  <si>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</si>
  <si>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</si>
  <si>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</si>
  <si>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</si>
  <si>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</si>
  <si>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</si>
  <si>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</si>
  <si>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</si>
  <si>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</si>
  <si>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</si>
  <si>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</si>
  <si>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</si>
  <si>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</si>
  <si>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</si>
  <si>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</si>
  <si>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</si>
  <si>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</si>
  <si>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</si>
  <si>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</si>
  <si>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</si>
  <si>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</si>
  <si>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</si>
  <si>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</si>
  <si>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</si>
  <si>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</si>
  <si>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</si>
  <si>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</si>
  <si>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</si>
  <si>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</si>
  <si>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</si>
  <si>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</si>
  <si>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</si>
  <si>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</si>
  <si>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</si>
  <si>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</si>
  <si>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</si>
  <si>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</si>
  <si>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</si>
  <si>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</si>
  <si>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</si>
  <si>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</si>
  <si>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</si>
  <si>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</si>
  <si>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</si>
  <si>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</si>
  <si>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</si>
  <si>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</si>
  <si>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</si>
  <si>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</si>
  <si>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</si>
  <si>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</si>
  <si>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</si>
  <si>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</si>
  <si>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</si>
  <si>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</si>
  <si>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</si>
  <si>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</si>
  <si>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</si>
  <si>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</si>
  <si>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</si>
  <si>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</si>
  <si>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</si>
  <si>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</si>
  <si>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</si>
  <si>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</si>
  <si>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</si>
  <si>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</si>
  <si>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</si>
  <si>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</si>
  <si>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</si>
  <si>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</si>
  <si>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</si>
  <si>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</si>
  <si>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</si>
  <si>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</si>
  <si>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</si>
  <si>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</si>
  <si>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</si>
  <si>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</si>
  <si>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</si>
  <si>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</si>
  <si>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</si>
  <si>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</si>
  <si>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</si>
  <si>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</si>
  <si>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</si>
  <si>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</si>
  <si>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</si>
  <si>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</si>
  <si>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</si>
  <si>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</si>
  <si>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</si>
  <si>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</si>
  <si>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</si>
  <si>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</si>
  <si>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</si>
  <si>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</si>
  <si>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</si>
  <si>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</si>
  <si>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</si>
  <si>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</si>
  <si>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</si>
  <si>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</si>
  <si>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</si>
  <si>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</si>
  <si>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</si>
  <si>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</si>
  <si>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</si>
  <si>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</si>
  <si>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</si>
  <si>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</si>
  <si>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</si>
  <si>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</si>
  <si>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</si>
  <si>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</si>
  <si>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</si>
  <si>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</si>
  <si>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</si>
  <si>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</si>
  <si>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</si>
  <si>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</si>
  <si>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</si>
  <si>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</si>
  <si>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</si>
  <si>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</si>
  <si>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</si>
  <si>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</si>
  <si>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</si>
  <si>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</si>
  <si>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</si>
  <si>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</si>
  <si>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</si>
  <si>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</si>
  <si>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</si>
  <si>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</si>
  <si>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</si>
  <si>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</si>
  <si>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</si>
  <si>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</si>
  <si>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</si>
  <si>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</si>
  <si>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</si>
  <si>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</si>
  <si>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</si>
  <si>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</si>
  <si>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</si>
  <si>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</si>
  <si>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</si>
  <si>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</si>
  <si>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</si>
  <si>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</si>
  <si>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</si>
  <si>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</si>
  <si>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</si>
  <si>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</si>
  <si>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</si>
  <si>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</si>
  <si>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</si>
  <si>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</si>
  <si>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</si>
  <si>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</si>
  <si>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</si>
  <si>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</si>
  <si>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</si>
  <si>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</si>
  <si>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</si>
  <si>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</si>
  <si>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</si>
  <si>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</si>
  <si>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</si>
  <si>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</si>
  <si>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</si>
  <si>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</si>
  <si>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</si>
  <si>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</si>
  <si>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</si>
  <si>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</si>
  <si>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</si>
  <si>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</si>
  <si>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</si>
  <si>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</si>
  <si>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</si>
  <si>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</si>
  <si>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</si>
  <si>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</si>
  <si>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</si>
  <si>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</si>
  <si>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</si>
  <si>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</si>
  <si>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</si>
  <si>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</si>
  <si>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</si>
  <si>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</si>
  <si>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</si>
  <si>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</si>
  <si>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</si>
  <si>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</si>
  <si>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</si>
  <si>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</si>
  <si>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</si>
  <si>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</si>
  <si>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</si>
  <si>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</si>
  <si>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</si>
  <si>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</si>
  <si>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</si>
  <si>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</si>
  <si>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</si>
  <si>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</si>
  <si>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</si>
  <si>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</si>
  <si>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</si>
  <si>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</si>
  <si>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</si>
  <si>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</si>
  <si>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</si>
  <si>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</si>
  <si>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</si>
  <si>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</si>
  <si>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</si>
  <si>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</si>
  <si>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</si>
  <si>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</si>
  <si>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</si>
  <si>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</si>
  <si>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</si>
  <si>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</si>
  <si>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</si>
  <si>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</si>
  <si>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</si>
  <si>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</si>
  <si>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</si>
  <si>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</si>
  <si>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</si>
  <si>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</si>
  <si>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</si>
  <si>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</si>
  <si>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</si>
  <si>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</si>
  <si>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</si>
  <si>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</si>
  <si>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</si>
  <si>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</si>
  <si>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</si>
  <si>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</si>
  <si>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</si>
  <si>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</si>
  <si>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</si>
  <si>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</si>
  <si>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</si>
  <si>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</si>
  <si>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</si>
  <si>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</si>
  <si>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</si>
  <si>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</si>
  <si>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</si>
  <si>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</si>
  <si>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</si>
  <si>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</si>
  <si>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</si>
  <si>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</si>
  <si>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</si>
  <si>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</si>
  <si>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</si>
  <si>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</si>
  <si>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</si>
  <si>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</si>
  <si>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</si>
  <si>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</si>
  <si>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</si>
  <si>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</si>
  <si>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</si>
  <si>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</si>
  <si>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</si>
  <si>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</si>
  <si>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</si>
  <si>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</si>
  <si>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</si>
  <si>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</si>
  <si>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</si>
  <si>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</si>
  <si>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</si>
  <si>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</si>
  <si>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</si>
  <si>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</si>
  <si>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</si>
  <si>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</si>
  <si>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</si>
  <si>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</si>
  <si>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</si>
  <si>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</si>
  <si>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</si>
  <si>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</si>
  <si>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</si>
  <si>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</si>
  <si>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</si>
  <si>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</si>
  <si>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</si>
  <si>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</si>
  <si>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</si>
  <si>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</si>
  <si>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</si>
  <si>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</si>
  <si>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</si>
  <si>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</si>
  <si>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</si>
  <si>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</si>
  <si>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</si>
  <si>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</si>
  <si>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</si>
  <si>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</si>
  <si>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</si>
  <si>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</si>
  <si>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</si>
  <si>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</si>
  <si>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</si>
  <si>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</si>
  <si>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</si>
  <si>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</si>
  <si>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</si>
  <si>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</si>
  <si>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</si>
  <si>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</si>
  <si>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</si>
  <si>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</si>
  <si>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</si>
  <si>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</si>
  <si>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</si>
  <si>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</si>
  <si>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</si>
  <si>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</si>
  <si>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</si>
  <si>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</si>
  <si>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</si>
  <si>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</si>
  <si>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</si>
  <si>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</si>
  <si>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</si>
  <si>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</si>
  <si>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</si>
  <si>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</si>
  <si>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</si>
  <si>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</si>
  <si>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</si>
  <si>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</si>
  <si>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</si>
  <si>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</si>
  <si>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</si>
  <si>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</si>
  <si>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</si>
  <si>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</si>
  <si>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</si>
  <si>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</si>
  <si>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</si>
  <si>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</si>
  <si>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</si>
  <si>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</si>
  <si>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</si>
  <si>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</si>
  <si>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</si>
  <si>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</si>
  <si>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</si>
  <si>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</si>
  <si>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</si>
  <si>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</si>
  <si>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</si>
  <si>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</si>
  <si>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</si>
  <si>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</si>
  <si>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</si>
  <si>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</si>
  <si>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</si>
  <si>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</si>
  <si>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</si>
  <si>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</si>
  <si>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</si>
  <si>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</si>
  <si>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</si>
  <si>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</si>
  <si>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</si>
  <si>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</si>
  <si>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</si>
  <si>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</si>
  <si>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</si>
  <si>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</si>
  <si>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</si>
  <si>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</si>
  <si>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</si>
  <si>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</si>
  <si>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</si>
  <si>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</si>
  <si>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</si>
  <si>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</si>
  <si>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</si>
  <si>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</si>
  <si>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</si>
  <si>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</si>
  <si>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</si>
  <si>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</si>
  <si>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</si>
  <si>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</si>
  <si>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</si>
  <si>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</si>
  <si>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</si>
  <si>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</si>
  <si>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</si>
  <si>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</si>
  <si>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</si>
  <si>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</si>
  <si>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</si>
  <si>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</si>
  <si>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</si>
  <si>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</si>
  <si>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</si>
  <si>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</si>
  <si>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</si>
  <si>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</si>
  <si>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</si>
  <si>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</si>
  <si>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</si>
  <si>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</si>
  <si>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</si>
  <si>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</si>
  <si>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</si>
  <si>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</si>
  <si>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</si>
  <si>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</si>
  <si>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</si>
  <si>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</si>
  <si>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</si>
  <si>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</si>
  <si>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</si>
  <si>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</si>
  <si>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</si>
  <si>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</si>
  <si>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</si>
  <si>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</si>
  <si>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</si>
  <si>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</si>
  <si>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</si>
  <si>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</si>
  <si>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</si>
  <si>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</si>
  <si>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</si>
  <si>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</si>
  <si>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</si>
  <si>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</si>
  <si>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</si>
  <si>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</si>
  <si>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</si>
  <si>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</si>
  <si>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</si>
  <si>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</si>
  <si>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</si>
  <si>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</si>
  <si>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</si>
  <si>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</si>
  <si>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</si>
  <si>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</si>
  <si>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</si>
  <si>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</si>
  <si>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</si>
  <si>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</si>
  <si>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</si>
  <si>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</si>
  <si>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</si>
  <si>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</si>
  <si>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</si>
  <si>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</si>
  <si>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</si>
  <si>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</si>
  <si>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</si>
  <si>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</si>
  <si>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</si>
  <si>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</si>
  <si>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</si>
  <si>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</si>
  <si>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</si>
  <si>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</si>
  <si>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</si>
  <si>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</si>
  <si>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</si>
  <si>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</si>
  <si>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</si>
  <si>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</si>
  <si>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</si>
  <si>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</si>
  <si>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</si>
  <si>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</si>
  <si>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</si>
  <si>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</si>
  <si>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</si>
  <si>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</si>
  <si>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</si>
  <si>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</si>
  <si>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</si>
  <si>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</si>
  <si>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</si>
  <si>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</si>
  <si>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</si>
  <si>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</si>
  <si>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</si>
  <si>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</si>
  <si>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</si>
  <si>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</si>
  <si>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</si>
  <si>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</si>
  <si>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</si>
  <si>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</si>
  <si>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</si>
  <si>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</si>
  <si>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</si>
  <si>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</si>
  <si>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</si>
  <si>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</si>
  <si>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</si>
  <si>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</si>
  <si>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</si>
  <si>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</si>
  <si>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</si>
  <si>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</si>
  <si>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</si>
  <si>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</si>
  <si>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</si>
  <si>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</si>
  <si>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</si>
  <si>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</si>
  <si>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</si>
  <si>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</si>
  <si>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</si>
  <si>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</si>
  <si>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</si>
  <si>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</si>
  <si>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</si>
  <si>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</si>
  <si>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</si>
  <si>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</si>
  <si>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</si>
  <si>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</si>
  <si>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</si>
  <si>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</si>
  <si>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</si>
  <si>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</si>
  <si>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</si>
  <si>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</si>
  <si>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</si>
  <si>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</si>
  <si>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</si>
  <si>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</si>
  <si>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</si>
  <si>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</si>
  <si>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</si>
  <si>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</si>
  <si>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</si>
  <si>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</si>
  <si>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</si>
  <si>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</si>
  <si>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</si>
  <si>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</si>
  <si>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</si>
  <si>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</si>
  <si>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</si>
  <si>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</si>
  <si>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</si>
  <si>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</si>
  <si>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</si>
  <si>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</si>
  <si>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</si>
  <si>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</si>
  <si>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</si>
  <si>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</si>
  <si>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</si>
  <si>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</si>
  <si>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</si>
  <si>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</si>
  <si>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</si>
  <si>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</si>
  <si>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</si>
  <si>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</si>
  <si>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</si>
  <si>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</si>
  <si>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</si>
  <si>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</si>
  <si>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</si>
  <si>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</si>
  <si>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</si>
  <si>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</si>
  <si>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</si>
  <si>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</si>
  <si>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</si>
  <si>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</si>
  <si>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</si>
  <si>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</si>
  <si>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</si>
  <si>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</si>
  <si>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</si>
  <si>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</si>
  <si>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</si>
  <si>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</si>
  <si>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</si>
  <si>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</si>
  <si>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</si>
  <si>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</si>
  <si>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</si>
  <si>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</si>
  <si>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</si>
  <si>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</si>
  <si>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</si>
  <si>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</si>
  <si>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</si>
  <si>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</si>
  <si>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</si>
  <si>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</si>
  <si>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</si>
  <si>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</si>
  <si>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</si>
  <si>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</si>
  <si>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</si>
  <si>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</si>
  <si>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</si>
  <si>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</si>
  <si>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</si>
  <si>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</si>
  <si>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</si>
  <si>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</si>
  <si>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</si>
  <si>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</si>
  <si>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</si>
  <si>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</si>
  <si>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</si>
  <si>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</si>
  <si>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</si>
  <si>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</si>
  <si>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</si>
  <si>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</si>
  <si>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</si>
  <si>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</si>
  <si>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</si>
  <si>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</si>
  <si>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</si>
  <si>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</si>
  <si>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</si>
  <si>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</si>
  <si>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</si>
  <si>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</si>
  <si>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</si>
  <si>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</si>
  <si>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</si>
  <si>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</si>
  <si>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</si>
  <si>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</si>
  <si>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</si>
  <si>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</si>
  <si>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</si>
  <si>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</si>
  <si>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</si>
  <si>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</si>
  <si>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</si>
  <si>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</si>
  <si>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</si>
  <si>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</si>
  <si>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</si>
  <si>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</si>
  <si>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</si>
  <si>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</si>
  <si>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</si>
  <si>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</si>
  <si>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</si>
  <si>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</si>
  <si>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</si>
  <si>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</si>
  <si>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</si>
  <si>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</si>
  <si>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</si>
  <si>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</si>
  <si>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</si>
  <si>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</si>
  <si>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</si>
  <si>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</si>
  <si>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</si>
  <si>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</si>
  <si>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</si>
  <si>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</si>
  <si>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</si>
  <si>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</si>
  <si>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</si>
  <si>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</si>
  <si>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</si>
  <si>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</si>
  <si>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</si>
  <si>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</si>
  <si>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</si>
  <si>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</si>
  <si>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</si>
  <si>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</si>
  <si>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</si>
  <si>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</si>
  <si>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</si>
  <si>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</si>
  <si>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</si>
  <si>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</si>
  <si>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</si>
  <si>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</si>
  <si>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</si>
  <si>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</si>
  <si>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</si>
  <si>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</si>
  <si>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</si>
  <si>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</si>
  <si>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</si>
  <si>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</si>
  <si>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</si>
  <si>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</si>
  <si>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</si>
  <si>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</si>
  <si>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</si>
  <si>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</si>
  <si>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</si>
  <si>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</si>
  <si>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</si>
  <si>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</si>
  <si>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</si>
  <si>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</si>
  <si>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</si>
  <si>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</si>
  <si>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</si>
  <si>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</si>
  <si>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</si>
  <si>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</si>
  <si>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</si>
  <si>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</si>
  <si>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</si>
  <si>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</si>
  <si>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</si>
  <si>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</si>
  <si>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</si>
  <si>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</si>
  <si>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</si>
  <si>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</si>
  <si>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</si>
  <si>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</si>
  <si>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</si>
  <si>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</si>
  <si>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</si>
  <si>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</si>
  <si>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</si>
  <si>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</si>
  <si>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</si>
  <si>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</si>
  <si>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</si>
  <si>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</si>
  <si>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</si>
  <si>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</si>
  <si>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</si>
  <si>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</si>
  <si>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</si>
  <si>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</si>
  <si>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</si>
  <si>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</si>
  <si>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</si>
  <si>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</si>
  <si>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</si>
  <si>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</si>
  <si>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</si>
  <si>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</si>
  <si>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</si>
  <si>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</si>
  <si>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</si>
  <si>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</si>
  <si>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</si>
  <si>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</si>
  <si>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</si>
  <si>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</si>
  <si>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</si>
  <si>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</si>
  <si>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</si>
  <si>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</si>
  <si>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</si>
  <si>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</si>
  <si>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</si>
  <si>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</si>
  <si>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</si>
  <si>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</si>
  <si>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</si>
  <si>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</si>
  <si>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</si>
  <si>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</si>
  <si>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</si>
  <si>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</si>
  <si>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</si>
  <si>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</si>
  <si>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</si>
  <si>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</si>
  <si>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</si>
  <si>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</si>
  <si>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</si>
  <si>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</si>
  <si>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</si>
  <si>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</si>
  <si>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</si>
  <si>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</si>
  <si>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</si>
  <si>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</si>
  <si>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</si>
  <si>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</si>
  <si>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</si>
  <si>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</si>
  <si>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</si>
  <si>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</si>
  <si>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</si>
  <si>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</si>
  <si>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</si>
  <si>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</si>
  <si>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</si>
  <si>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</si>
  <si>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</si>
  <si>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</si>
  <si>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</si>
  <si>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</si>
  <si>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</si>
  <si>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</si>
  <si>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</si>
  <si>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</si>
  <si>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</si>
  <si>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</si>
  <si>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</si>
  <si>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</si>
  <si>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</si>
  <si>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</si>
  <si>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</si>
  <si>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</si>
  <si>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</si>
  <si>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</si>
  <si>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</si>
  <si>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</si>
  <si>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</si>
  <si>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</si>
  <si>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</si>
  <si>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</si>
  <si>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</si>
  <si>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</si>
  <si>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</si>
  <si>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</si>
  <si>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</si>
  <si>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</si>
  <si>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</si>
  <si>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</si>
  <si>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</si>
  <si>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</si>
  <si>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</si>
  <si>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</si>
  <si>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</si>
  <si>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</si>
  <si>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</si>
  <si>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</si>
  <si>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</si>
  <si>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</si>
  <si>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</si>
  <si>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</si>
  <si>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</si>
  <si>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</si>
  <si>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</si>
  <si>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</si>
  <si>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</si>
  <si>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</si>
  <si>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</si>
  <si>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</si>
  <si>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</si>
  <si>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</si>
  <si>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</si>
  <si>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</si>
  <si>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</si>
  <si>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</si>
  <si>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</si>
  <si>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</si>
  <si>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</si>
  <si>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</si>
  <si>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</si>
  <si>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</si>
  <si>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</si>
  <si>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</si>
  <si>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</si>
  <si>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</si>
  <si>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</si>
  <si>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</si>
  <si>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</si>
  <si>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</si>
  <si>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</si>
  <si>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</si>
  <si>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</si>
  <si>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</si>
  <si>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</si>
  <si>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</si>
  <si>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</si>
  <si>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</si>
  <si>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</si>
  <si>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</si>
  <si>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</si>
  <si>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</si>
  <si>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</si>
  <si>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</si>
  <si>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</si>
  <si>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</si>
  <si>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</si>
  <si>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</si>
  <si>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</si>
  <si>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</si>
  <si>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</si>
  <si>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</si>
  <si>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</si>
  <si>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</si>
  <si>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</si>
  <si>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</si>
  <si>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</si>
  <si>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</si>
  <si>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</si>
  <si>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</si>
  <si>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</si>
  <si>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</si>
  <si>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</si>
  <si>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</si>
  <si>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</si>
  <si>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</si>
  <si>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</si>
  <si>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</si>
  <si>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</si>
  <si>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</si>
  <si>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</si>
  <si>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</si>
  <si>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</si>
  <si>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</si>
  <si>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</si>
  <si>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</si>
  <si>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</si>
  <si>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</si>
  <si>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</si>
  <si>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</si>
  <si>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</si>
  <si>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</si>
  <si>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</si>
  <si>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</si>
  <si>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</si>
  <si>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</si>
  <si>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</si>
  <si>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</si>
  <si>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</si>
  <si>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</si>
  <si>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</si>
  <si>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</si>
  <si>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</si>
  <si>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</si>
  <si>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</si>
  <si>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</si>
  <si>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</si>
  <si>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</si>
  <si>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</si>
  <si>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</si>
  <si>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</si>
  <si>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</si>
  <si>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</si>
  <si>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</si>
  <si>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</si>
  <si>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</si>
  <si>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</si>
  <si>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</si>
  <si>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</si>
  <si>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</si>
  <si>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</si>
  <si>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</si>
  <si>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</si>
  <si>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</si>
  <si>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</si>
  <si>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</si>
  <si>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</si>
  <si>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</si>
  <si>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</si>
  <si>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</si>
  <si>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</si>
  <si>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</si>
  <si>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</si>
  <si>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</si>
  <si>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</si>
  <si>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</si>
  <si>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</si>
  <si>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</si>
  <si>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</si>
  <si>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</si>
  <si>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</si>
  <si>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</si>
  <si>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</si>
  <si>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</si>
  <si>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</si>
  <si>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</si>
  <si>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</si>
  <si>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</si>
  <si>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</si>
  <si>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</si>
  <si>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</si>
  <si>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</si>
  <si>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</si>
  <si>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</si>
  <si>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</si>
  <si>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</si>
  <si>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</si>
  <si>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</si>
  <si>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</si>
  <si>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</si>
  <si>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</si>
  <si>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</si>
  <si>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</si>
  <si>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</si>
  <si>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</si>
  <si>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</si>
  <si>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</si>
  <si>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</si>
  <si>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</si>
  <si>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</si>
  <si>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</si>
  <si>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</si>
  <si>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</si>
  <si>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</si>
  <si>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</si>
  <si>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</si>
  <si>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</si>
  <si>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</si>
  <si>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</si>
  <si>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</si>
  <si>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</si>
  <si>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</si>
  <si>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</si>
  <si>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</si>
  <si>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</si>
  <si>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</si>
  <si>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</si>
  <si>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</si>
  <si>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</si>
  <si>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</si>
  <si>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</si>
  <si>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</si>
  <si>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</si>
  <si>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</si>
  <si>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</si>
  <si>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</si>
  <si>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</si>
  <si>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</si>
  <si>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</si>
  <si>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</si>
  <si>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</si>
  <si>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</si>
  <si>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</si>
  <si>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</si>
  <si>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</si>
  <si>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</si>
  <si>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</si>
  <si>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</si>
  <si>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</si>
  <si>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</si>
  <si>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</si>
  <si>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</si>
  <si>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</si>
  <si>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</si>
  <si>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</si>
  <si>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</si>
  <si>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</si>
  <si>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</si>
  <si>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</si>
  <si>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</si>
  <si>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</si>
  <si>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</si>
  <si>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</si>
  <si>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</si>
  <si>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</si>
  <si>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</si>
  <si>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</si>
  <si>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</si>
  <si>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</si>
  <si>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</si>
  <si>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</si>
  <si>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</si>
  <si>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</si>
  <si>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</si>
  <si>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</si>
  <si>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</si>
  <si>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</si>
  <si>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</si>
  <si>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</si>
  <si>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</si>
  <si>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</si>
  <si>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</si>
  <si>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</si>
  <si>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</si>
  <si>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</si>
  <si>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</si>
  <si>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</si>
  <si>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</si>
  <si>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</si>
  <si>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</si>
  <si>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</si>
  <si>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</si>
  <si>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</si>
  <si>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</si>
  <si>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</si>
  <si>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</si>
  <si>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</si>
  <si>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</si>
  <si>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</si>
  <si>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</si>
  <si>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</si>
  <si>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</si>
  <si>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</si>
  <si>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</si>
  <si>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</si>
  <si>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</si>
  <si>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</si>
  <si>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</si>
  <si>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</si>
  <si>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</si>
  <si>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</si>
  <si>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</si>
  <si>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</si>
  <si>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</si>
  <si>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</si>
  <si>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</si>
  <si>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</si>
  <si>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</si>
  <si>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</si>
  <si>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</si>
  <si>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</si>
  <si>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</si>
  <si>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</si>
  <si>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</si>
  <si>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</si>
  <si>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</si>
  <si>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</si>
  <si>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</si>
  <si>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</si>
  <si>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</si>
  <si>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</si>
  <si>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</si>
  <si>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</si>
  <si>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</si>
  <si>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</si>
  <si>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</si>
  <si>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</si>
  <si>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</si>
  <si>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</si>
  <si>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</si>
  <si>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</si>
  <si>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</si>
  <si>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</si>
  <si>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</si>
  <si>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</si>
  <si>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</si>
  <si>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</si>
  <si>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</si>
  <si>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</si>
  <si>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</si>
  <si>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</si>
  <si>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</si>
  <si>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</si>
  <si>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</si>
  <si>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</si>
  <si>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</si>
  <si>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</si>
  <si>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</si>
  <si>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</si>
  <si>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</si>
  <si>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</si>
  <si>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</si>
  <si>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</si>
  <si>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</si>
  <si>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</si>
  <si>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</si>
  <si>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</si>
  <si>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</si>
  <si>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</si>
  <si>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</si>
  <si>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</si>
  <si>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</si>
  <si>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</si>
  <si>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</si>
  <si>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</si>
  <si>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</si>
  <si>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</si>
  <si>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</si>
  <si>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</si>
  <si>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</si>
  <si>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</si>
  <si>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</si>
  <si>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</si>
  <si>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</si>
  <si>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</si>
  <si>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</si>
  <si>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</si>
  <si>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</si>
  <si>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</si>
  <si>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</si>
  <si>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</si>
  <si>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</si>
  <si>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</si>
  <si>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</si>
  <si>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</si>
  <si>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</si>
  <si>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</si>
  <si>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</si>
  <si>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</si>
  <si>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</si>
  <si>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</si>
  <si>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</si>
  <si>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</si>
  <si>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</si>
  <si>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</si>
  <si>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</si>
  <si>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</si>
  <si>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</si>
  <si>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</si>
  <si>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</si>
  <si>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</si>
  <si>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</si>
  <si>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</si>
  <si>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</si>
  <si>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</si>
  <si>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</si>
  <si>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</si>
  <si>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</si>
  <si>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</si>
  <si>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</si>
  <si>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</si>
  <si>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</si>
  <si>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</si>
  <si>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</si>
  <si>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</si>
  <si>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</si>
  <si>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</si>
  <si>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</si>
  <si>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</si>
  <si>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</si>
  <si>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</si>
  <si>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</si>
  <si>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</si>
  <si>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</si>
  <si>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</si>
  <si>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</si>
  <si>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</si>
  <si>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</si>
  <si>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</si>
  <si>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</si>
  <si>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</si>
  <si>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</si>
  <si>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</si>
  <si>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</si>
  <si>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</si>
  <si>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</si>
  <si>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</si>
  <si>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</si>
  <si>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</si>
  <si>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</si>
  <si>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</si>
  <si>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</si>
  <si>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</si>
  <si>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</si>
  <si>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</si>
  <si>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</si>
  <si>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</si>
  <si>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</si>
  <si>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</si>
  <si>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</si>
  <si>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</si>
  <si>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</si>
  <si>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</si>
  <si>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</si>
  <si>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</si>
  <si>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</si>
  <si>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</si>
  <si>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</si>
  <si>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</si>
  <si>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</si>
  <si>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</si>
  <si>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</si>
  <si>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</si>
  <si>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</si>
  <si>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</si>
  <si>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</si>
  <si>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</si>
  <si>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</si>
  <si>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</si>
  <si>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</si>
  <si>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</si>
  <si>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</si>
  <si>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</si>
  <si>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</si>
  <si>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</si>
  <si>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</si>
  <si>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</si>
  <si>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</si>
  <si>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</si>
  <si>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</si>
  <si>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</si>
  <si>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</si>
  <si>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</si>
  <si>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</si>
  <si>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</si>
  <si>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</si>
  <si>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</si>
  <si>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</si>
  <si>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</si>
  <si>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</si>
  <si>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</si>
  <si>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</si>
  <si>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</si>
  <si>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</si>
  <si>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</si>
  <si>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</si>
  <si>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</si>
  <si>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</si>
  <si>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</si>
  <si>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</si>
  <si>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</si>
  <si>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</si>
  <si>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</si>
  <si>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</si>
  <si>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</si>
  <si>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</si>
  <si>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</si>
  <si>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</si>
  <si>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</si>
  <si>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</si>
  <si>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</si>
  <si>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</si>
  <si>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</si>
  <si>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</si>
  <si>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</si>
  <si>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</si>
  <si>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</si>
  <si>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</si>
  <si>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</si>
  <si>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</si>
  <si>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</si>
  <si>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</si>
  <si>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</si>
  <si>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</si>
  <si>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</si>
  <si>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</si>
  <si>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</si>
  <si>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</si>
  <si>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</si>
  <si>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</si>
  <si>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</si>
  <si>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</si>
  <si>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</si>
  <si>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</si>
  <si>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</si>
  <si>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</si>
  <si>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</si>
  <si>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</si>
  <si>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</si>
  <si>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</si>
  <si>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</si>
  <si>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</si>
  <si>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</si>
  <si>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</si>
  <si>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</si>
  <si>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</si>
  <si>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</si>
  <si>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</si>
  <si>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</si>
  <si>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</si>
  <si>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</si>
  <si>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</si>
  <si>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</si>
  <si>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</si>
  <si>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</si>
  <si>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</si>
  <si>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</si>
  <si>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</si>
  <si>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</si>
  <si>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</si>
  <si>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</si>
  <si>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</si>
  <si>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</si>
  <si>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</si>
  <si>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</si>
  <si>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</si>
  <si>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</si>
  <si>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</si>
  <si>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</si>
  <si>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</si>
  <si>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</si>
  <si>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</si>
  <si>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</si>
  <si>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</si>
  <si>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</si>
  <si>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</si>
  <si>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</si>
  <si>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</si>
  <si>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</si>
  <si>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</si>
  <si>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</si>
  <si>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</si>
  <si>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</si>
  <si>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</si>
  <si>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</si>
  <si>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</si>
  <si>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</si>
  <si>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</si>
  <si>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</si>
  <si>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</si>
  <si>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</si>
  <si>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</si>
  <si>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</si>
  <si>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</si>
  <si>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</si>
  <si>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</si>
  <si>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</si>
  <si>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</si>
  <si>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</si>
  <si>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</si>
  <si>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</si>
  <si>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</si>
  <si>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</si>
  <si>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</si>
  <si>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</si>
  <si>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</si>
  <si>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</si>
  <si>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</si>
  <si>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</si>
  <si>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</si>
  <si>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</si>
  <si>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</si>
  <si>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</si>
  <si>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</si>
  <si>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</si>
  <si>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</si>
  <si>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</si>
  <si>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</si>
  <si>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</si>
  <si>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</si>
  <si>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</si>
  <si>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</si>
  <si>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</si>
  <si>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</si>
  <si>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</si>
  <si>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</si>
  <si>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</si>
  <si>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</si>
  <si>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</si>
  <si>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</si>
  <si>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</si>
  <si>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</si>
  <si>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</si>
  <si>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</si>
  <si>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</si>
  <si>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</si>
  <si>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</si>
  <si>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</si>
  <si>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</si>
  <si>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</si>
  <si>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</si>
  <si>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</si>
  <si>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</si>
  <si>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</si>
  <si>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</si>
  <si>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</si>
  <si>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</si>
  <si>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</si>
  <si>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</si>
  <si>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</si>
  <si>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</si>
  <si>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</si>
  <si>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</si>
  <si>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</si>
  <si>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</si>
  <si>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</si>
  <si>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</si>
  <si>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</si>
  <si>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</si>
  <si>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</si>
  <si>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</si>
  <si>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</si>
  <si>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</si>
  <si>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</si>
  <si>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</si>
  <si>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</si>
  <si>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</si>
  <si>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</si>
  <si>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</si>
  <si>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</si>
  <si>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</si>
  <si>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</si>
  <si>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</si>
  <si>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</si>
  <si>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</si>
  <si>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</si>
  <si>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</si>
  <si>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</si>
  <si>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</si>
  <si>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</si>
  <si>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</si>
  <si>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</si>
  <si>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</si>
  <si>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</si>
  <si>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</si>
  <si>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</si>
  <si>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</si>
  <si>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</si>
  <si>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</si>
  <si>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</si>
  <si>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</si>
  <si>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</si>
  <si>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</si>
  <si>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</si>
  <si>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</si>
  <si>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</si>
  <si>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</si>
  <si>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</si>
  <si>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</si>
  <si>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</si>
  <si>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</si>
  <si>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</si>
  <si>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</si>
  <si>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</si>
  <si>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</si>
  <si>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</si>
  <si>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</si>
  <si>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</si>
  <si>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</si>
  <si>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</si>
  <si>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</si>
  <si>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</si>
  <si>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</si>
  <si>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</si>
  <si>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</si>
  <si>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</si>
  <si>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</si>
  <si>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</si>
  <si>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</si>
  <si>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</si>
  <si>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</si>
  <si>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</si>
  <si>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</si>
  <si>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</si>
  <si>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</si>
  <si>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</si>
  <si>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</si>
  <si>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</si>
  <si>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</si>
  <si>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</si>
  <si>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</si>
  <si>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</si>
  <si>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</si>
  <si>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</si>
  <si>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</si>
  <si>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</si>
  <si>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</si>
  <si>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</si>
  <si>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</si>
  <si>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</si>
  <si>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</si>
  <si>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</si>
  <si>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</si>
  <si>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</si>
  <si>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</si>
  <si>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</si>
  <si>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</si>
  <si>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</si>
  <si>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</si>
  <si>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</si>
  <si>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</si>
  <si>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</si>
  <si>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</si>
  <si>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</si>
  <si>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</si>
  <si>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</si>
  <si>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</si>
  <si>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</si>
  <si>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</si>
  <si>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</si>
  <si>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</si>
  <si>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</si>
  <si>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</si>
  <si>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</si>
  <si>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</si>
  <si>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</si>
  <si>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</si>
  <si>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</si>
  <si>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</si>
  <si>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</si>
  <si>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</si>
  <si>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</si>
  <si>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</si>
  <si>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</si>
  <si>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</si>
  <si>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</si>
  <si>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</si>
  <si>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</si>
  <si>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</si>
  <si>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</si>
  <si>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</si>
  <si>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</si>
  <si>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</si>
  <si>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</si>
  <si>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</si>
  <si>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</si>
  <si>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</si>
  <si>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</si>
  <si>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</si>
  <si>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</si>
  <si>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</si>
  <si>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</si>
  <si>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</si>
  <si>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</si>
  <si>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</si>
  <si>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</si>
  <si>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</si>
  <si>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</si>
  <si>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</si>
  <si>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</si>
  <si>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</si>
  <si>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</si>
  <si>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</si>
  <si>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</si>
  <si>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</si>
  <si>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</si>
  <si>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</si>
  <si>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</si>
  <si>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</si>
  <si>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</si>
  <si>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</si>
  <si>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</si>
  <si>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</si>
  <si>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</si>
  <si>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</si>
  <si>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</si>
  <si>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</si>
  <si>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</si>
  <si>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</si>
  <si>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</si>
  <si>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</si>
  <si>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</si>
  <si>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</si>
  <si>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</si>
  <si>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</si>
  <si>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</si>
  <si>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</si>
  <si>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</si>
  <si>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</si>
  <si>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</si>
  <si>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</si>
  <si>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</si>
  <si>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</si>
  <si>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</si>
  <si>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</si>
  <si>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</si>
  <si>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</si>
  <si>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</si>
  <si>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</si>
  <si>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</si>
  <si>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</si>
  <si>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</si>
  <si>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</si>
  <si>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</si>
  <si>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</si>
  <si>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</si>
  <si>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</si>
  <si>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</si>
  <si>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</si>
  <si>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</si>
  <si>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</si>
  <si>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</si>
  <si>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</si>
  <si>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</si>
  <si>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</si>
  <si>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</si>
  <si>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</si>
  <si>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</si>
  <si>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</si>
  <si>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</si>
  <si>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</si>
  <si>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</si>
  <si>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</si>
  <si>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</si>
  <si>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</si>
  <si>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</si>
  <si>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</si>
  <si>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</si>
  <si>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</si>
  <si>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</si>
  <si>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</si>
  <si>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</si>
  <si>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</si>
  <si>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</si>
  <si>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</si>
  <si>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</si>
  <si>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</si>
  <si>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</si>
  <si>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</si>
  <si>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</si>
  <si>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</si>
  <si>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</si>
  <si>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</si>
  <si>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</si>
  <si>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</si>
  <si>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</si>
  <si>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</si>
  <si>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</si>
  <si>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</si>
  <si>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</si>
  <si>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</si>
  <si>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</si>
  <si>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</si>
  <si>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</si>
  <si>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</si>
  <si>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</si>
  <si>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</si>
  <si>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</si>
  <si>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</si>
  <si>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</si>
  <si>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</si>
  <si>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</si>
  <si>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</si>
  <si>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</si>
  <si>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</si>
  <si>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</si>
  <si>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</si>
  <si>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</si>
  <si>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</si>
  <si>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</si>
  <si>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</si>
  <si>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</si>
  <si>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</si>
  <si>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</si>
  <si>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</si>
  <si>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</si>
  <si>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</si>
  <si>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</si>
  <si>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</si>
  <si>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</si>
  <si>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</si>
  <si>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</si>
  <si>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</si>
  <si>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</si>
  <si>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</si>
  <si>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</si>
  <si>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</si>
  <si>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</si>
  <si>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</si>
  <si>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</si>
  <si>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</si>
  <si>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</si>
  <si>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</si>
  <si>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</si>
  <si>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</si>
  <si>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</si>
  <si>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</si>
  <si>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</si>
  <si>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</si>
  <si>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</si>
  <si>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</si>
  <si>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</si>
  <si>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</si>
  <si>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</si>
  <si>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</si>
  <si>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</si>
  <si>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</si>
  <si>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</si>
  <si>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</si>
  <si>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</si>
  <si>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</si>
  <si>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</si>
  <si>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</si>
  <si>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</si>
  <si>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</si>
  <si>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</si>
  <si>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</si>
  <si>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</si>
  <si>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</si>
  <si>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</si>
  <si>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</si>
  <si>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</si>
  <si>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</si>
  <si>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</si>
  <si>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</si>
  <si>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</si>
  <si>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</si>
  <si>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</si>
  <si>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</si>
  <si>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</si>
  <si>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</si>
  <si>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</si>
  <si>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</si>
  <si>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</si>
  <si>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</si>
  <si>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</si>
  <si>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</si>
  <si>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</si>
  <si>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</si>
  <si>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</si>
  <si>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</si>
  <si>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</si>
  <si>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</si>
  <si>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</si>
  <si>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</si>
  <si>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</si>
  <si>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</si>
  <si>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</si>
  <si>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</si>
  <si>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</si>
  <si>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</si>
  <si>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</si>
  <si>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</si>
  <si>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</si>
  <si>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</si>
  <si>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</si>
  <si>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</si>
  <si>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</si>
  <si>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</si>
  <si>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</si>
  <si>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</si>
  <si>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</si>
  <si>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</si>
  <si>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</si>
  <si>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</si>
  <si>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</si>
  <si>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</si>
  <si>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</si>
  <si>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</si>
  <si>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</si>
  <si>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</si>
  <si>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</si>
  <si>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</si>
  <si>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</si>
  <si>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</si>
  <si>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</si>
  <si>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</si>
  <si>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</si>
  <si>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</si>
  <si>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</si>
  <si>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</si>
  <si>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</si>
  <si>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</si>
  <si>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</si>
  <si>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</si>
  <si>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</si>
  <si>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</si>
  <si>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</si>
  <si>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</si>
  <si>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</si>
  <si>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</si>
  <si>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</si>
  <si>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</si>
  <si>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Statistical Analysis 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</si>
  <si>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</si>
  <si>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</si>
  <si>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</si>
  <si>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</si>
  <si>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</si>
  <si>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</si>
  <si>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</si>
  <si>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Unsuccessful Campaigns</t>
  </si>
  <si>
    <t>(Multiple Items)</t>
  </si>
  <si>
    <t>(blank)</t>
  </si>
  <si>
    <t>Q1</t>
  </si>
  <si>
    <t>IQR</t>
  </si>
  <si>
    <t>lower bound</t>
  </si>
  <si>
    <t>upper bound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</si>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</sst>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AB16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465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33" borderId="0" xfId="0" applyFont="1" applyFill="1"/>
    <xf numFmtId="9" fontId="0" fillId="0" borderId="0" xfId="0" applyNumberFormat="1"/>
    <xf numFmtId="0" fontId="0" fillId="35" borderId="10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7" borderId="11" xfId="0" applyFill="1" applyBorder="1"/>
    <xf numFmtId="0" fontId="0" fillId="34" borderId="10" xfId="0" applyFill="1" applyBorder="1"/>
    <xf numFmtId="1" fontId="0" fillId="0" borderId="16" xfId="0" applyNumberFormat="1" applyBorder="1"/>
    <xf numFmtId="1" fontId="0" fillId="0" borderId="13" xfId="0" applyNumberFormat="1" applyBorder="1"/>
    <xf numFmtId="164" fontId="0" fillId="0" borderId="16" xfId="0" applyNumberFormat="1" applyBorder="1"/>
    <xf numFmtId="2" fontId="0" fillId="0" borderId="12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14" xfId="0" applyNumberFormat="1" applyBorder="1"/>
    <xf numFmtId="2" fontId="0" fillId="0" borderId="17" xfId="0" applyNumberFormat="1" applyBorder="1"/>
    <xf numFmtId="0" fontId="0" fillId="0" borderId="0" xfId="0" applyNumberFormat="1"/>
    <xf numFmtId="3" fontId="0" fillId="0" borderId="0" xfId="0" applyNumberFormat="1"/>
    <xf numFmtId="0" fontId="0" fillId="36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465B"/>
      <color rgb="FF7AB161"/>
      <color rgb="FF3980CE"/>
      <color rgb="FFFE3F52"/>
      <color rgb="FF50B04E"/>
      <color rgb="FFF21A45"/>
      <color rgb="FF4ABAF0"/>
      <color rgb="FFB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Outcome of Campaigns Based On Category</a:t>
            </a:r>
            <a:endParaRPr lang="en-US" sz="1800" b="1"/>
          </a:p>
        </c:rich>
      </c:tx>
      <c:layout>
        <c:manualLayout>
          <c:xMode val="edge"/>
          <c:yMode val="edge"/>
          <c:x val="0.23838637008206265"/>
          <c:y val="3.7552246198012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6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980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AB16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21112630362951"/>
          <c:y val="0.12179195870133243"/>
          <c:w val="0.72484280354997666"/>
          <c:h val="0.6769326452238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4-1A4C-A96C-E0D3B4B34AD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465B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265-BC49-97FD-16ECBB87742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980CE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265-BC49-97FD-16ECBB87742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AB16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265-BC49-97FD-16ECBB877422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39-0265-BC49-97FD-16ECBB87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378464"/>
        <c:axId val="1165571312"/>
      </c:barChart>
      <c:catAx>
        <c:axId val="11653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Parent</a:t>
                </a:r>
                <a:r>
                  <a:rPr lang="en-US" sz="1400" baseline="0"/>
                  <a:t> </a:t>
                </a:r>
                <a:r>
                  <a:rPr lang="en-US" sz="1400"/>
                  <a:t>Categories</a:t>
                </a:r>
              </a:p>
            </c:rich>
          </c:tx>
          <c:layout>
            <c:manualLayout>
              <c:xMode val="edge"/>
              <c:yMode val="edge"/>
              <c:x val="0.41121957237031731"/>
              <c:y val="0.9354258076688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71312"/>
        <c:crosses val="autoZero"/>
        <c:auto val="1"/>
        <c:lblAlgn val="ctr"/>
        <c:lblOffset val="100"/>
        <c:noMultiLvlLbl val="0"/>
      </c:catAx>
      <c:valAx>
        <c:axId val="116557131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Campaign Count</a:t>
                </a:r>
              </a:p>
            </c:rich>
          </c:tx>
          <c:layout>
            <c:manualLayout>
              <c:xMode val="edge"/>
              <c:yMode val="edge"/>
              <c:x val="1.3445916812122861E-2"/>
              <c:y val="0.41465912521565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72067799111342"/>
          <c:y val="0.40280816961779953"/>
          <c:w val="9.4739459050075497E-2"/>
          <c:h val="0.20900536632882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Outcome Of Campaigns Based On Sub-Category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262814904547189"/>
          <c:y val="1.7582417582417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6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980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AB16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58391098548578"/>
          <c:y val="0.110910616942113"/>
          <c:w val="0.7038498553065482"/>
          <c:h val="0.64951769490352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B-EC46-BBC0-DB2CC8715FC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465B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3-FE4D-AF4F-1449962EE59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980CE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B63-FE4D-AF4F-1449962EE59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AB16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B63-FE4D-AF4F-1449962E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028832"/>
        <c:axId val="1277030480"/>
      </c:barChart>
      <c:catAx>
        <c:axId val="12770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0480"/>
        <c:crosses val="autoZero"/>
        <c:auto val="1"/>
        <c:lblAlgn val="ctr"/>
        <c:lblOffset val="100"/>
        <c:noMultiLvlLbl val="0"/>
      </c:catAx>
      <c:valAx>
        <c:axId val="12770304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Campaign Count</a:t>
                </a:r>
              </a:p>
            </c:rich>
          </c:tx>
          <c:layout>
            <c:manualLayout>
              <c:xMode val="edge"/>
              <c:yMode val="edge"/>
              <c:x val="2.4461044933485877E-2"/>
              <c:y val="0.41177523264137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8109563227665"/>
          <c:y val="0.39349675521329075"/>
          <c:w val="9.2155371604190503E-2"/>
          <c:h val="0.17119338928787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Outcome Of Campaigns Based On Date Created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465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980C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AB1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9-C04A-A4BA-18F76C0A2D6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465B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7B9-6047-AC95-4D32B7C8732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7AB16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7B9-6047-AC95-4D32B7C8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43216"/>
        <c:axId val="1642292736"/>
      </c:lineChart>
      <c:catAx>
        <c:axId val="1643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92736"/>
        <c:crosses val="autoZero"/>
        <c:auto val="1"/>
        <c:lblAlgn val="ctr"/>
        <c:lblOffset val="100"/>
        <c:noMultiLvlLbl val="0"/>
      </c:catAx>
      <c:valAx>
        <c:axId val="16422927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Campaign Count</a:t>
                </a:r>
              </a:p>
            </c:rich>
          </c:tx>
          <c:layout>
            <c:manualLayout>
              <c:xMode val="edge"/>
              <c:yMode val="edge"/>
              <c:x val="1.0507880910683012E-2"/>
              <c:y val="0.38250377320962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Outcomes</a:t>
            </a:r>
            <a:r>
              <a:rPr lang="en-US" sz="1600" b="1" baseline="0"/>
              <a:t> Based on Goal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rgbClr val="7AB16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D-9348-A805-4E92AD8F7AC6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F465B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D-9348-A805-4E92AD8F7AC6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D-9348-A805-4E92AD8F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898784"/>
        <c:axId val="1776931888"/>
      </c:lineChart>
      <c:catAx>
        <c:axId val="17288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31888"/>
        <c:crosses val="autoZero"/>
        <c:auto val="1"/>
        <c:lblAlgn val="ctr"/>
        <c:lblOffset val="100"/>
        <c:noMultiLvlLbl val="0"/>
      </c:catAx>
      <c:valAx>
        <c:axId val="17769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1730</xdr:rowOff>
    </xdr:from>
    <xdr:to>
      <xdr:col>18</xdr:col>
      <xdr:colOff>55276</xdr:colOff>
      <xdr:row>31</xdr:row>
      <xdr:rowOff>47380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F81E2-00DB-1F47-152B-4F4C0A4D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0</xdr:rowOff>
    </xdr:from>
    <xdr:to>
      <xdr:col>17</xdr:col>
      <xdr:colOff>190500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52E54-81F5-EBE3-4E52-758185EA9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133350</xdr:rowOff>
    </xdr:from>
    <xdr:to>
      <xdr:col>15</xdr:col>
      <xdr:colOff>12700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D41D5-93A1-1D33-6A44-046D1531C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14</xdr:row>
      <xdr:rowOff>44450</xdr:rowOff>
    </xdr:from>
    <xdr:to>
      <xdr:col>7</xdr:col>
      <xdr:colOff>838200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2095B-3C87-98BD-7D70-B0FBBF511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0.660338541667" createdVersion="8" refreshedVersion="8" minRefreshableVersion="3" recordCount="1001" xr:uid="{D56D957A-902D-A741-9909-5EE5C07C753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0.689881134262" createdVersion="8" refreshedVersion="8" minRefreshableVersion="3" recordCount="1000" xr:uid="{A32D6174-DB83-C345-8728-B560BB20BEA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  <r>
    <m/>
    <x v="974"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58DB9-C925-7F49-9468-E03DDAFC8D08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G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DF462-2784-3642-958C-BE8F3AF59875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DA292-2A2E-FE4C-8B85-44C0FCE276C3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7C5F-9EDD-1F40-B2A6-2EE590C7BD59}">
  <sheetPr codeName="Sheet2"/>
  <dimension ref="A1:G15"/>
  <sheetViews>
    <sheetView tabSelected="1" zoomScale="88" workbookViewId="0">
      <selection activeCell="A3" sqref="A3"/>
    </sheetView>
  </sheetViews>
  <sheetFormatPr baseColWidth="10" defaultRowHeight="16" x14ac:dyDescent="0.2"/>
  <cols>
    <col min="1" max="1" width="17" bestFit="1" customWidth="1"/>
    <col min="2" max="2" width="16.83203125" bestFit="1" customWidth="1"/>
    <col min="3" max="3" width="6.1640625" bestFit="1" customWidth="1"/>
    <col min="4" max="4" width="4.5" bestFit="1" customWidth="1"/>
    <col min="5" max="5" width="10" bestFit="1" customWidth="1"/>
    <col min="6" max="6" width="7.1640625" bestFit="1" customWidth="1"/>
    <col min="7" max="7" width="11.33203125" bestFit="1" customWidth="1"/>
  </cols>
  <sheetData>
    <row r="1" spans="1:7" x14ac:dyDescent="0.2">
      <c r="A1" s="5" t="s">
        <v>6</v>
      </c>
      <c r="B1" t="s">
        <v>2070</v>
      </c>
    </row>
    <row r="3" spans="1:7" x14ac:dyDescent="0.2">
      <c r="A3" s="5" t="s">
        <v>2044</v>
      </c>
      <c r="B3" s="5" t="s">
        <v>2045</v>
      </c>
    </row>
    <row r="4" spans="1:7" x14ac:dyDescent="0.2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2115</v>
      </c>
      <c r="G4" t="s">
        <v>2034</v>
      </c>
    </row>
    <row r="5" spans="1:7" x14ac:dyDescent="0.2">
      <c r="A5" s="6" t="s">
        <v>2035</v>
      </c>
      <c r="B5" s="27">
        <v>11</v>
      </c>
      <c r="C5" s="27">
        <v>60</v>
      </c>
      <c r="D5" s="27">
        <v>5</v>
      </c>
      <c r="E5" s="27">
        <v>102</v>
      </c>
      <c r="F5" s="27"/>
      <c r="G5" s="27">
        <v>178</v>
      </c>
    </row>
    <row r="6" spans="1:7" x14ac:dyDescent="0.2">
      <c r="A6" s="6" t="s">
        <v>2036</v>
      </c>
      <c r="B6" s="27">
        <v>4</v>
      </c>
      <c r="C6" s="27">
        <v>20</v>
      </c>
      <c r="D6" s="27"/>
      <c r="E6" s="27">
        <v>22</v>
      </c>
      <c r="F6" s="27"/>
      <c r="G6" s="27">
        <v>46</v>
      </c>
    </row>
    <row r="7" spans="1:7" x14ac:dyDescent="0.2">
      <c r="A7" s="6" t="s">
        <v>2037</v>
      </c>
      <c r="B7" s="27">
        <v>1</v>
      </c>
      <c r="C7" s="27">
        <v>23</v>
      </c>
      <c r="D7" s="27">
        <v>3</v>
      </c>
      <c r="E7" s="27">
        <v>21</v>
      </c>
      <c r="F7" s="27"/>
      <c r="G7" s="27">
        <v>48</v>
      </c>
    </row>
    <row r="8" spans="1:7" x14ac:dyDescent="0.2">
      <c r="A8" s="6" t="s">
        <v>2038</v>
      </c>
      <c r="B8" s="27"/>
      <c r="C8" s="27"/>
      <c r="D8" s="27"/>
      <c r="E8" s="27">
        <v>4</v>
      </c>
      <c r="F8" s="27"/>
      <c r="G8" s="27">
        <v>4</v>
      </c>
    </row>
    <row r="9" spans="1:7" x14ac:dyDescent="0.2">
      <c r="A9" s="6" t="s">
        <v>2039</v>
      </c>
      <c r="B9" s="27">
        <v>10</v>
      </c>
      <c r="C9" s="27">
        <v>66</v>
      </c>
      <c r="D9" s="27"/>
      <c r="E9" s="27">
        <v>99</v>
      </c>
      <c r="F9" s="27"/>
      <c r="G9" s="27">
        <v>175</v>
      </c>
    </row>
    <row r="10" spans="1:7" x14ac:dyDescent="0.2">
      <c r="A10" s="6" t="s">
        <v>2040</v>
      </c>
      <c r="B10" s="27">
        <v>4</v>
      </c>
      <c r="C10" s="27">
        <v>11</v>
      </c>
      <c r="D10" s="27">
        <v>1</v>
      </c>
      <c r="E10" s="27">
        <v>26</v>
      </c>
      <c r="F10" s="27"/>
      <c r="G10" s="27">
        <v>42</v>
      </c>
    </row>
    <row r="11" spans="1:7" x14ac:dyDescent="0.2">
      <c r="A11" s="6" t="s">
        <v>2041</v>
      </c>
      <c r="B11" s="27">
        <v>2</v>
      </c>
      <c r="C11" s="27">
        <v>24</v>
      </c>
      <c r="D11" s="27">
        <v>1</v>
      </c>
      <c r="E11" s="27">
        <v>40</v>
      </c>
      <c r="F11" s="27"/>
      <c r="G11" s="27">
        <v>67</v>
      </c>
    </row>
    <row r="12" spans="1:7" x14ac:dyDescent="0.2">
      <c r="A12" s="6" t="s">
        <v>2042</v>
      </c>
      <c r="B12" s="27">
        <v>2</v>
      </c>
      <c r="C12" s="27">
        <v>28</v>
      </c>
      <c r="D12" s="27">
        <v>2</v>
      </c>
      <c r="E12" s="27">
        <v>64</v>
      </c>
      <c r="F12" s="27"/>
      <c r="G12" s="27">
        <v>96</v>
      </c>
    </row>
    <row r="13" spans="1:7" x14ac:dyDescent="0.2">
      <c r="A13" s="6" t="s">
        <v>2043</v>
      </c>
      <c r="B13" s="27">
        <v>23</v>
      </c>
      <c r="C13" s="27">
        <v>132</v>
      </c>
      <c r="D13" s="27">
        <v>2</v>
      </c>
      <c r="E13" s="27">
        <v>187</v>
      </c>
      <c r="F13" s="27"/>
      <c r="G13" s="27">
        <v>344</v>
      </c>
    </row>
    <row r="14" spans="1:7" x14ac:dyDescent="0.2">
      <c r="A14" s="6" t="s">
        <v>2115</v>
      </c>
      <c r="B14" s="27"/>
      <c r="C14" s="27"/>
      <c r="D14" s="27"/>
      <c r="E14" s="27"/>
      <c r="F14" s="27"/>
      <c r="G14" s="27"/>
    </row>
    <row r="15" spans="1:7" x14ac:dyDescent="0.2">
      <c r="A15" s="6" t="s">
        <v>2034</v>
      </c>
      <c r="B15" s="27">
        <v>57</v>
      </c>
      <c r="C15" s="27">
        <v>364</v>
      </c>
      <c r="D15" s="27">
        <v>14</v>
      </c>
      <c r="E15" s="27">
        <v>565</v>
      </c>
      <c r="F15" s="27"/>
      <c r="G15" s="2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116-365B-4444-BBC5-6D018D3D913A}">
  <sheetPr codeName="Sheet3"/>
  <dimension ref="A1:F35"/>
  <sheetViews>
    <sheetView workbookViewId="0">
      <selection activeCell="E36" sqref="E36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2114</v>
      </c>
    </row>
    <row r="2" spans="1:6" x14ac:dyDescent="0.2">
      <c r="A2" s="5" t="s">
        <v>2031</v>
      </c>
      <c r="B2" t="s">
        <v>2114</v>
      </c>
    </row>
    <row r="4" spans="1:6" x14ac:dyDescent="0.2">
      <c r="A4" s="5" t="s">
        <v>2044</v>
      </c>
      <c r="B4" s="5" t="s">
        <v>2045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2046</v>
      </c>
      <c r="B6" s="27">
        <v>1</v>
      </c>
      <c r="C6" s="27">
        <v>10</v>
      </c>
      <c r="D6" s="27">
        <v>2</v>
      </c>
      <c r="E6" s="27">
        <v>21</v>
      </c>
      <c r="F6" s="27">
        <v>34</v>
      </c>
    </row>
    <row r="7" spans="1:6" x14ac:dyDescent="0.2">
      <c r="A7" s="6" t="s">
        <v>2047</v>
      </c>
      <c r="B7" s="27"/>
      <c r="C7" s="27"/>
      <c r="D7" s="27"/>
      <c r="E7" s="27">
        <v>4</v>
      </c>
      <c r="F7" s="27">
        <v>4</v>
      </c>
    </row>
    <row r="8" spans="1:6" x14ac:dyDescent="0.2">
      <c r="A8" s="6" t="s">
        <v>2048</v>
      </c>
      <c r="B8" s="27">
        <v>4</v>
      </c>
      <c r="C8" s="27">
        <v>21</v>
      </c>
      <c r="D8" s="27">
        <v>1</v>
      </c>
      <c r="E8" s="27">
        <v>34</v>
      </c>
      <c r="F8" s="27">
        <v>60</v>
      </c>
    </row>
    <row r="9" spans="1:6" x14ac:dyDescent="0.2">
      <c r="A9" s="6" t="s">
        <v>2049</v>
      </c>
      <c r="B9" s="27">
        <v>2</v>
      </c>
      <c r="C9" s="27">
        <v>12</v>
      </c>
      <c r="D9" s="27">
        <v>1</v>
      </c>
      <c r="E9" s="27">
        <v>22</v>
      </c>
      <c r="F9" s="27">
        <v>37</v>
      </c>
    </row>
    <row r="10" spans="1:6" x14ac:dyDescent="0.2">
      <c r="A10" s="6" t="s">
        <v>2050</v>
      </c>
      <c r="B10" s="27"/>
      <c r="C10" s="27">
        <v>8</v>
      </c>
      <c r="D10" s="27"/>
      <c r="E10" s="27">
        <v>10</v>
      </c>
      <c r="F10" s="27">
        <v>18</v>
      </c>
    </row>
    <row r="11" spans="1:6" x14ac:dyDescent="0.2">
      <c r="A11" s="6" t="s">
        <v>2051</v>
      </c>
      <c r="B11" s="27">
        <v>1</v>
      </c>
      <c r="C11" s="27">
        <v>7</v>
      </c>
      <c r="D11" s="27"/>
      <c r="E11" s="27">
        <v>9</v>
      </c>
      <c r="F11" s="27">
        <v>17</v>
      </c>
    </row>
    <row r="12" spans="1:6" x14ac:dyDescent="0.2">
      <c r="A12" s="6" t="s">
        <v>2052</v>
      </c>
      <c r="B12" s="27">
        <v>4</v>
      </c>
      <c r="C12" s="27">
        <v>20</v>
      </c>
      <c r="D12" s="27"/>
      <c r="E12" s="27">
        <v>22</v>
      </c>
      <c r="F12" s="27">
        <v>46</v>
      </c>
    </row>
    <row r="13" spans="1:6" x14ac:dyDescent="0.2">
      <c r="A13" s="6" t="s">
        <v>2053</v>
      </c>
      <c r="B13" s="27">
        <v>3</v>
      </c>
      <c r="C13" s="27">
        <v>19</v>
      </c>
      <c r="D13" s="27"/>
      <c r="E13" s="27">
        <v>23</v>
      </c>
      <c r="F13" s="27">
        <v>45</v>
      </c>
    </row>
    <row r="14" spans="1:6" x14ac:dyDescent="0.2">
      <c r="A14" s="6" t="s">
        <v>2054</v>
      </c>
      <c r="B14" s="27">
        <v>1</v>
      </c>
      <c r="C14" s="27">
        <v>6</v>
      </c>
      <c r="D14" s="27"/>
      <c r="E14" s="27">
        <v>10</v>
      </c>
      <c r="F14" s="27">
        <v>17</v>
      </c>
    </row>
    <row r="15" spans="1:6" x14ac:dyDescent="0.2">
      <c r="A15" s="6" t="s">
        <v>2055</v>
      </c>
      <c r="B15" s="27"/>
      <c r="C15" s="27">
        <v>3</v>
      </c>
      <c r="D15" s="27"/>
      <c r="E15" s="27">
        <v>4</v>
      </c>
      <c r="F15" s="27">
        <v>7</v>
      </c>
    </row>
    <row r="16" spans="1:6" x14ac:dyDescent="0.2">
      <c r="A16" s="6" t="s">
        <v>2056</v>
      </c>
      <c r="B16" s="27"/>
      <c r="C16" s="27">
        <v>8</v>
      </c>
      <c r="D16" s="27">
        <v>1</v>
      </c>
      <c r="E16" s="27">
        <v>4</v>
      </c>
      <c r="F16" s="27">
        <v>13</v>
      </c>
    </row>
    <row r="17" spans="1:6" x14ac:dyDescent="0.2">
      <c r="A17" s="6" t="s">
        <v>2057</v>
      </c>
      <c r="B17" s="27">
        <v>1</v>
      </c>
      <c r="C17" s="27">
        <v>6</v>
      </c>
      <c r="D17" s="27">
        <v>1</v>
      </c>
      <c r="E17" s="27">
        <v>13</v>
      </c>
      <c r="F17" s="27">
        <v>21</v>
      </c>
    </row>
    <row r="18" spans="1:6" x14ac:dyDescent="0.2">
      <c r="A18" s="6" t="s">
        <v>2058</v>
      </c>
      <c r="B18" s="27">
        <v>4</v>
      </c>
      <c r="C18" s="27">
        <v>11</v>
      </c>
      <c r="D18" s="27">
        <v>1</v>
      </c>
      <c r="E18" s="27">
        <v>26</v>
      </c>
      <c r="F18" s="27">
        <v>42</v>
      </c>
    </row>
    <row r="19" spans="1:6" x14ac:dyDescent="0.2">
      <c r="A19" s="6" t="s">
        <v>2059</v>
      </c>
      <c r="B19" s="27">
        <v>23</v>
      </c>
      <c r="C19" s="27">
        <v>132</v>
      </c>
      <c r="D19" s="27">
        <v>2</v>
      </c>
      <c r="E19" s="27">
        <v>187</v>
      </c>
      <c r="F19" s="27">
        <v>344</v>
      </c>
    </row>
    <row r="20" spans="1:6" x14ac:dyDescent="0.2">
      <c r="A20" s="6" t="s">
        <v>2060</v>
      </c>
      <c r="B20" s="27"/>
      <c r="C20" s="27">
        <v>4</v>
      </c>
      <c r="D20" s="27"/>
      <c r="E20" s="27">
        <v>4</v>
      </c>
      <c r="F20" s="27">
        <v>8</v>
      </c>
    </row>
    <row r="21" spans="1:6" x14ac:dyDescent="0.2">
      <c r="A21" s="6" t="s">
        <v>2061</v>
      </c>
      <c r="B21" s="27">
        <v>6</v>
      </c>
      <c r="C21" s="27">
        <v>30</v>
      </c>
      <c r="D21" s="27"/>
      <c r="E21" s="27">
        <v>49</v>
      </c>
      <c r="F21" s="27">
        <v>85</v>
      </c>
    </row>
    <row r="22" spans="1:6" x14ac:dyDescent="0.2">
      <c r="A22" s="6" t="s">
        <v>2062</v>
      </c>
      <c r="B22" s="27"/>
      <c r="C22" s="27">
        <v>9</v>
      </c>
      <c r="D22" s="27"/>
      <c r="E22" s="27">
        <v>5</v>
      </c>
      <c r="F22" s="27">
        <v>14</v>
      </c>
    </row>
    <row r="23" spans="1:6" x14ac:dyDescent="0.2">
      <c r="A23" s="6" t="s">
        <v>2063</v>
      </c>
      <c r="B23" s="27">
        <v>1</v>
      </c>
      <c r="C23" s="27">
        <v>5</v>
      </c>
      <c r="D23" s="27">
        <v>1</v>
      </c>
      <c r="E23" s="27">
        <v>9</v>
      </c>
      <c r="F23" s="27">
        <v>16</v>
      </c>
    </row>
    <row r="24" spans="1:6" x14ac:dyDescent="0.2">
      <c r="A24" s="6" t="s">
        <v>2064</v>
      </c>
      <c r="B24" s="27">
        <v>3</v>
      </c>
      <c r="C24" s="27">
        <v>3</v>
      </c>
      <c r="D24" s="27"/>
      <c r="E24" s="27">
        <v>11</v>
      </c>
      <c r="F24" s="27">
        <v>17</v>
      </c>
    </row>
    <row r="25" spans="1:6" x14ac:dyDescent="0.2">
      <c r="A25" s="6" t="s">
        <v>2065</v>
      </c>
      <c r="B25" s="27"/>
      <c r="C25" s="27">
        <v>7</v>
      </c>
      <c r="D25" s="27"/>
      <c r="E25" s="27">
        <v>14</v>
      </c>
      <c r="F25" s="27">
        <v>21</v>
      </c>
    </row>
    <row r="26" spans="1:6" x14ac:dyDescent="0.2">
      <c r="A26" s="6" t="s">
        <v>2066</v>
      </c>
      <c r="B26" s="27">
        <v>1</v>
      </c>
      <c r="C26" s="27">
        <v>15</v>
      </c>
      <c r="D26" s="27">
        <v>2</v>
      </c>
      <c r="E26" s="27">
        <v>17</v>
      </c>
      <c r="F26" s="27">
        <v>35</v>
      </c>
    </row>
    <row r="27" spans="1:6" x14ac:dyDescent="0.2">
      <c r="A27" s="6" t="s">
        <v>2067</v>
      </c>
      <c r="B27" s="27"/>
      <c r="C27" s="27">
        <v>16</v>
      </c>
      <c r="D27" s="27">
        <v>1</v>
      </c>
      <c r="E27" s="27">
        <v>28</v>
      </c>
      <c r="F27" s="27">
        <v>45</v>
      </c>
    </row>
    <row r="28" spans="1:6" x14ac:dyDescent="0.2">
      <c r="A28" s="6" t="s">
        <v>2068</v>
      </c>
      <c r="B28" s="27">
        <v>2</v>
      </c>
      <c r="C28" s="27">
        <v>12</v>
      </c>
      <c r="D28" s="27">
        <v>1</v>
      </c>
      <c r="E28" s="27">
        <v>36</v>
      </c>
      <c r="F28" s="27">
        <v>51</v>
      </c>
    </row>
    <row r="29" spans="1:6" x14ac:dyDescent="0.2">
      <c r="A29" s="6" t="s">
        <v>2069</v>
      </c>
      <c r="B29" s="27"/>
      <c r="C29" s="27"/>
      <c r="D29" s="27"/>
      <c r="E29" s="27">
        <v>3</v>
      </c>
      <c r="F29" s="27">
        <v>3</v>
      </c>
    </row>
    <row r="30" spans="1:6" x14ac:dyDescent="0.2">
      <c r="A30" s="6" t="s">
        <v>2034</v>
      </c>
      <c r="B30" s="27">
        <v>57</v>
      </c>
      <c r="C30" s="27">
        <v>364</v>
      </c>
      <c r="D30" s="27">
        <v>14</v>
      </c>
      <c r="E30" s="27">
        <v>565</v>
      </c>
      <c r="F30" s="27">
        <v>1000</v>
      </c>
    </row>
    <row r="35" spans="3:3" x14ac:dyDescent="0.2">
      <c r="C35" s="2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2F13-DA65-E545-9AD2-2F67222CC28B}">
  <sheetPr codeName="Sheet4"/>
  <dimension ref="A1:E18"/>
  <sheetViews>
    <sheetView workbookViewId="0">
      <selection activeCell="A31" sqref="A31:B4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2085</v>
      </c>
      <c r="B1" t="s">
        <v>2070</v>
      </c>
    </row>
    <row r="2" spans="1:5" x14ac:dyDescent="0.2">
      <c r="A2" s="5" t="s">
        <v>2031</v>
      </c>
      <c r="B2" t="s">
        <v>2070</v>
      </c>
    </row>
    <row r="4" spans="1:5" x14ac:dyDescent="0.2">
      <c r="A4" s="5" t="s">
        <v>2044</v>
      </c>
      <c r="B4" s="5" t="s">
        <v>2045</v>
      </c>
    </row>
    <row r="5" spans="1:5" x14ac:dyDescent="0.2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8" t="s">
        <v>2073</v>
      </c>
      <c r="B6" s="27">
        <v>6</v>
      </c>
      <c r="C6" s="27">
        <v>36</v>
      </c>
      <c r="D6" s="27">
        <v>49</v>
      </c>
      <c r="E6" s="27">
        <v>91</v>
      </c>
    </row>
    <row r="7" spans="1:5" x14ac:dyDescent="0.2">
      <c r="A7" s="8" t="s">
        <v>2074</v>
      </c>
      <c r="B7" s="27">
        <v>7</v>
      </c>
      <c r="C7" s="27">
        <v>28</v>
      </c>
      <c r="D7" s="27">
        <v>44</v>
      </c>
      <c r="E7" s="27">
        <v>79</v>
      </c>
    </row>
    <row r="8" spans="1:5" x14ac:dyDescent="0.2">
      <c r="A8" s="8" t="s">
        <v>2075</v>
      </c>
      <c r="B8" s="27">
        <v>4</v>
      </c>
      <c r="C8" s="27">
        <v>33</v>
      </c>
      <c r="D8" s="27">
        <v>49</v>
      </c>
      <c r="E8" s="27">
        <v>86</v>
      </c>
    </row>
    <row r="9" spans="1:5" x14ac:dyDescent="0.2">
      <c r="A9" s="8" t="s">
        <v>2076</v>
      </c>
      <c r="B9" s="27">
        <v>1</v>
      </c>
      <c r="C9" s="27">
        <v>30</v>
      </c>
      <c r="D9" s="27">
        <v>46</v>
      </c>
      <c r="E9" s="27">
        <v>77</v>
      </c>
    </row>
    <row r="10" spans="1:5" x14ac:dyDescent="0.2">
      <c r="A10" s="8" t="s">
        <v>2077</v>
      </c>
      <c r="B10" s="27">
        <v>3</v>
      </c>
      <c r="C10" s="27">
        <v>35</v>
      </c>
      <c r="D10" s="27">
        <v>46</v>
      </c>
      <c r="E10" s="27">
        <v>84</v>
      </c>
    </row>
    <row r="11" spans="1:5" x14ac:dyDescent="0.2">
      <c r="A11" s="8" t="s">
        <v>2078</v>
      </c>
      <c r="B11" s="27">
        <v>3</v>
      </c>
      <c r="C11" s="27">
        <v>28</v>
      </c>
      <c r="D11" s="27">
        <v>55</v>
      </c>
      <c r="E11" s="27">
        <v>86</v>
      </c>
    </row>
    <row r="12" spans="1:5" x14ac:dyDescent="0.2">
      <c r="A12" s="8" t="s">
        <v>2079</v>
      </c>
      <c r="B12" s="27">
        <v>4</v>
      </c>
      <c r="C12" s="27">
        <v>31</v>
      </c>
      <c r="D12" s="27">
        <v>58</v>
      </c>
      <c r="E12" s="27">
        <v>93</v>
      </c>
    </row>
    <row r="13" spans="1:5" x14ac:dyDescent="0.2">
      <c r="A13" s="8" t="s">
        <v>2080</v>
      </c>
      <c r="B13" s="27">
        <v>8</v>
      </c>
      <c r="C13" s="27">
        <v>35</v>
      </c>
      <c r="D13" s="27">
        <v>41</v>
      </c>
      <c r="E13" s="27">
        <v>84</v>
      </c>
    </row>
    <row r="14" spans="1:5" x14ac:dyDescent="0.2">
      <c r="A14" s="8" t="s">
        <v>2081</v>
      </c>
      <c r="B14" s="27">
        <v>5</v>
      </c>
      <c r="C14" s="27">
        <v>23</v>
      </c>
      <c r="D14" s="27">
        <v>45</v>
      </c>
      <c r="E14" s="27">
        <v>73</v>
      </c>
    </row>
    <row r="15" spans="1:5" x14ac:dyDescent="0.2">
      <c r="A15" s="8" t="s">
        <v>2082</v>
      </c>
      <c r="B15" s="27">
        <v>6</v>
      </c>
      <c r="C15" s="27">
        <v>26</v>
      </c>
      <c r="D15" s="27">
        <v>45</v>
      </c>
      <c r="E15" s="27">
        <v>77</v>
      </c>
    </row>
    <row r="16" spans="1:5" x14ac:dyDescent="0.2">
      <c r="A16" s="8" t="s">
        <v>2083</v>
      </c>
      <c r="B16" s="27">
        <v>3</v>
      </c>
      <c r="C16" s="27">
        <v>27</v>
      </c>
      <c r="D16" s="27">
        <v>45</v>
      </c>
      <c r="E16" s="27">
        <v>75</v>
      </c>
    </row>
    <row r="17" spans="1:5" x14ac:dyDescent="0.2">
      <c r="A17" s="8" t="s">
        <v>2084</v>
      </c>
      <c r="B17" s="27">
        <v>7</v>
      </c>
      <c r="C17" s="27">
        <v>32</v>
      </c>
      <c r="D17" s="27">
        <v>42</v>
      </c>
      <c r="E17" s="27">
        <v>81</v>
      </c>
    </row>
    <row r="18" spans="1:5" x14ac:dyDescent="0.2">
      <c r="A18" s="8" t="s">
        <v>2034</v>
      </c>
      <c r="B18" s="27">
        <v>57</v>
      </c>
      <c r="C18" s="27">
        <v>364</v>
      </c>
      <c r="D18" s="27">
        <v>565</v>
      </c>
      <c r="E18" s="2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75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14" bestFit="1" customWidth="1"/>
    <col min="7" max="7" width="9.5" bestFit="1" customWidth="1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3" width="11.1640625" bestFit="1" customWidth="1"/>
    <col min="14" max="14" width="22.1640625" bestFit="1" customWidth="1"/>
    <col min="15" max="15" width="20.83203125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($E2/$D2)*100</f>
        <v>0</v>
      </c>
      <c r="G2" t="s">
        <v>14</v>
      </c>
      <c r="H2">
        <v>0</v>
      </c>
      <c r="I2">
        <f t="shared" ref="I2:I65" si="1">ROUND(IF(H2 = 0, 0, E2/H2), 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 t="shared" ref="N2:N65" si="2">(((L2/60)/60)/24)+DATE(1970,1,1)</f>
        <v>42336.25</v>
      </c>
      <c r="O2" s="7">
        <f t="shared" ref="O2:O65" si="3">(((M2/60)/60)/24)+ 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 FIND("/", R2) -1)</f>
        <v>food</v>
      </c>
      <c r="T2" t="str">
        <f t="shared" ref="T2:T65" si="5">RIGHT(R2, LEN(R2)-FIND("/",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>
        <f t="shared" si="1"/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si="2"/>
        <v>41870.208333333336</v>
      </c>
      <c r="O3" s="7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($E66/$D66)*100</f>
        <v>97.642857142857139</v>
      </c>
      <c r="G66" t="s">
        <v>14</v>
      </c>
      <c r="H66">
        <v>38</v>
      </c>
      <c r="I66">
        <f t="shared" ref="I66:I129" si="7">ROUND(IF(H66 = 0, 0, E66/H66), 2)</f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ref="N66:N129" si="8">(((L66/60)/60)/24)+DATE(1970,1,1)</f>
        <v>43283.208333333328</v>
      </c>
      <c r="O66" s="7">
        <f t="shared" ref="O66:O129" si="9">(((M66/60)/60)/24)+ 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 FIND("/", R66) -1)</f>
        <v>technology</v>
      </c>
      <c r="T66" t="str">
        <f t="shared" ref="T66:T129" si="11">RIGHT(R66, LEN(R66)-FIND("/", R66))</f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>
        <f t="shared" si="7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si="8"/>
        <v>40570.25</v>
      </c>
      <c r="O67" s="7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($E130/$D130)*100</f>
        <v>60.334277620396605</v>
      </c>
      <c r="G130" t="s">
        <v>74</v>
      </c>
      <c r="H130">
        <v>532</v>
      </c>
      <c r="I130">
        <f t="shared" ref="I130:I193" si="13">ROUND(IF(H130 = 0, 0, E130/H130), 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ref="N130:N193" si="14">(((L130/60)/60)/24)+DATE(1970,1,1)</f>
        <v>40417.208333333336</v>
      </c>
      <c r="O130" s="7">
        <f t="shared" ref="O130:O193" si="15">(((M130/60)/60)/24)+ 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 FIND("/", R130) -1)</f>
        <v>music</v>
      </c>
      <c r="T130" t="str">
        <f t="shared" ref="T130:T193" si="17">RIGHT(R130, LEN(R130)-FIND("/", R130))</f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>
        <f t="shared" si="13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si="14"/>
        <v>42038.25</v>
      </c>
      <c r="O131" s="7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($E194/$D194)*100</f>
        <v>19.992957746478872</v>
      </c>
      <c r="G194" t="s">
        <v>14</v>
      </c>
      <c r="H194">
        <v>243</v>
      </c>
      <c r="I194">
        <f t="shared" ref="I194:I257" si="19">ROUND(IF(H194 = 0, 0, E194/H194), 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ref="N194:N257" si="20">(((L194/60)/60)/24)+DATE(1970,1,1)</f>
        <v>41817.208333333336</v>
      </c>
      <c r="O194" s="7">
        <f t="shared" ref="O194:O257" si="21">(((M194/60)/60)/24)+ 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 FIND("/", R194) -1)</f>
        <v>music</v>
      </c>
      <c r="T194" t="str">
        <f t="shared" ref="T194:T257" si="23">RIGHT(R194, LEN(R194)-FIND("/", R194))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>
        <f t="shared" si="19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si="20"/>
        <v>43198.208333333328</v>
      </c>
      <c r="O195" s="7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($E258/$D258)*100</f>
        <v>23.390243902439025</v>
      </c>
      <c r="G258" t="s">
        <v>14</v>
      </c>
      <c r="H258">
        <v>15</v>
      </c>
      <c r="I258">
        <f t="shared" ref="I258:I321" si="25">ROUND(IF(H258 = 0, 0, E258/H258), 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ref="N258:N321" si="26">(((L258/60)/60)/24)+DATE(1970,1,1)</f>
        <v>42393.25</v>
      </c>
      <c r="O258" s="7">
        <f t="shared" ref="O258:O321" si="27">(((M258/60)/60)/24)+ 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 FIND("/", R258) -1)</f>
        <v>music</v>
      </c>
      <c r="T258" t="str">
        <f t="shared" ref="T258:T321" si="29">RIGHT(R258, LEN(R258)-FIND("/", R258))</f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>
        <f t="shared" si="25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si="26"/>
        <v>41338.25</v>
      </c>
      <c r="O259" s="7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($E322/$D322)*100</f>
        <v>9.5876777251184837</v>
      </c>
      <c r="G322" t="s">
        <v>14</v>
      </c>
      <c r="H322">
        <v>80</v>
      </c>
      <c r="I322">
        <f t="shared" ref="I322:I385" si="31">ROUND(IF(H322 = 0, 0, E322/H322), 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ref="N322:N385" si="32">(((L322/60)/60)/24)+DATE(1970,1,1)</f>
        <v>40673.208333333336</v>
      </c>
      <c r="O322" s="7">
        <f t="shared" ref="O322:O385" si="33">(((M322/60)/60)/24)+ 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 FIND("/", R322) -1)</f>
        <v>publishing</v>
      </c>
      <c r="T322" t="str">
        <f t="shared" ref="T322:T385" si="35">RIGHT(R322, LEN(R322)-FIND("/", R322))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>
        <f t="shared" si="31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si="32"/>
        <v>40634.208333333336</v>
      </c>
      <c r="O323" s="7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($E386/$D386)*100</f>
        <v>172.00961538461539</v>
      </c>
      <c r="G386" t="s">
        <v>20</v>
      </c>
      <c r="H386">
        <v>4799</v>
      </c>
      <c r="I386">
        <f t="shared" ref="I386:I449" si="37">ROUND(IF(H386 = 0, 0, E386/H386), 2)</f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ref="N386:N449" si="38">(((L386/60)/60)/24)+DATE(1970,1,1)</f>
        <v>42776.25</v>
      </c>
      <c r="O386" s="7">
        <f t="shared" ref="O386:O449" si="39">(((M386/60)/60)/24)+ 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 FIND("/", R386) -1)</f>
        <v>film &amp; video</v>
      </c>
      <c r="T386" t="str">
        <f t="shared" ref="T386:T449" si="41">RIGHT(R386, LEN(R386)-FIND("/", R386))</f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>
        <f t="shared" si="37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si="38"/>
        <v>43553.208333333328</v>
      </c>
      <c r="O387" s="7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($E450/$D450)*100</f>
        <v>50.482758620689658</v>
      </c>
      <c r="G450" t="s">
        <v>14</v>
      </c>
      <c r="H450">
        <v>605</v>
      </c>
      <c r="I450">
        <f t="shared" ref="I450:I513" si="43">ROUND(IF(H450 = 0, 0, E450/H450), 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ref="N450:N513" si="44">(((L450/60)/60)/24)+DATE(1970,1,1)</f>
        <v>41378.208333333336</v>
      </c>
      <c r="O450" s="7">
        <f t="shared" ref="O450:O513" si="45">(((M450/60)/60)/24)+ 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 FIND("/", R450) -1)</f>
        <v>games</v>
      </c>
      <c r="T450" t="str">
        <f t="shared" ref="T450:T513" si="47">RIGHT(R450, LEN(R450)-FIND("/", R450))</f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>
        <f t="shared" si="43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si="44"/>
        <v>43530.25</v>
      </c>
      <c r="O451" s="7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($E514/$D514)*100</f>
        <v>139.31868131868131</v>
      </c>
      <c r="G514" t="s">
        <v>20</v>
      </c>
      <c r="H514">
        <v>239</v>
      </c>
      <c r="I514">
        <f t="shared" ref="I514:I577" si="49">ROUND(IF(H514 = 0, 0, E514/H514), 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ref="N514:N577" si="50">(((L514/60)/60)/24)+DATE(1970,1,1)</f>
        <v>41825.208333333336</v>
      </c>
      <c r="O514" s="7">
        <f t="shared" ref="O514:O577" si="51">(((M514/60)/60)/24)+ 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 FIND("/", R514) -1)</f>
        <v>games</v>
      </c>
      <c r="T514" t="str">
        <f t="shared" ref="T514:T577" si="53">RIGHT(R514, LEN(R514)-FIND("/", R514))</f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>
        <f t="shared" si="49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si="50"/>
        <v>40430.208333333336</v>
      </c>
      <c r="O515" s="7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($E578/$D578)*100</f>
        <v>64.927835051546396</v>
      </c>
      <c r="G578" t="s">
        <v>14</v>
      </c>
      <c r="H578">
        <v>64</v>
      </c>
      <c r="I578">
        <f t="shared" ref="I578:I641" si="55">ROUND(IF(H578 = 0, 0, E578/H578), 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ref="N578:N641" si="56">(((L578/60)/60)/24)+DATE(1970,1,1)</f>
        <v>43040.208333333328</v>
      </c>
      <c r="O578" s="7">
        <f t="shared" ref="O578:O641" si="57">(((M578/60)/60)/24)+ 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 FIND("/", R578) -1)</f>
        <v>theater</v>
      </c>
      <c r="T578" t="str">
        <f t="shared" ref="T578:T641" si="59">RIGHT(R578, LEN(R578)-FIND("/", R578))</f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>
        <f t="shared" si="55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si="56"/>
        <v>40613.25</v>
      </c>
      <c r="O579" s="7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($E642/$D642)*100</f>
        <v>16.501669449081803</v>
      </c>
      <c r="G642" t="s">
        <v>14</v>
      </c>
      <c r="H642">
        <v>257</v>
      </c>
      <c r="I642">
        <f t="shared" ref="I642:I705" si="61">ROUND(IF(H642 = 0, 0, E642/H642), 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ref="N642:N705" si="62">(((L642/60)/60)/24)+DATE(1970,1,1)</f>
        <v>42387.25</v>
      </c>
      <c r="O642" s="7">
        <f t="shared" ref="O642:O705" si="63">(((M642/60)/60)/24)+ 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 FIND("/", R642) -1)</f>
        <v>theater</v>
      </c>
      <c r="T642" t="str">
        <f t="shared" ref="T642:T705" si="65">RIGHT(R642, LEN(R642)-FIND("/", R642))</f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>
        <f t="shared" si="61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si="62"/>
        <v>42786.25</v>
      </c>
      <c r="O643" s="7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($E706/$D706)*100</f>
        <v>122.78160919540231</v>
      </c>
      <c r="G706" t="s">
        <v>20</v>
      </c>
      <c r="H706">
        <v>116</v>
      </c>
      <c r="I706">
        <f t="shared" ref="I706:I769" si="67">ROUND(IF(H706 = 0, 0, E706/H706), 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ref="N706:N769" si="68">(((L706/60)/60)/24)+DATE(1970,1,1)</f>
        <v>42555.208333333328</v>
      </c>
      <c r="O706" s="7">
        <f t="shared" ref="O706:O769" si="69">(((M706/60)/60)/24)+ 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 FIND("/", R706) -1)</f>
        <v>film &amp; video</v>
      </c>
      <c r="T706" t="str">
        <f t="shared" ref="T706:T769" si="71">RIGHT(R706, LEN(R706)-FIND("/", R706))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>
        <f t="shared" si="67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si="68"/>
        <v>41619.25</v>
      </c>
      <c r="O707" s="7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($E770/$D770)*100</f>
        <v>231</v>
      </c>
      <c r="G770" t="s">
        <v>20</v>
      </c>
      <c r="H770">
        <v>150</v>
      </c>
      <c r="I770">
        <f t="shared" ref="I770:I833" si="73">ROUND(IF(H770 = 0, 0, E770/H770), 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ref="N770:N833" si="74">(((L770/60)/60)/24)+DATE(1970,1,1)</f>
        <v>41619.25</v>
      </c>
      <c r="O770" s="7">
        <f t="shared" ref="O770:O833" si="75">(((M770/60)/60)/24)+ 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 FIND("/", R770) -1)</f>
        <v>theater</v>
      </c>
      <c r="T770" t="str">
        <f t="shared" ref="T770:T833" si="77">RIGHT(R770, LEN(R770)-FIND("/", R770))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>
        <f t="shared" si="73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si="74"/>
        <v>41501.208333333336</v>
      </c>
      <c r="O771" s="7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($E834/$D834)*100</f>
        <v>315.17592592592592</v>
      </c>
      <c r="G834" t="s">
        <v>20</v>
      </c>
      <c r="H834">
        <v>1297</v>
      </c>
      <c r="I834">
        <f t="shared" ref="I834:I897" si="79">ROUND(IF(H834 = 0, 0, E834/H834), 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ref="N834:N897" si="80">(((L834/60)/60)/24)+DATE(1970,1,1)</f>
        <v>42299.208333333328</v>
      </c>
      <c r="O834" s="7">
        <f t="shared" ref="O834:O897" si="81">(((M834/60)/60)/24)+ 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 FIND("/", R834) -1)</f>
        <v>publishing</v>
      </c>
      <c r="T834" t="str">
        <f t="shared" ref="T834:T897" si="83">RIGHT(R834, LEN(R834)-FIND("/", R834))</f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>
        <f t="shared" si="7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si="80"/>
        <v>40588.25</v>
      </c>
      <c r="O835" s="7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($E898/$D898)*100</f>
        <v>774.43434343434342</v>
      </c>
      <c r="G898" t="s">
        <v>20</v>
      </c>
      <c r="H898">
        <v>1460</v>
      </c>
      <c r="I898">
        <f t="shared" ref="I898:I961" si="85">ROUND(IF(H898 = 0, 0, E898/H898), 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ref="N898:N961" si="86">(((L898/60)/60)/24)+DATE(1970,1,1)</f>
        <v>40738.208333333336</v>
      </c>
      <c r="O898" s="7">
        <f t="shared" ref="O898:O961" si="87">(((M898/60)/60)/24)+ 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 FIND("/", R898) -1)</f>
        <v>food</v>
      </c>
      <c r="T898" t="str">
        <f t="shared" ref="T898:T961" si="89">RIGHT(R898, LEN(R898)-FIND("/", R898))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>
        <f t="shared" si="85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86"/>
        <v>43583.208333333328</v>
      </c>
      <c r="O899" s="7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90">($E962/$D962)*100</f>
        <v>85.054545454545448</v>
      </c>
      <c r="G962" t="s">
        <v>14</v>
      </c>
      <c r="H962">
        <v>55</v>
      </c>
      <c r="I962">
        <f t="shared" ref="I962:I1025" si="91">ROUND(IF(H962 = 0, 0, E962/H962), 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ref="N962:N1001" si="92">(((L962/60)/60)/24)+DATE(1970,1,1)</f>
        <v>42408.25</v>
      </c>
      <c r="O962" s="7">
        <f t="shared" ref="O962:O1001" si="93">(((M962/60)/60)/24)+ 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4">LEFT(R962, FIND("/", R962) -1)</f>
        <v>technology</v>
      </c>
      <c r="T962" t="str">
        <f t="shared" ref="T962:T1001" si="95">RIGHT(R962, LEN(R962)-FIND("/", R962))</f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>
        <f t="shared" si="91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92"/>
        <v>40591.25</v>
      </c>
      <c r="O963" s="7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14" priority="3" operator="containsText" text="live">
      <formula>NOT(ISERROR(SEARCH("live",G2)))</formula>
    </cfRule>
    <cfRule type="top10" dxfId="13" priority="4" rank="10"/>
    <cfRule type="containsText" dxfId="12" priority="5" operator="containsText" text="canceled">
      <formula>NOT(ISERROR(SEARCH("canceled",G2)))</formula>
    </cfRule>
    <cfRule type="containsText" dxfId="11" priority="6" operator="containsText" text="successful">
      <formula>NOT(ISERROR(SEARCH("successful",G2)))</formula>
    </cfRule>
    <cfRule type="containsText" dxfId="10" priority="7" operator="containsText" text="failed">
      <formula>NOT(ISERROR(SEARCH("failed",G2)))</formula>
    </cfRule>
  </conditionalFormatting>
  <conditionalFormatting sqref="F1:F1001">
    <cfRule type="colorScale" priority="2">
      <colorScale>
        <cfvo type="num" val="0"/>
        <cfvo type="num" val="100"/>
        <cfvo type="num" val="200"/>
        <color rgb="FFBD0000"/>
        <color rgb="FF92D050"/>
        <color rgb="FF4ABAF0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21A45"/>
        <color rgb="FF92D050"/>
        <color theme="4" tint="-0.249977111117893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4911-6933-174E-8678-B39D270FF39C}">
  <sheetPr codeName="Sheet5"/>
  <dimension ref="A1:H13"/>
  <sheetViews>
    <sheetView workbookViewId="0">
      <selection activeCell="J19" sqref="J19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1640625" bestFit="1" customWidth="1"/>
    <col min="4" max="4" width="15.6640625" bestFit="1" customWidth="1"/>
    <col min="5" max="5" width="12.5" bestFit="1" customWidth="1"/>
    <col min="6" max="6" width="19.83203125" bestFit="1" customWidth="1"/>
    <col min="7" max="7" width="16" bestFit="1" customWidth="1"/>
    <col min="8" max="8" width="18.6640625" bestFit="1" customWidth="1"/>
  </cols>
  <sheetData>
    <row r="1" spans="1:8" x14ac:dyDescent="0.2">
      <c r="A1" s="10" t="s">
        <v>2</v>
      </c>
      <c r="B1" s="10" t="s">
        <v>2086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">
      <c r="A2" t="s">
        <v>2093</v>
      </c>
      <c r="B2">
        <f>COUNTIFS(Crowdfunding!$D:$D, "&lt;1000", Crowdfunding!$G:$G, "=successful")</f>
        <v>30</v>
      </c>
      <c r="C2">
        <f>COUNTIFS(Crowdfunding!$D:$D, "&lt;1000", Crowdfunding!$G:$G, "=failed")</f>
        <v>20</v>
      </c>
      <c r="D2">
        <f>COUNTIFS(Crowdfunding!$D:$D, "&lt;1000", Crowdfunding!$G:$G, "=canceled")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2094</v>
      </c>
      <c r="B3">
        <f>COUNTIFS(Crowdfunding!$D:$D, "&gt;=1000", Crowdfunding!$D:$D, "&lt;4999", Crowdfunding!$G:$G, "=successful")</f>
        <v>191</v>
      </c>
      <c r="C3">
        <f>COUNTIFS(Crowdfunding!$D:$D, "&gt;=1000", Crowdfunding!$D:$D, "&lt;4999", Crowdfunding!$G:$G, "=failed")</f>
        <v>38</v>
      </c>
      <c r="D3">
        <f>COUNTIFS(Crowdfunding!$D:$D, "&gt;=1000", Crowdfunding!$D:$D, "&lt;4999", Crowdfunding!$G:$G, "=canceled")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2095</v>
      </c>
      <c r="B4">
        <f>COUNTIFS(Crowdfunding!$D:$D, "&gt;=5000", Crowdfunding!$D:$D, "&lt;9999", Crowdfunding!$G:$G, "=successful")</f>
        <v>164</v>
      </c>
      <c r="C4">
        <f>COUNTIFS(Crowdfunding!$D:$D, "&gt;=5000", Crowdfunding!$D:$D, "&lt;9999", Crowdfunding!$G:$G, "=failed")</f>
        <v>126</v>
      </c>
      <c r="D4">
        <f>COUNTIFS(Crowdfunding!$D:$D, "&gt;=5000", Crowdfunding!$D:$D, "&lt;9999", Crowdfunding!$G:$G, "=canceled")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2096</v>
      </c>
      <c r="B5">
        <f>COUNTIFS(Crowdfunding!$D:$D, "&gt;=10000", Crowdfunding!$D:$D, "&lt;14999", Crowdfunding!$G:$G, "=successful")</f>
        <v>4</v>
      </c>
      <c r="C5">
        <f>COUNTIFS(Crowdfunding!$D:$D, "&gt;=10000", Crowdfunding!$D:$D, "&lt;14999", Crowdfunding!$G:$G, "=failed")</f>
        <v>5</v>
      </c>
      <c r="D5">
        <f>COUNTIFS(Crowdfunding!$D:$D, "&gt;=10000", Crowdfunding!$D:$D, "&lt;14999", Crowdfunding!$G:$G, "=canceled")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2097</v>
      </c>
      <c r="B6">
        <f>COUNTIFS(Crowdfunding!$D:$D, "&gt;=15000", Crowdfunding!$D:$D, "&lt;19999", Crowdfunding!$G:$G, "=successful")</f>
        <v>10</v>
      </c>
      <c r="C6">
        <f>COUNTIFS(Crowdfunding!$D:$D, "&gt;=15000", Crowdfunding!$D:$D, "&lt;19999", Crowdfunding!$G:$G, "=failed")</f>
        <v>0</v>
      </c>
      <c r="D6">
        <f>COUNTIFS(Crowdfunding!$D:$D, "&gt;=15000", Crowdfunding!$D:$D, "&lt;19999", Crowdfunding!$G:$G, "=canceled")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2098</v>
      </c>
      <c r="B7">
        <f>COUNTIFS(Crowdfunding!$D:$D, "&gt;=20000", Crowdfunding!$D:$D, "&lt;24999", Crowdfunding!$G:$G, "=successful")</f>
        <v>7</v>
      </c>
      <c r="C7">
        <f>COUNTIFS(Crowdfunding!$D:$D, "&gt;=20000", Crowdfunding!$D:$D, "&lt;24999", Crowdfunding!$G:$G, "=failed")</f>
        <v>0</v>
      </c>
      <c r="D7">
        <f>COUNTIFS(Crowdfunding!$D:$D, "&gt;=20000", Crowdfunding!$D:$D, "&lt;24999", Crowdfunding!$G:$G, "=canceled")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2099</v>
      </c>
      <c r="B8">
        <f>COUNTIFS(Crowdfunding!$D:$D, "&gt;=25000", Crowdfunding!$D:$D, "&lt;29999", Crowdfunding!$G:$G, "=successful")</f>
        <v>11</v>
      </c>
      <c r="C8">
        <f>COUNTIFS(Crowdfunding!$D:$D, "&gt;=25000", Crowdfunding!$D:$D, "&lt;29999", Crowdfunding!$G:$G, "=failed")</f>
        <v>3</v>
      </c>
      <c r="D8">
        <f>COUNTIFS(Crowdfunding!$D:$D, "&gt;=25000", Crowdfunding!$D:$D, "&lt;29999", Crowdfunding!$G:$G, "=canceled")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2100</v>
      </c>
      <c r="B9">
        <f>COUNTIFS(Crowdfunding!$D:$D, "&gt;=30000", Crowdfunding!$D:$D, "&lt;34999", Crowdfunding!$G:$G, "=successful")</f>
        <v>7</v>
      </c>
      <c r="C9">
        <f>COUNTIFS(Crowdfunding!$D:$D, "&gt;=30000", Crowdfunding!$D:$D, "&lt;34999", Crowdfunding!$G:$G, "=failed")</f>
        <v>0</v>
      </c>
      <c r="D9">
        <f>COUNTIFS(Crowdfunding!$D:$D, "&gt;=30000", Crowdfunding!$D:$D, "&lt;34999", Crowdfunding!$G:$G, "=canceled")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2101</v>
      </c>
      <c r="B10">
        <f>COUNTIFS(Crowdfunding!$D:$D, "&gt;=35000", Crowdfunding!$D:$D, "&lt;39999", Crowdfunding!$G:$G, "=successful")</f>
        <v>8</v>
      </c>
      <c r="C10">
        <f>COUNTIFS(Crowdfunding!$D:$D, "&gt;=35000", Crowdfunding!$D:$D, "&lt;39999", Crowdfunding!$G:$G, "=failed")</f>
        <v>3</v>
      </c>
      <c r="D10">
        <f>COUNTIFS(Crowdfunding!$D:$D, "&gt;=35000", Crowdfunding!$D:$D, "&lt;39999", Crowdfunding!$G:$G, "=canceled")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2102</v>
      </c>
      <c r="B11">
        <f>COUNTIFS(Crowdfunding!$D:$D, "&gt;=40000", Crowdfunding!$D:$D, "&lt;44999", Crowdfunding!$G:$G, "=successful")</f>
        <v>11</v>
      </c>
      <c r="C11">
        <f>COUNTIFS(Crowdfunding!$D:$D, "&gt;=40000", Crowdfunding!$D:$D, "&lt;44999", Crowdfunding!$G:$G, "=failed")</f>
        <v>3</v>
      </c>
      <c r="D11">
        <f>COUNTIFS(Crowdfunding!$D:$D, "&gt;=40000", Crowdfunding!$D:$D, "&lt;44999", Crowdfunding!$G:$G, "=canceled")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2103</v>
      </c>
      <c r="B12">
        <f>COUNTIFS(Crowdfunding!$D:$D, "&gt;=45000", Crowdfunding!$D:$D, "&lt;49999", Crowdfunding!$G:$G, "=successful")</f>
        <v>8</v>
      </c>
      <c r="C12">
        <f>COUNTIFS(Crowdfunding!$D:$D, "&gt;=45000", Crowdfunding!$D:$D, "&lt;49999", Crowdfunding!$G:$G, "=failed")</f>
        <v>3</v>
      </c>
      <c r="D12">
        <f>COUNTIFS(Crowdfunding!$D:$D, "&gt;=45000", Crowdfunding!$D:$D, "&lt;49999", Crowdfunding!$G:$G, "=canceled")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2104</v>
      </c>
      <c r="B13">
        <f>COUNTIFS(Crowdfunding!$D:$D, "&gt;=50000", Crowdfunding!$G:$G, "=successful")</f>
        <v>114</v>
      </c>
      <c r="C13">
        <f>COUNTIFS(Crowdfunding!$D:$D, "&gt;=50000", Crowdfunding!$G:$G, "=failed")</f>
        <v>163</v>
      </c>
      <c r="D13">
        <f>COUNTIFS(Crowdfunding!$D:$D, "&gt;=50000", Crowdfunding!$G:$G, "=canceled")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003-E264-6247-BCF1-921028A0436D}">
  <sheetPr codeName="Sheet7"/>
  <dimension ref="A1:H566"/>
  <sheetViews>
    <sheetView workbookViewId="0">
      <selection activeCell="H26" sqref="H26"/>
    </sheetView>
  </sheetViews>
  <sheetFormatPr baseColWidth="10" defaultRowHeight="16" x14ac:dyDescent="0.2"/>
  <cols>
    <col min="1" max="1" width="18.5" customWidth="1"/>
    <col min="2" max="4" width="17.33203125" customWidth="1"/>
    <col min="6" max="6" width="19" customWidth="1"/>
    <col min="7" max="7" width="19.33203125" bestFit="1" customWidth="1"/>
    <col min="8" max="8" width="21.6640625" bestFit="1" customWidth="1"/>
  </cols>
  <sheetData>
    <row r="1" spans="1:8" ht="17" thickBot="1" x14ac:dyDescent="0.25">
      <c r="A1" s="9" t="s">
        <v>4</v>
      </c>
      <c r="B1" s="9" t="s">
        <v>5</v>
      </c>
      <c r="C1" s="9" t="s">
        <v>4</v>
      </c>
      <c r="D1" s="9" t="s">
        <v>5</v>
      </c>
    </row>
    <row r="2" spans="1:8" ht="17" thickBot="1" x14ac:dyDescent="0.25">
      <c r="A2" t="s">
        <v>20</v>
      </c>
      <c r="B2">
        <v>158</v>
      </c>
      <c r="C2" t="s">
        <v>14</v>
      </c>
      <c r="D2">
        <v>0</v>
      </c>
      <c r="F2" s="12" t="s">
        <v>2105</v>
      </c>
      <c r="G2" s="17" t="s">
        <v>2106</v>
      </c>
      <c r="H2" s="16" t="s">
        <v>2113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F3" s="13" t="s">
        <v>2107</v>
      </c>
      <c r="G3" s="21">
        <f>AVERAGE(successful)</f>
        <v>851.14690265486729</v>
      </c>
      <c r="H3" s="22">
        <f>AVERAGE(failed)</f>
        <v>585.61538461538464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F4" s="14" t="s">
        <v>2108</v>
      </c>
      <c r="G4" s="19">
        <f>MEDIAN(successful)</f>
        <v>201</v>
      </c>
      <c r="H4" s="20">
        <f>MEDIAN(failed)</f>
        <v>114.5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F5" s="14" t="s">
        <v>2109</v>
      </c>
      <c r="G5" s="19">
        <f>MIN(successful)</f>
        <v>16</v>
      </c>
      <c r="H5" s="18">
        <f>MIN(failed)</f>
        <v>0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F6" s="14" t="s">
        <v>2110</v>
      </c>
      <c r="G6" s="19">
        <f>MAX(successful)</f>
        <v>7295</v>
      </c>
      <c r="H6" s="18">
        <f>MAX(failed)</f>
        <v>6080</v>
      </c>
    </row>
    <row r="7" spans="1:8" x14ac:dyDescent="0.2">
      <c r="A7" t="s">
        <v>20</v>
      </c>
      <c r="B7">
        <v>98</v>
      </c>
      <c r="C7" t="s">
        <v>14</v>
      </c>
      <c r="D7">
        <v>27</v>
      </c>
      <c r="F7" s="14" t="s">
        <v>2111</v>
      </c>
      <c r="G7" s="23">
        <f>_xlfn.VAR.P(successful)</f>
        <v>1603373.7324019109</v>
      </c>
      <c r="H7" s="24">
        <f>_xlfn.VAR.P(failed)</f>
        <v>921574.68174133555</v>
      </c>
    </row>
    <row r="8" spans="1:8" ht="17" thickBot="1" x14ac:dyDescent="0.25">
      <c r="A8" t="s">
        <v>20</v>
      </c>
      <c r="B8">
        <v>100</v>
      </c>
      <c r="C8" t="s">
        <v>14</v>
      </c>
      <c r="D8">
        <v>55</v>
      </c>
      <c r="F8" s="15" t="s">
        <v>2112</v>
      </c>
      <c r="G8" s="25">
        <f>_xlfn.STDEV.P(successful)</f>
        <v>1266.2439466397898</v>
      </c>
      <c r="H8" s="26">
        <f>_xlfn.STDEV.P(failed)</f>
        <v>959.98681331637863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  <c r="F11" s="29" t="s">
        <v>2116</v>
      </c>
      <c r="G11">
        <f>QUARTILE(successful,1)</f>
        <v>128</v>
      </c>
      <c r="H11">
        <f>QUARTILE(failed,1)</f>
        <v>38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  <c r="F12" s="29" t="s">
        <v>2120</v>
      </c>
      <c r="G12">
        <f>QUARTILE(successful, 3)</f>
        <v>1280</v>
      </c>
      <c r="H12">
        <f>QUARTILE(failed,3)</f>
        <v>784.5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  <c r="F13" s="29" t="s">
        <v>2117</v>
      </c>
      <c r="G13">
        <f xml:space="preserve"> (G12-G11) * 1.5</f>
        <v>1728</v>
      </c>
      <c r="H13">
        <f>(H12-H11) *1.5</f>
        <v>1119.75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  <c r="F14" s="29" t="s">
        <v>2118</v>
      </c>
      <c r="G14">
        <f>G11-G13</f>
        <v>-1600</v>
      </c>
      <c r="H14">
        <f>H11-H13</f>
        <v>-1081.75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  <c r="F15" s="29" t="s">
        <v>2119</v>
      </c>
      <c r="G15">
        <f>G12+G13</f>
        <v>3008</v>
      </c>
      <c r="H15">
        <f>H12+H13</f>
        <v>1904.25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9" priority="6" operator="containsText" text="live">
      <formula>NOT(ISERROR(SEARCH("live",A2)))</formula>
    </cfRule>
    <cfRule type="top10" dxfId="8" priority="7" rank="10"/>
    <cfRule type="containsText" dxfId="7" priority="8" operator="containsText" text="canceled">
      <formula>NOT(ISERROR(SEARCH("canceled",A2)))</formula>
    </cfRule>
    <cfRule type="containsText" dxfId="6" priority="9" operator="containsText" text="successful">
      <formula>NOT(ISERROR(SEARCH("successful",A2)))</formula>
    </cfRule>
    <cfRule type="containsText" dxfId="5" priority="10" operator="containsText" text="failed">
      <formula>NOT(ISERROR(SEARCH("failed",A2)))</formula>
    </cfRule>
  </conditionalFormatting>
  <conditionalFormatting sqref="C2:C365">
    <cfRule type="containsText" dxfId="4" priority="1" operator="containsText" text="live">
      <formula>NOT(ISERROR(SEARCH("live",C2)))</formula>
    </cfRule>
    <cfRule type="top10" dxfId="3" priority="2" rank="10"/>
    <cfRule type="containsText" dxfId="2" priority="3" operator="containsText" text="canceled">
      <formula>NOT(ISERROR(SEARCH("canceled",C2)))</formula>
    </cfRule>
    <cfRule type="containsText" dxfId="1" priority="4" operator="containsText" text="successful">
      <formula>NOT(ISERROR(SEARCH("successful",C2)))</formula>
    </cfRule>
    <cfRule type="containsText" dxfId="0" priority="5" operator="containsText" text="failed">
      <formula>NOT(ISERROR(SEARCH("failed",C2)))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Crowdfunding</vt:lpstr>
      <vt:lpstr>goal_analysis</vt:lpstr>
      <vt:lpstr>statistical_analysis</vt:lpstr>
      <vt:lpstr>failed</vt:lpstr>
      <vt:lpstr>goal</vt:lpstr>
      <vt:lpstr>outcome</vt:lpstr>
      <vt:lpstr>successful</vt:lpstr>
      <vt:lpstr>yay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2023-01-26T21:03:51Z</dcterms:modified>
</cp:coreProperties>
</file>