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odreads_library_export" sheetId="1" r:id="rId3"/>
  </sheets>
  <definedNames>
    <definedName hidden="1" localSheetId="0" name="_xlnm._FilterDatabase">goodreads_library_export!$A$1:$AI$440</definedName>
  </definedNames>
  <calcPr/>
</workbook>
</file>

<file path=xl/sharedStrings.xml><?xml version="1.0" encoding="utf-8"?>
<sst xmlns="http://schemas.openxmlformats.org/spreadsheetml/2006/main" count="3664" uniqueCount="1666">
  <si>
    <t>Book Id</t>
  </si>
  <si>
    <t>Title</t>
  </si>
  <si>
    <t>Author</t>
  </si>
  <si>
    <t>Author Country</t>
  </si>
  <si>
    <t>Read Language</t>
  </si>
  <si>
    <t>Author l-f</t>
  </si>
  <si>
    <t>Additional Authors</t>
  </si>
  <si>
    <t>ISBN</t>
  </si>
  <si>
    <t>ISBN13</t>
  </si>
  <si>
    <t>My Rating</t>
  </si>
  <si>
    <t>Average Rating</t>
  </si>
  <si>
    <t>Publisher</t>
  </si>
  <si>
    <t>Binding</t>
  </si>
  <si>
    <t>Number of Pages</t>
  </si>
  <si>
    <t>Year Published</t>
  </si>
  <si>
    <t>Original Publication Year</t>
  </si>
  <si>
    <t>Date Read</t>
  </si>
  <si>
    <t>Date Added</t>
  </si>
  <si>
    <t>Bookshelves</t>
  </si>
  <si>
    <t>Bookshelves with positions</t>
  </si>
  <si>
    <t>Exclusive Shelf</t>
  </si>
  <si>
    <t>My Review</t>
  </si>
  <si>
    <t>Spoiler</t>
  </si>
  <si>
    <t>Private Notes</t>
  </si>
  <si>
    <t>Read Count</t>
  </si>
  <si>
    <t>Recommended For</t>
  </si>
  <si>
    <t>Recommended By</t>
  </si>
  <si>
    <t>Owned Copies</t>
  </si>
  <si>
    <t>Original Purchase Date</t>
  </si>
  <si>
    <t>Original Purchase Location</t>
  </si>
  <si>
    <t>Condition</t>
  </si>
  <si>
    <t>Condition Description</t>
  </si>
  <si>
    <t>BCID</t>
  </si>
  <si>
    <t>Ce este nebunia?</t>
  </si>
  <si>
    <t>Darian Leader</t>
  </si>
  <si>
    <t>United Kingdom</t>
  </si>
  <si>
    <t>Romanian</t>
  </si>
  <si>
    <t>Leader, Darian</t>
  </si>
  <si>
    <t>Smaranda Nistor</t>
  </si>
  <si>
    <t>Editura Trei</t>
  </si>
  <si>
    <t>Paperback</t>
  </si>
  <si>
    <t>read</t>
  </si>
  <si>
    <t>Ensayo sobre la ceguera</t>
  </si>
  <si>
    <t>José Saramago</t>
  </si>
  <si>
    <t>Portugal</t>
  </si>
  <si>
    <t>Spanish</t>
  </si>
  <si>
    <t>Saramago, José</t>
  </si>
  <si>
    <t>Punto de Lectura</t>
  </si>
  <si>
    <t>Noaptea de Sinziene vol. 2</t>
  </si>
  <si>
    <t>Mircea Eliade</t>
  </si>
  <si>
    <t>Romania</t>
  </si>
  <si>
    <t>Eliade, Mircea</t>
  </si>
  <si>
    <t>Death with Interruptions</t>
  </si>
  <si>
    <t>Margaret Jull Costa</t>
  </si>
  <si>
    <t>Houghton Mifflin Harcourt</t>
  </si>
  <si>
    <t>Hardcover</t>
  </si>
  <si>
    <t>to-read</t>
  </si>
  <si>
    <t>to-read (#64)</t>
  </si>
  <si>
    <t>The Gospel According to Jesus Christ</t>
  </si>
  <si>
    <t>Harvill Press</t>
  </si>
  <si>
    <t>Unknown Binding</t>
  </si>
  <si>
    <t>to-read (#63)</t>
  </si>
  <si>
    <t>The Lady With the Little Dog and Other Stories, 1896-1904</t>
  </si>
  <si>
    <t>Anton Chekhov</t>
  </si>
  <si>
    <t>Russia</t>
  </si>
  <si>
    <t>English</t>
  </si>
  <si>
    <t>Chekhov, Anton</t>
  </si>
  <si>
    <t>Ronald Wilks, Paul Debreczney</t>
  </si>
  <si>
    <t>Penguin Classics</t>
  </si>
  <si>
    <t>Das Café am Rande der Welt</t>
  </si>
  <si>
    <t>John P. Strelecky</t>
  </si>
  <si>
    <t>USA</t>
  </si>
  <si>
    <t>German</t>
  </si>
  <si>
    <t>Strelecky, John P.</t>
  </si>
  <si>
    <t>Bettina Lemke</t>
  </si>
  <si>
    <t>dtv</t>
  </si>
  <si>
    <t>Man's Search for Meaning</t>
  </si>
  <si>
    <t>Viktor E. Frankl</t>
  </si>
  <si>
    <t>Austria</t>
  </si>
  <si>
    <t>Frankl, Viktor E.</t>
  </si>
  <si>
    <t>Harold S. Kushner, William J. Winslade, Isle Lasch</t>
  </si>
  <si>
    <t>Beacon Press</t>
  </si>
  <si>
    <t>Artemis</t>
  </si>
  <si>
    <t>Andy Weir</t>
  </si>
  <si>
    <t>Weir, Andy</t>
  </si>
  <si>
    <t>Crown</t>
  </si>
  <si>
    <t>to-read (#62)</t>
  </si>
  <si>
    <t>Children of Time</t>
  </si>
  <si>
    <t>Adrian Tchaikovsky</t>
  </si>
  <si>
    <t>Tchaikovsky, Adrian</t>
  </si>
  <si>
    <t>PanMacmillan</t>
  </si>
  <si>
    <t>currently-reading</t>
  </si>
  <si>
    <t>currently-reading (#2)</t>
  </si>
  <si>
    <t>QualityLand</t>
  </si>
  <si>
    <t>Marc-Uwe Kling</t>
  </si>
  <si>
    <t>Germany</t>
  </si>
  <si>
    <t>Kling, Marc-Uwe</t>
  </si>
  <si>
    <t>HörbucHHamburg HHV</t>
  </si>
  <si>
    <t>Audible Audio</t>
  </si>
  <si>
    <t>Dune (Dune Chronicles, #1)</t>
  </si>
  <si>
    <t>Frank Herbert</t>
  </si>
  <si>
    <t>Herbert, Frank</t>
  </si>
  <si>
    <t>Hodder &amp; Stoughton</t>
  </si>
  <si>
    <t>The Complete Works of H.P. Lovecraft</t>
  </si>
  <si>
    <t>H.P. Lovecraft</t>
  </si>
  <si>
    <t>Lovecraft, H.P.</t>
  </si>
  <si>
    <t>CthulhuChick.com</t>
  </si>
  <si>
    <t>Kindle Edition</t>
  </si>
  <si>
    <t>From Here to Eternity: Traveling the World to Find the Good Death</t>
  </si>
  <si>
    <t>Caitlin Doughty</t>
  </si>
  <si>
    <t>Doughty, Caitlin</t>
  </si>
  <si>
    <t>W. W. Norton &amp; Company</t>
  </si>
  <si>
    <t>to-read (#61)</t>
  </si>
  <si>
    <t>The Sorrows of Young Werther</t>
  </si>
  <si>
    <t>Johann Wolfgang von Goethe</t>
  </si>
  <si>
    <t>Goethe, Johann Wolfgang von</t>
  </si>
  <si>
    <t>Burton Pike, Edla Valdna</t>
  </si>
  <si>
    <t>Modern Library</t>
  </si>
  <si>
    <t>The Myth of Sisyphus</t>
  </si>
  <si>
    <t>Albert Camus</t>
  </si>
  <si>
    <t>France</t>
  </si>
  <si>
    <t>Camus, Albert</t>
  </si>
  <si>
    <t>Justin O'Brien, Corrado Rosso, James  Wood</t>
  </si>
  <si>
    <t>Logicomix: An Epic Search for Truth</t>
  </si>
  <si>
    <t>Apostolos K. Doxiadis</t>
  </si>
  <si>
    <t>Greece</t>
  </si>
  <si>
    <t>Doxiadis, Apostolos K.</t>
  </si>
  <si>
    <t>Christos H. Papadimitriou, Alecos Papadatos, Annie Di Donna</t>
  </si>
  <si>
    <t>Bloomsbury (NYC)</t>
  </si>
  <si>
    <t>Pharmacy For the Soul: A Comprehensive Collection of Meditations, Relaxation and Awareness Exercises, and Other Practices for Physical and Emotional Well-Being</t>
  </si>
  <si>
    <t>Osho</t>
  </si>
  <si>
    <t>Osho, Osho</t>
  </si>
  <si>
    <t>St. Martin's Griffin</t>
  </si>
  <si>
    <t>to-read (#38)</t>
  </si>
  <si>
    <t>Paradise Lost</t>
  </si>
  <si>
    <t>John Milton</t>
  </si>
  <si>
    <t>Milton, John</t>
  </si>
  <si>
    <t>John      Leonard</t>
  </si>
  <si>
    <t>to-read (#60)</t>
  </si>
  <si>
    <t>The Divine Comedy</t>
  </si>
  <si>
    <t>Dante Alighieri</t>
  </si>
  <si>
    <t>Italy</t>
  </si>
  <si>
    <t>Alighieri, Dante</t>
  </si>
  <si>
    <t>Allen Mandelbaum, Eugenio Montale</t>
  </si>
  <si>
    <t>Everyman's Library</t>
  </si>
  <si>
    <t>Hamlet</t>
  </si>
  <si>
    <t>William Shakespeare</t>
  </si>
  <si>
    <t>Shakespeare, William</t>
  </si>
  <si>
    <t>Rex Gibson, Richard Andrews</t>
  </si>
  <si>
    <t>Cambridge University Press</t>
  </si>
  <si>
    <t>Stitches</t>
  </si>
  <si>
    <t>David Small</t>
  </si>
  <si>
    <t>Small, David</t>
  </si>
  <si>
    <t>to-read (#59)</t>
  </si>
  <si>
    <t>The Photographer</t>
  </si>
  <si>
    <t>Emmanuel Guibert</t>
  </si>
  <si>
    <t>Guibert, Emmanuel</t>
  </si>
  <si>
    <t>Didier Lefèvre, Fréderic Lemercier</t>
  </si>
  <si>
    <t>First Second</t>
  </si>
  <si>
    <t>to-read (#58)</t>
  </si>
  <si>
    <t>The Brothers Karamazov</t>
  </si>
  <si>
    <t>Fyodor Dostoyevsky</t>
  </si>
  <si>
    <t>Dostoyevsky, Fyodor</t>
  </si>
  <si>
    <t>Richard Pevear, Larissa Volokhonsky</t>
  </si>
  <si>
    <t>Farrar, Straus and Giroux</t>
  </si>
  <si>
    <t>currently-reading (#1)</t>
  </si>
  <si>
    <t>Diary</t>
  </si>
  <si>
    <t>Chuck Palahniuk</t>
  </si>
  <si>
    <t>Palahniuk, Chuck</t>
  </si>
  <si>
    <t>Anchor</t>
  </si>
  <si>
    <t>The Atlas of Beauty: Women of the World in 500 Portraits</t>
  </si>
  <si>
    <t>Mihaela Noroc</t>
  </si>
  <si>
    <t>Noroc, Mihaela</t>
  </si>
  <si>
    <t>Penguin Books Ltd</t>
  </si>
  <si>
    <t>The Bell Jar</t>
  </si>
  <si>
    <t>Sylvia Plath</t>
  </si>
  <si>
    <t>Plath, Sylvia</t>
  </si>
  <si>
    <t>Reinhard Kaiser</t>
  </si>
  <si>
    <t>Harper Perennial Modern Classics</t>
  </si>
  <si>
    <t>Sculptând în timp</t>
  </si>
  <si>
    <t>Andrei Tarkovsky</t>
  </si>
  <si>
    <t>Tarkovsky, Andrei</t>
  </si>
  <si>
    <t>Nemira</t>
  </si>
  <si>
    <t>The Humans</t>
  </si>
  <si>
    <t>Matt Haig</t>
  </si>
  <si>
    <t>Haig, Matt</t>
  </si>
  <si>
    <t>Canongate Books</t>
  </si>
  <si>
    <t>I Love Dick</t>
  </si>
  <si>
    <t>Chris Kraus</t>
  </si>
  <si>
    <t>Kraus, Chris</t>
  </si>
  <si>
    <t>Joan Hawkins, Eileen Myles</t>
  </si>
  <si>
    <t>Semiotext(e)</t>
  </si>
  <si>
    <t>The Solitude of Prime Numbers</t>
  </si>
  <si>
    <t>Paolo Giordano</t>
  </si>
  <si>
    <t>Giordano, Paolo</t>
  </si>
  <si>
    <t>Shaun Whiteside</t>
  </si>
  <si>
    <t>Pamela Dorman Books</t>
  </si>
  <si>
    <t>to-read (#57)</t>
  </si>
  <si>
    <t>The Tao of Physics: An Exploration of the Parallels between Modern Physics and Eastern Mysticism</t>
  </si>
  <si>
    <t>Fritjof Capra</t>
  </si>
  <si>
    <t>Capra, Fritjof</t>
  </si>
  <si>
    <t>Shambhala</t>
  </si>
  <si>
    <t>to-read (#56)</t>
  </si>
  <si>
    <t>I, Robot (Robot, #0.1)</t>
  </si>
  <si>
    <t>Isaac Asimov</t>
  </si>
  <si>
    <t>Asimov, Isaac</t>
  </si>
  <si>
    <t>Spectra</t>
  </si>
  <si>
    <t>Shamanism and Tantra in the Himalayas</t>
  </si>
  <si>
    <t>Christian Rätsch</t>
  </si>
  <si>
    <t>Rätsch, Christian</t>
  </si>
  <si>
    <t>Claudia Müller-Ebeling</t>
  </si>
  <si>
    <t>Inner Traditions</t>
  </si>
  <si>
    <t>to-read (#55)</t>
  </si>
  <si>
    <t>The Encyclopedia of Psychoactive Plants: Ethnopharmacology and Its Applications</t>
  </si>
  <si>
    <t>Park Street Press</t>
  </si>
  <si>
    <t>to-read (#54)</t>
  </si>
  <si>
    <t>LSD: My Problem Child – Reflections on Sacred Drugs, Mysticism and Science</t>
  </si>
  <si>
    <t>Albert Hofmann</t>
  </si>
  <si>
    <t>Hofmann, Albert</t>
  </si>
  <si>
    <t>Multidisciplinary Assn for</t>
  </si>
  <si>
    <t>to-read (#53)</t>
  </si>
  <si>
    <t>Walking The Himalayas</t>
  </si>
  <si>
    <t>Levison Wood</t>
  </si>
  <si>
    <t>Wood, Levison</t>
  </si>
  <si>
    <t>Little, Brown and Company</t>
  </si>
  <si>
    <t>Depression &amp; Other Magic Tricks</t>
  </si>
  <si>
    <t>Sabrina Benaim</t>
  </si>
  <si>
    <t>Benaim, Sabrina</t>
  </si>
  <si>
    <t>Button Poetry</t>
  </si>
  <si>
    <t>to-read (#52)</t>
  </si>
  <si>
    <t>The Intact and Sliced Brain</t>
  </si>
  <si>
    <t>Mircea Steriade</t>
  </si>
  <si>
    <t>Steriade, Mircea</t>
  </si>
  <si>
    <t>MIT Press (MA)</t>
  </si>
  <si>
    <t>When the Air Hits Your Brain: Tales of Neurosurgery</t>
  </si>
  <si>
    <t>Frank T. Vertosick Jr.</t>
  </si>
  <si>
    <t>Jr., Frank T. Vertosick</t>
  </si>
  <si>
    <t>Fawcett</t>
  </si>
  <si>
    <t>Mass Market Paperback</t>
  </si>
  <si>
    <t>to-read (#51)</t>
  </si>
  <si>
    <t>The Serengeti Rules: The Quest to Discover How Life Works and Why It Matters</t>
  </si>
  <si>
    <t>Sean B. Carroll</t>
  </si>
  <si>
    <t>Carroll, Sean B.</t>
  </si>
  <si>
    <t>Princeton University Press</t>
  </si>
  <si>
    <t>to-read (#50)</t>
  </si>
  <si>
    <t>The Iceberg</t>
  </si>
  <si>
    <t>Marion Coutts</t>
  </si>
  <si>
    <t>Coutts, Marion</t>
  </si>
  <si>
    <t>Atlantic Books</t>
  </si>
  <si>
    <t>to-read (#49)</t>
  </si>
  <si>
    <t>When Breath Becomes Air</t>
  </si>
  <si>
    <t>Paul Kalanithi</t>
  </si>
  <si>
    <t>Kalanithi, Paul</t>
  </si>
  <si>
    <t>Random House</t>
  </si>
  <si>
    <t>Une Forme de Vie</t>
  </si>
  <si>
    <t>Amélie Nothomb</t>
  </si>
  <si>
    <t>Nothomb, Amélie</t>
  </si>
  <si>
    <t>Albin Michel</t>
  </si>
  <si>
    <t>The River of Consciousness</t>
  </si>
  <si>
    <t>Oliver Sacks</t>
  </si>
  <si>
    <t>Sacks, Oliver</t>
  </si>
  <si>
    <t>Knopf Publishing Group</t>
  </si>
  <si>
    <t>Do No Harm: Stories of Life, Death and Brain Surgery</t>
  </si>
  <si>
    <t>Henry Marsh</t>
  </si>
  <si>
    <t>Marsh, Henry</t>
  </si>
  <si>
    <t>Weidenfeld &amp; Nicolson</t>
  </si>
  <si>
    <t>Tales of a Shaman's Apprentice: An Ethnobotanist Searches for New Medicines in the Rain Forest</t>
  </si>
  <si>
    <t>Mark J. Plotkin</t>
  </si>
  <si>
    <t>Plotkin, Mark J.</t>
  </si>
  <si>
    <t>Penguin Books</t>
  </si>
  <si>
    <t>to-read (#48)</t>
  </si>
  <si>
    <t>Don't Sleep, There are Snakes: Life and Language in the Amazonian Jungle</t>
  </si>
  <si>
    <t>Daniel L. Everett</t>
  </si>
  <si>
    <t>Everett, Daniel L.</t>
  </si>
  <si>
    <t>Pantheon</t>
  </si>
  <si>
    <t>to-read (#47)</t>
  </si>
  <si>
    <t>La Vita Conduce La Danza</t>
  </si>
  <si>
    <t>Germaine Krull</t>
  </si>
  <si>
    <t>French</t>
  </si>
  <si>
    <t>Krull, Germaine</t>
  </si>
  <si>
    <t>Giunti</t>
  </si>
  <si>
    <t>Reasons to Stay Alive</t>
  </si>
  <si>
    <t>Against Empathy: The Case for Rational Compassion</t>
  </si>
  <si>
    <t>Paul Bloom</t>
  </si>
  <si>
    <t>Bloom, Paul</t>
  </si>
  <si>
    <t>Ecco</t>
  </si>
  <si>
    <t>to-read (#46)</t>
  </si>
  <si>
    <t>The Tragical History of Dr. Faustus</t>
  </si>
  <si>
    <t>Christopher Marlowe</t>
  </si>
  <si>
    <t>Marlowe, Christopher</t>
  </si>
  <si>
    <t>John D. Jump, John Davies Jump</t>
  </si>
  <si>
    <t>Routledge</t>
  </si>
  <si>
    <t>Codex Seraphinianus</t>
  </si>
  <si>
    <t>Luigi Serafini</t>
  </si>
  <si>
    <t>Serafini, Luigi</t>
  </si>
  <si>
    <t>Rizzoli</t>
  </si>
  <si>
    <t>to-read (#8)</t>
  </si>
  <si>
    <t>The Autumn of the Patriarch</t>
  </si>
  <si>
    <t>Gabriel García Márquez</t>
  </si>
  <si>
    <t>Colombia</t>
  </si>
  <si>
    <t>Márquez, Gabriel García</t>
  </si>
  <si>
    <t>Gregory Rabassa</t>
  </si>
  <si>
    <t>Waiting for Godot</t>
  </si>
  <si>
    <t>Samuel Beckett</t>
  </si>
  <si>
    <t>Ireland</t>
  </si>
  <si>
    <t>Beckett, Samuel</t>
  </si>
  <si>
    <t>Grove</t>
  </si>
  <si>
    <t>Madame Bovary</t>
  </si>
  <si>
    <t>Gustave Flaubert</t>
  </si>
  <si>
    <t>Flaubert, Gustave</t>
  </si>
  <si>
    <t>Malcolm Bowie, Margaret Mauldon, Mark Overstall</t>
  </si>
  <si>
    <t>Oxford University Press</t>
  </si>
  <si>
    <t>The Grapes of Wrath</t>
  </si>
  <si>
    <t>John Steinbeck</t>
  </si>
  <si>
    <t>Steinbeck, John</t>
  </si>
  <si>
    <t>Exercises in Style</t>
  </si>
  <si>
    <t>Raymond Queneau</t>
  </si>
  <si>
    <t>Queneau, Raymond</t>
  </si>
  <si>
    <t>Barbara Wright</t>
  </si>
  <si>
    <t>New Directions</t>
  </si>
  <si>
    <t>The Voices Within</t>
  </si>
  <si>
    <t>Charles Fernyhough</t>
  </si>
  <si>
    <t>Fernyhough, Charles</t>
  </si>
  <si>
    <t>Profile Books</t>
  </si>
  <si>
    <t>Naked Lunch</t>
  </si>
  <si>
    <t>William S. Burroughs</t>
  </si>
  <si>
    <t>Burroughs, William S.</t>
  </si>
  <si>
    <t>James Grauerholz, Barry  Miles</t>
  </si>
  <si>
    <t>Grove/Atlantic</t>
  </si>
  <si>
    <t>The Hitchhiker's Guide to the Galaxy (Hitchhiker's Guide to the Galaxy, #1)</t>
  </si>
  <si>
    <t>Douglas Adams</t>
  </si>
  <si>
    <t>Adams, Douglas</t>
  </si>
  <si>
    <t>Del Rey Books</t>
  </si>
  <si>
    <t>Hallucinations</t>
  </si>
  <si>
    <t>Knopf</t>
  </si>
  <si>
    <t>The Tao Is Silent</t>
  </si>
  <si>
    <t>Raymond M. Smullyan</t>
  </si>
  <si>
    <t>Smullyan, Raymond M.</t>
  </si>
  <si>
    <t>HarperOne</t>
  </si>
  <si>
    <t>A Natural History of Human Thinking</t>
  </si>
  <si>
    <t>Michael Tomasello</t>
  </si>
  <si>
    <t>Tomasello, Michael</t>
  </si>
  <si>
    <t>Harvard University Press</t>
  </si>
  <si>
    <t>Are We Smart Enough to Know How Smart Animals Are?</t>
  </si>
  <si>
    <t>Frans de Waal</t>
  </si>
  <si>
    <t>Waal, Frans de</t>
  </si>
  <si>
    <t>W. W. Norton  Company</t>
  </si>
  <si>
    <t>to-read (#45)</t>
  </si>
  <si>
    <t>Idiot Brain: What Your Head Is Really Up To</t>
  </si>
  <si>
    <t>Dean Burnett</t>
  </si>
  <si>
    <t>Burnett, Dean</t>
  </si>
  <si>
    <t>to-read (#44)</t>
  </si>
  <si>
    <t>The Gene: An Intimate History</t>
  </si>
  <si>
    <t>Siddhartha Mukherjee</t>
  </si>
  <si>
    <t>India</t>
  </si>
  <si>
    <t>Mukherjee, Siddhartha</t>
  </si>
  <si>
    <t>Scribner</t>
  </si>
  <si>
    <t>Orientalism</t>
  </si>
  <si>
    <t>Edward W. Said</t>
  </si>
  <si>
    <t>Said, Edward W.</t>
  </si>
  <si>
    <t>Jean-Leon Gerome</t>
  </si>
  <si>
    <t>Vintage</t>
  </si>
  <si>
    <t>Freakonomics: A Rogue Economist Explores the Hidden Side of Everything (Freakonomics, #1)</t>
  </si>
  <si>
    <t>Steven D. Levitt</t>
  </si>
  <si>
    <t>Levitt, Steven D.</t>
  </si>
  <si>
    <t>Stephen J. Dubner</t>
  </si>
  <si>
    <t>William Morrow</t>
  </si>
  <si>
    <t>Solve for Happy: Engineer Your Path to Joy</t>
  </si>
  <si>
    <t>Mo Gawdat</t>
  </si>
  <si>
    <t>Egypt</t>
  </si>
  <si>
    <t>Gawdat, Mo</t>
  </si>
  <si>
    <t>Gallery Books</t>
  </si>
  <si>
    <t>Naked Human</t>
  </si>
  <si>
    <t>Christopher Poindexter</t>
  </si>
  <si>
    <t>Poindexter, Christopher</t>
  </si>
  <si>
    <t>UNDERWATER MOUNTAINS PUBLISHING</t>
  </si>
  <si>
    <t>to-read (#43)</t>
  </si>
  <si>
    <t>Wishful Drinking</t>
  </si>
  <si>
    <t>Carrie Fisher</t>
  </si>
  <si>
    <t>Fisher, Carrie</t>
  </si>
  <si>
    <t>Simon &amp; Schuster</t>
  </si>
  <si>
    <t>to-read (#42)</t>
  </si>
  <si>
    <t>It's Kind of a Funny Story</t>
  </si>
  <si>
    <t>Ned Vizzini</t>
  </si>
  <si>
    <t>Vizzini, Ned</t>
  </si>
  <si>
    <t>Disney-Hyperion</t>
  </si>
  <si>
    <t>to-read (#41)</t>
  </si>
  <si>
    <t>Autistic blessings and Bipolar me.: A Frank and Brutally Honest Diary of a Mother with Bipolar and Her Two Autistic Boys</t>
  </si>
  <si>
    <t>E.J. Plows</t>
  </si>
  <si>
    <t>Plows, E.J.</t>
  </si>
  <si>
    <t>Emma J Plows.</t>
  </si>
  <si>
    <t>to-read (#40)</t>
  </si>
  <si>
    <t>Touched with Fire: Manic-Depressive Illness and the Artistic Temperament</t>
  </si>
  <si>
    <t>Kay Redfield Jamison</t>
  </si>
  <si>
    <t>Jamison, Kay Redfield</t>
  </si>
  <si>
    <t>Free Press</t>
  </si>
  <si>
    <t>to-read (#39)</t>
  </si>
  <si>
    <t>The Demon-Haunted World: Science as a Candle in the Dark</t>
  </si>
  <si>
    <t>Carl Sagan</t>
  </si>
  <si>
    <t>Sagan, Carl</t>
  </si>
  <si>
    <t>Ann Druyan</t>
  </si>
  <si>
    <t>Ballantine Books</t>
  </si>
  <si>
    <t>Ethics in the Real World: 82 Brief Essays on Things That Matter</t>
  </si>
  <si>
    <t>Peter Singer</t>
  </si>
  <si>
    <t>Australia</t>
  </si>
  <si>
    <t>Singer, Peter</t>
  </si>
  <si>
    <t>How to Lie with Statistics</t>
  </si>
  <si>
    <t>Darrell Huff</t>
  </si>
  <si>
    <t>Huff, Darrell</t>
  </si>
  <si>
    <t>Irving Geis</t>
  </si>
  <si>
    <t>Psychedelic Healing: The Promise of Entheogens for Psychotherapy and Spiritual Development</t>
  </si>
  <si>
    <t>Neal M. Goldsmith</t>
  </si>
  <si>
    <t>Goldsmith, Neal M.</t>
  </si>
  <si>
    <t>Healing Arts Press</t>
  </si>
  <si>
    <t>The Diamond As Big As The Ritz and Other Stories</t>
  </si>
  <si>
    <t>F. Scott Fitzgerald</t>
  </si>
  <si>
    <t>Fitzgerald, F. Scott</t>
  </si>
  <si>
    <t>Homo Deus: A Brief History of Tomorrow</t>
  </si>
  <si>
    <t>Yuval Noah Harari</t>
  </si>
  <si>
    <t>Israel</t>
  </si>
  <si>
    <t>Harari, Yuval Noah</t>
  </si>
  <si>
    <t>Andreas Wirthensohn, Dương Ngọc Trà, Jürgen Holdorf</t>
  </si>
  <si>
    <t>Harper</t>
  </si>
  <si>
    <t>Metaphors We Live By</t>
  </si>
  <si>
    <t>George Lakoff</t>
  </si>
  <si>
    <t>Lakoff, George</t>
  </si>
  <si>
    <t>Mark  Johnson</t>
  </si>
  <si>
    <t>University Of Chicago Press</t>
  </si>
  <si>
    <t>Conversations on Consciousness: What the Best Minds Think about the Brain, Free Will, and What It Means to Be Human</t>
  </si>
  <si>
    <t>Susan Blackmore</t>
  </si>
  <si>
    <t>Blackmore, Susan</t>
  </si>
  <si>
    <t>Oxford University Press, USA</t>
  </si>
  <si>
    <t>to-read (#37)</t>
  </si>
  <si>
    <t>The Boundaries of Babel. The Brain and the Enigma of Impossible Languages</t>
  </si>
  <si>
    <t>Andrea Moro</t>
  </si>
  <si>
    <t>Moro, Andrea</t>
  </si>
  <si>
    <t>Ivano Caponigro, Daniel B Kane, Noam Chomsky</t>
  </si>
  <si>
    <t>Mit Press</t>
  </si>
  <si>
    <t>The Book of Laughter and Forgetting</t>
  </si>
  <si>
    <t>Milan Kundera</t>
  </si>
  <si>
    <t>Czech Republic</t>
  </si>
  <si>
    <t>Kundera, Milan</t>
  </si>
  <si>
    <t>Aaron Asher, Serena Vitale</t>
  </si>
  <si>
    <t>HarperPerennial Modern Classics</t>
  </si>
  <si>
    <t>Moral Politics: How Liberals and Conservatives Think</t>
  </si>
  <si>
    <t>India secretă</t>
  </si>
  <si>
    <t>Paul Brunton</t>
  </si>
  <si>
    <t>Brunton, Paul</t>
  </si>
  <si>
    <t>Polirom</t>
  </si>
  <si>
    <t>The Unbearable Lightness of Being</t>
  </si>
  <si>
    <t>Michael Henry Heim, 千野栄一</t>
  </si>
  <si>
    <t>Harper Perennial</t>
  </si>
  <si>
    <t>The Better Angels of Our Nature: Why Violence Has Declined</t>
  </si>
  <si>
    <t>Steven Pinker</t>
  </si>
  <si>
    <t>Pinker, Steven</t>
  </si>
  <si>
    <t>Viking</t>
  </si>
  <si>
    <t>Essential Tales and Poems</t>
  </si>
  <si>
    <t>Edgar Allan Poe</t>
  </si>
  <si>
    <t>Poe, Edgar Allan</t>
  </si>
  <si>
    <t>Benjamin F. Fisher</t>
  </si>
  <si>
    <t>Barnes  Noble Classics</t>
  </si>
  <si>
    <t>Prozac Nation</t>
  </si>
  <si>
    <t>Elizabeth Wurtzel</t>
  </si>
  <si>
    <t>Wurtzel, Elizabeth</t>
  </si>
  <si>
    <t>Riverhead Books</t>
  </si>
  <si>
    <t>Get Me Out of Here: My Recovery from Borderline Personality Disorder</t>
  </si>
  <si>
    <t>Rachel Reiland</t>
  </si>
  <si>
    <t>Reiland, Rachel</t>
  </si>
  <si>
    <t>Hazelden Publishing</t>
  </si>
  <si>
    <t>to-read (#36)</t>
  </si>
  <si>
    <t>Weapons of Math Destruction: How Big Data Increases Inequality and Threatens Democracy</t>
  </si>
  <si>
    <t>Cathy O'Neil</t>
  </si>
  <si>
    <t>O'Neil, Cathy</t>
  </si>
  <si>
    <t>Notes from Underground, White Nights, The Dream of a Ridiculous Man, and Selections from The House of the Dead</t>
  </si>
  <si>
    <t>Andrew R. MacAndrew, Ben Marcus</t>
  </si>
  <si>
    <t>Signet</t>
  </si>
  <si>
    <t>Ship of Theseus</t>
  </si>
  <si>
    <t>J.J. Abrams</t>
  </si>
  <si>
    <t>Abrams, J.J.</t>
  </si>
  <si>
    <t>Doug Dorst, V.M. Straka</t>
  </si>
  <si>
    <t>Winged Shoes Press</t>
  </si>
  <si>
    <t>Slaughterhouse-Five</t>
  </si>
  <si>
    <t>Kurt Vonnegut</t>
  </si>
  <si>
    <t>Vonnegut, Kurt</t>
  </si>
  <si>
    <t>Dial Press</t>
  </si>
  <si>
    <t>The Defining Decade: Why Your Twenties Matter - And How to Make the Most of Them Now</t>
  </si>
  <si>
    <t>Meg Jay</t>
  </si>
  <si>
    <t>Jay, Meg</t>
  </si>
  <si>
    <t>Twelve</t>
  </si>
  <si>
    <t>ebook</t>
  </si>
  <si>
    <t>Femei celebre pe divan</t>
  </si>
  <si>
    <t>Catherine Siguret</t>
  </si>
  <si>
    <t>Siguret, Catherine</t>
  </si>
  <si>
    <t>Laszlo Alexandru</t>
  </si>
  <si>
    <t>Curtea Veche</t>
  </si>
  <si>
    <t>Buddhism Explained</t>
  </si>
  <si>
    <t>Laurence Khantipālo Mills</t>
  </si>
  <si>
    <t>Mills, Laurence Khantipālo</t>
  </si>
  <si>
    <t>Silkworm Books</t>
  </si>
  <si>
    <t>Algorithms to Live By: The Computer Science of Human Decisions</t>
  </si>
  <si>
    <t>Brian Christian</t>
  </si>
  <si>
    <t>Christian, Brian</t>
  </si>
  <si>
    <t>Tom  Griffiths</t>
  </si>
  <si>
    <t>Henry Holt and Co.</t>
  </si>
  <si>
    <t>to-read (#35)</t>
  </si>
  <si>
    <t>Into the Magic Shop: A Neurosurgeon's Quest to Discover the Mysteries of the Brain and the Secrets of the Heart</t>
  </si>
  <si>
    <t>James R. Doty</t>
  </si>
  <si>
    <t>Doty, James R.</t>
  </si>
  <si>
    <t>Avery</t>
  </si>
  <si>
    <t>to-read (#34)</t>
  </si>
  <si>
    <t>The Invention of Nature: Alexander von Humboldt's New World</t>
  </si>
  <si>
    <t>Andrea Wulf</t>
  </si>
  <si>
    <t>Wulf, Andrea</t>
  </si>
  <si>
    <t>Xenolinguistics: Psychedelics, Language, and the Evolution of Consciousness</t>
  </si>
  <si>
    <t>Diana Slattery</t>
  </si>
  <si>
    <t>Slattery, Diana</t>
  </si>
  <si>
    <t>EVOLVER EDITIONS</t>
  </si>
  <si>
    <t>Psycholinguistik</t>
  </si>
  <si>
    <t>Rainer Dietrich</t>
  </si>
  <si>
    <t>Dietrich, Rainer</t>
  </si>
  <si>
    <t>Der Besuch der alten Dame</t>
  </si>
  <si>
    <t>Friedrich Dürrenmatt</t>
  </si>
  <si>
    <t>Switzerland</t>
  </si>
  <si>
    <t>Dürrenmatt, Friedrich</t>
  </si>
  <si>
    <t>Diogenes</t>
  </si>
  <si>
    <t>Core Syntax: A Minimalist Approach</t>
  </si>
  <si>
    <t>David Adger</t>
  </si>
  <si>
    <t>Adger, David</t>
  </si>
  <si>
    <t>Lab Girl: A story of Trees, Science and Love</t>
  </si>
  <si>
    <t>Hope Jahren</t>
  </si>
  <si>
    <t>Jahren, Hope</t>
  </si>
  <si>
    <t>Little Brown Book Group</t>
  </si>
  <si>
    <t>Diane Arbus: Portrait of a Photographer</t>
  </si>
  <si>
    <t>Arthur Lubow</t>
  </si>
  <si>
    <t>Lubow, Arthur</t>
  </si>
  <si>
    <t>to-read (#33)</t>
  </si>
  <si>
    <t>Hold Still: A Memoir with Photographs</t>
  </si>
  <si>
    <t>Sally Mann</t>
  </si>
  <si>
    <t>Mann, Sally</t>
  </si>
  <si>
    <t>to-read (#32)</t>
  </si>
  <si>
    <t>Breaking News: A Stunning and Memorable Account of Reporting from Some of the Most Dangerous Places in the World</t>
  </si>
  <si>
    <t>Martin Fletcher</t>
  </si>
  <si>
    <t>Fletcher, Martin</t>
  </si>
  <si>
    <t>Thomas Dunne Books</t>
  </si>
  <si>
    <t>to-read (#31)</t>
  </si>
  <si>
    <t>Slightly Out of Focus</t>
  </si>
  <si>
    <t>Robert Capa</t>
  </si>
  <si>
    <t>Capa, Robert</t>
  </si>
  <si>
    <t>Cornell Capa, Richard Whelan</t>
  </si>
  <si>
    <t>to-read (#30)</t>
  </si>
  <si>
    <t>Vagabonding: An Uncommon Guide to the Art of Long-Term World Travel</t>
  </si>
  <si>
    <t>Rolf Potts</t>
  </si>
  <si>
    <t>Potts, Rolf</t>
  </si>
  <si>
    <t>Villard Books</t>
  </si>
  <si>
    <t>to-read (#29)</t>
  </si>
  <si>
    <t>Harry Potter and the Cursed Child - Parts One and Two (Harry Potter, #8)</t>
  </si>
  <si>
    <t>John Tiffany</t>
  </si>
  <si>
    <t>Tiffany, John</t>
  </si>
  <si>
    <t>Jack Thorne, J.K. Rowling</t>
  </si>
  <si>
    <t>Little, Brown</t>
  </si>
  <si>
    <t>The Language Instinct: How the Mind Creates Language</t>
  </si>
  <si>
    <t>What Is Meaning? Fundamentals of Formal Semantics.</t>
  </si>
  <si>
    <t>Paul Portner</t>
  </si>
  <si>
    <t>Portner, Paul</t>
  </si>
  <si>
    <t>Blackwell Publishing Ltd.</t>
  </si>
  <si>
    <t>paperback</t>
  </si>
  <si>
    <t>Wherever You Go, There You Are: Mindfulness Meditation in Everyday Life</t>
  </si>
  <si>
    <t>Jon Kabat-Zinn</t>
  </si>
  <si>
    <t>Kabat-Zinn, Jon</t>
  </si>
  <si>
    <t>Hachette Books</t>
  </si>
  <si>
    <t>Strategy Genius: 40 Insights From the Science of Strategic Thinking</t>
  </si>
  <si>
    <t>Richard Jones</t>
  </si>
  <si>
    <t>Jones, Richard</t>
  </si>
  <si>
    <t>Teach Yourself</t>
  </si>
  <si>
    <t>Yoga Anatomy</t>
  </si>
  <si>
    <t>Leslie Kaminoff</t>
  </si>
  <si>
    <t>Kaminoff, Leslie</t>
  </si>
  <si>
    <t>Amy Matthews, Sharon  Ellis</t>
  </si>
  <si>
    <t>Human Kinetics Publishers</t>
  </si>
  <si>
    <t>The Richest Man in Babylon</t>
  </si>
  <si>
    <t>George S. Clason</t>
  </si>
  <si>
    <t>Clason, George S.</t>
  </si>
  <si>
    <t>Berkley Books</t>
  </si>
  <si>
    <t>Think and Grow Rich: The Landmark Bestseller Now Revised and Updated for the 21st Century</t>
  </si>
  <si>
    <t>Napoleon Hill</t>
  </si>
  <si>
    <t>Hill, Napoleon</t>
  </si>
  <si>
    <t>Tarcherperigee</t>
  </si>
  <si>
    <t>The Obstacle is the Way: The Ancient Art of Turning Adversity to Advantage</t>
  </si>
  <si>
    <t>Ryan Holiday</t>
  </si>
  <si>
    <t>Holiday, Ryan</t>
  </si>
  <si>
    <t>The Magic of Thinking Big</t>
  </si>
  <si>
    <t>David J. Schwartz</t>
  </si>
  <si>
    <t>Schwartz, David J.</t>
  </si>
  <si>
    <t>Ebury Digital</t>
  </si>
  <si>
    <t>The 7 Habits of Highly Effective People: Powerful Lessons in Personal Change</t>
  </si>
  <si>
    <t>Stephen R. Covey</t>
  </si>
  <si>
    <t>Covey, Stephen R.</t>
  </si>
  <si>
    <t>How to Win Friends and Influence People</t>
  </si>
  <si>
    <t>Dale Carnegie</t>
  </si>
  <si>
    <t>Carnegie, Dale</t>
  </si>
  <si>
    <t>So Good They Can't Ignore You: Why Skills Trump Passion in the Quest for Work You Love</t>
  </si>
  <si>
    <t>Cal Newport</t>
  </si>
  <si>
    <t>Newport, Cal</t>
  </si>
  <si>
    <t>Business Plus</t>
  </si>
  <si>
    <t>The Mantra Book: Chant Your Way to Health, Wealth and Serenity</t>
  </si>
  <si>
    <t>Lillian Too</t>
  </si>
  <si>
    <t>Malaysia</t>
  </si>
  <si>
    <t>Too, Lillian</t>
  </si>
  <si>
    <t>Element Books</t>
  </si>
  <si>
    <t>Milk and Honey</t>
  </si>
  <si>
    <t>Rupi Kaur</t>
  </si>
  <si>
    <t>Kaur, Rupi</t>
  </si>
  <si>
    <t>Createspace</t>
  </si>
  <si>
    <t>The Stuff of Thought: Language as a Window into Human Nature</t>
  </si>
  <si>
    <t>Viking Penguin</t>
  </si>
  <si>
    <t>Verstörungstheorien</t>
  </si>
  <si>
    <t>Marlies Hübner</t>
  </si>
  <si>
    <t>Hübner, Marlies</t>
  </si>
  <si>
    <t>Schwarzkopf &amp; Schwarzkopf</t>
  </si>
  <si>
    <t>A Mind for Numbers: How to Excel at Math and Science (Even If You Flunked Algebra)</t>
  </si>
  <si>
    <t>Barbara Oakley</t>
  </si>
  <si>
    <t>Oakley, Barbara</t>
  </si>
  <si>
    <t>Tarcher/Penguin</t>
  </si>
  <si>
    <t>Singură pe Drumul Mătăsii: 80 de zile, 15 000 km, 2 500 de ani de istorie</t>
  </si>
  <si>
    <t>Sabina Fati</t>
  </si>
  <si>
    <t>Fati, Sabina</t>
  </si>
  <si>
    <t>Tania Radu</t>
  </si>
  <si>
    <t>Humanitas</t>
  </si>
  <si>
    <t>The Curious Incident of the Dog in the Night-Time</t>
  </si>
  <si>
    <t>Mark Haddon</t>
  </si>
  <si>
    <t>Haddon, Mark</t>
  </si>
  <si>
    <t>The Biology of Belief: Unleashing the Power of Consciousness, Matter,  Miracles</t>
  </si>
  <si>
    <t>Bruce H. Lipton</t>
  </si>
  <si>
    <t>Lipton, Bruce H.</t>
  </si>
  <si>
    <t>Hay House</t>
  </si>
  <si>
    <t>In a Different Key: The Story of Autism</t>
  </si>
  <si>
    <t>John Donvan</t>
  </si>
  <si>
    <t>Donvan, John</t>
  </si>
  <si>
    <t>Caren Zucker</t>
  </si>
  <si>
    <t>Confident You: An Introvert's Guide to Success in Life and Business</t>
  </si>
  <si>
    <t>S.J. Scott</t>
  </si>
  <si>
    <t>Scott, S.J.</t>
  </si>
  <si>
    <t>Rebecca Livermore</t>
  </si>
  <si>
    <t>Presence: Bringing Your Boldest Self to Your Biggest Challenges</t>
  </si>
  <si>
    <t>Amy Cuddy</t>
  </si>
  <si>
    <t>Cuddy, Amy</t>
  </si>
  <si>
    <t>A Thousand Splendid Suns</t>
  </si>
  <si>
    <t>Khaled Hosseini</t>
  </si>
  <si>
    <t>Afghanistan</t>
  </si>
  <si>
    <t>Hosseini, Khaled</t>
  </si>
  <si>
    <t>Bloomsbury UK</t>
  </si>
  <si>
    <t>Wie Erlangt Man Erkenntnisse Der Höheren Welten?</t>
  </si>
  <si>
    <t>Rudolf Steiner</t>
  </si>
  <si>
    <t>Steiner, Rudolf</t>
  </si>
  <si>
    <t>Solenoid</t>
  </si>
  <si>
    <t>Mircea Cărtărescu</t>
  </si>
  <si>
    <t>Cărtărescu, Mircea</t>
  </si>
  <si>
    <t>The Brain’s Way of Healing: Stories of Remarkable Recoveries and Discoveries</t>
  </si>
  <si>
    <t>Norman Doidge</t>
  </si>
  <si>
    <t>Doidge, Norman</t>
  </si>
  <si>
    <t>Allen Lane</t>
  </si>
  <si>
    <t>On the Move: A Life</t>
  </si>
  <si>
    <t>Pan Macmillan</t>
  </si>
  <si>
    <t>The Art of Stillness</t>
  </si>
  <si>
    <t>Pico Iyer</t>
  </si>
  <si>
    <t>Iyer, Pico</t>
  </si>
  <si>
    <t>Simon &amp; Schuster Ltd</t>
  </si>
  <si>
    <t>Antigone (The Theban Plays, #3)</t>
  </si>
  <si>
    <t>Sophocles</t>
  </si>
  <si>
    <t>Sophocles, Sophocles</t>
  </si>
  <si>
    <t>J.E. Thomas</t>
  </si>
  <si>
    <t>Ingram</t>
  </si>
  <si>
    <t>Meditation: The First and Last Freedom</t>
  </si>
  <si>
    <t>The Man of the Crowd</t>
  </si>
  <si>
    <t>Ralph Cosham</t>
  </si>
  <si>
    <t>Commuter Library</t>
  </si>
  <si>
    <t>Audio Cassette</t>
  </si>
  <si>
    <t>Acluofobia. Zece povestiri macabre</t>
  </si>
  <si>
    <t>Flavius Ardelean</t>
  </si>
  <si>
    <t>Ardelean, Flavius</t>
  </si>
  <si>
    <t>A.R. Deleanu, Mircea Pricăjan, Claudia Niculescu</t>
  </si>
  <si>
    <t>Herg Benet Publishers</t>
  </si>
  <si>
    <t>The Psychology of Kundalini Yoga: Notes of the Seminar Given in 1932</t>
  </si>
  <si>
    <t>C.G. Jung</t>
  </si>
  <si>
    <t>Jung, C.G.</t>
  </si>
  <si>
    <t>Sonu Shamdasani</t>
  </si>
  <si>
    <t>Princeton University Press (NJ)</t>
  </si>
  <si>
    <t>The Circle</t>
  </si>
  <si>
    <t>Dave Eggers</t>
  </si>
  <si>
    <t>Eggers, Dave</t>
  </si>
  <si>
    <t>Shantaram</t>
  </si>
  <si>
    <t>Gregory David Roberts</t>
  </si>
  <si>
    <t>Roberts, Gregory David</t>
  </si>
  <si>
    <t>St. Martin's Press</t>
  </si>
  <si>
    <t>Pansy</t>
  </si>
  <si>
    <t>Andrea Gibson</t>
  </si>
  <si>
    <t>Gibson, Andrea</t>
  </si>
  <si>
    <t>Write Bloody Publishing</t>
  </si>
  <si>
    <t>to-read (#28)</t>
  </si>
  <si>
    <t>Bipolar Cowboy</t>
  </si>
  <si>
    <t>Noah Cicero</t>
  </si>
  <si>
    <t>Cicero, Noah</t>
  </si>
  <si>
    <t>Lazy Fascist Press</t>
  </si>
  <si>
    <t>to-read (#27)</t>
  </si>
  <si>
    <t>Infectious Madness: The Surprising Science of How We "Catch" Mental Illness</t>
  </si>
  <si>
    <t>Harriet A. Washington</t>
  </si>
  <si>
    <t>Washington, Harriet A.</t>
  </si>
  <si>
    <t>to-read (#26)</t>
  </si>
  <si>
    <t>In Spite of the Gods: The Strange Rise of Modern India</t>
  </si>
  <si>
    <t>Edward Luce</t>
  </si>
  <si>
    <t>Luce, Edward</t>
  </si>
  <si>
    <t>Doubleday</t>
  </si>
  <si>
    <t>to-read (#25)</t>
  </si>
  <si>
    <t>The Essential Difference: Male And Female Brains And The Truth About Autism</t>
  </si>
  <si>
    <t>Simon Baron-Cohen</t>
  </si>
  <si>
    <t>Baron-Cohen, Simon</t>
  </si>
  <si>
    <t>Basic Books</t>
  </si>
  <si>
    <t>The Consolations of Philosophy</t>
  </si>
  <si>
    <t>Alain de Botton</t>
  </si>
  <si>
    <t>Botton, Alain de</t>
  </si>
  <si>
    <t>to-read (#24)</t>
  </si>
  <si>
    <t>Missing Out: In Praise of the Unlived Life</t>
  </si>
  <si>
    <t>Adam Phillips</t>
  </si>
  <si>
    <t>Phillips, Adam</t>
  </si>
  <si>
    <t>Hamish Hamilton</t>
  </si>
  <si>
    <t>to-read (#23)</t>
  </si>
  <si>
    <t>NeuroTribes: The Legacy of Autism and the Future of Neurodiversity</t>
  </si>
  <si>
    <t>Steve Silberman</t>
  </si>
  <si>
    <t>Silberman, Steve</t>
  </si>
  <si>
    <t>Avery/Penguin Random House LLC</t>
  </si>
  <si>
    <t>A Civil Action</t>
  </si>
  <si>
    <t>Jonathan Harr</t>
  </si>
  <si>
    <t>Harr, Jonathan</t>
  </si>
  <si>
    <t>to-read (#22)</t>
  </si>
  <si>
    <t>Unstrange Minds: Remapping the World of Autism</t>
  </si>
  <si>
    <t>Roy Richard Grinker</t>
  </si>
  <si>
    <t>Grinker, Roy Richard</t>
  </si>
  <si>
    <t>to-read (#21)</t>
  </si>
  <si>
    <t>Just Kids: Die Geschichte einer Freundschaft</t>
  </si>
  <si>
    <t>Patti Smith</t>
  </si>
  <si>
    <t>Smith, Patti</t>
  </si>
  <si>
    <t>Fischer Taschenbuch Verlag</t>
  </si>
  <si>
    <t>The Mustard Seed: The Gnostic Teachings of Jesus The Mystic</t>
  </si>
  <si>
    <t>Element</t>
  </si>
  <si>
    <t>I Am Malala: The Story of the Girl Who Stood Up for Education and Was Shot by the Taliban</t>
  </si>
  <si>
    <t>Malala Yousafzai</t>
  </si>
  <si>
    <t>Pakista</t>
  </si>
  <si>
    <t>Yousafzai, Malala</t>
  </si>
  <si>
    <t>Christina Lamb</t>
  </si>
  <si>
    <t>Medea</t>
  </si>
  <si>
    <t>Euripides</t>
  </si>
  <si>
    <t>Euripides, Euripides</t>
  </si>
  <si>
    <t>Rex Warner</t>
  </si>
  <si>
    <t>Dover Publications</t>
  </si>
  <si>
    <t>Electra</t>
  </si>
  <si>
    <t>Janet Lempke</t>
  </si>
  <si>
    <t>J. Michael Walton, Marianne  MacDonald</t>
  </si>
  <si>
    <t>Nick Hern Books</t>
  </si>
  <si>
    <t>The Man Who Wasn't There: Investigations into the Strange New Science of the Self</t>
  </si>
  <si>
    <t>Anil Ananthaswamy</t>
  </si>
  <si>
    <t>Ananthaswamy, Anil</t>
  </si>
  <si>
    <t>Dutton</t>
  </si>
  <si>
    <t>to-read (#20)</t>
  </si>
  <si>
    <t>Les gens dans l'enveloppe</t>
  </si>
  <si>
    <t>Isabelle Monnin</t>
  </si>
  <si>
    <t>Monnin, Isabelle</t>
  </si>
  <si>
    <t>to-read (#19)</t>
  </si>
  <si>
    <t>Caring Economics: Conversations on Altruism and Compassion, Between Scientists, Economists, and the Dalai Lama</t>
  </si>
  <si>
    <t>Tania Singer</t>
  </si>
  <si>
    <t>Singer, Tania</t>
  </si>
  <si>
    <t>Matthieu Ricard, Dalai Lama XIV</t>
  </si>
  <si>
    <t>Picador</t>
  </si>
  <si>
    <t>Look Who's Back</t>
  </si>
  <si>
    <t>Timur Vermes</t>
  </si>
  <si>
    <t>Vermes, Timur</t>
  </si>
  <si>
    <t>Jamie Bulloch</t>
  </si>
  <si>
    <t>MacLehose Press</t>
  </si>
  <si>
    <t>Autobiography of a Yogi</t>
  </si>
  <si>
    <t>Paramahansa Yogananda</t>
  </si>
  <si>
    <t>Yogananda, Paramahansa</t>
  </si>
  <si>
    <t>Self-Realization Fellowship</t>
  </si>
  <si>
    <t>Light on Yoga</t>
  </si>
  <si>
    <t>B.K.S. Iyengar</t>
  </si>
  <si>
    <t>Iyengar, B.K.S.</t>
  </si>
  <si>
    <t>Yehudi Menuhin</t>
  </si>
  <si>
    <t>Schocken Books Inc</t>
  </si>
  <si>
    <t>A Practical Guide To Know Yourself:  Conversations With Sri Ramana Maharshi</t>
  </si>
  <si>
    <t>Ramana Maharshi</t>
  </si>
  <si>
    <t>Maharshi, Ramana</t>
  </si>
  <si>
    <t>A.R. Natarajan</t>
  </si>
  <si>
    <t>Ramana Maharshi Centre for Learning</t>
  </si>
  <si>
    <t>Predictably Irrational: The Hidden Forces That Shape Our Decisions</t>
  </si>
  <si>
    <t>Dan Ariely</t>
  </si>
  <si>
    <t>Ariely, Dan</t>
  </si>
  <si>
    <t>HarperCollins Canada</t>
  </si>
  <si>
    <t>Thinking, Fast and Slow</t>
  </si>
  <si>
    <t>Daniel Kahneman</t>
  </si>
  <si>
    <t>Kahneman, Daniel</t>
  </si>
  <si>
    <t>Putting Chronic Fatigue To Rest: Treating Chronic Fatigue and Chronic Fatigue Syndrome with Maharishi Ayurveda</t>
  </si>
  <si>
    <t>Kumuda Reddy</t>
  </si>
  <si>
    <t>Reddy, Kumuda</t>
  </si>
  <si>
    <t>BookSurge Publishing</t>
  </si>
  <si>
    <t>The Four Agreements: A Practical Guide to Personal Freedom</t>
  </si>
  <si>
    <t>Miguel Ruiz</t>
  </si>
  <si>
    <t>Mexico</t>
  </si>
  <si>
    <t>Ruiz, Miguel</t>
  </si>
  <si>
    <t>Amber-Allen Publishing</t>
  </si>
  <si>
    <t>Uncle Tom's Cabin</t>
  </si>
  <si>
    <t>Harriet Beecher Stowe</t>
  </si>
  <si>
    <t>Stowe, Harriet Beecher</t>
  </si>
  <si>
    <t>Wordsworth Classics</t>
  </si>
  <si>
    <t>Snow</t>
  </si>
  <si>
    <t>Orhan Pamuk</t>
  </si>
  <si>
    <t>Turkey</t>
  </si>
  <si>
    <t>Pamuk, Orhan</t>
  </si>
  <si>
    <t>Faber and Faber</t>
  </si>
  <si>
    <t>The Satanic Verses</t>
  </si>
  <si>
    <t>Salman Rushdie</t>
  </si>
  <si>
    <t>Rushdie, Salman</t>
  </si>
  <si>
    <t>Picador USA</t>
  </si>
  <si>
    <t>Die große Verschleierung: Für Integration, gegen Islamismus</t>
  </si>
  <si>
    <t>Alice Schwarzer</t>
  </si>
  <si>
    <t>Schwarzer, Alice</t>
  </si>
  <si>
    <t>The Pelican Brief</t>
  </si>
  <si>
    <t>John Grisham</t>
  </si>
  <si>
    <t>Grisham, John</t>
  </si>
  <si>
    <t>Island Books</t>
  </si>
  <si>
    <t>The Benefactor</t>
  </si>
  <si>
    <t>Susan Sontag</t>
  </si>
  <si>
    <t>Sontag, Susan</t>
  </si>
  <si>
    <t>Călătorie, călătorii</t>
  </si>
  <si>
    <t>Laurent Graff</t>
  </si>
  <si>
    <t>Graff, Laurent</t>
  </si>
  <si>
    <t>Mâini cuminți: copilul meu autist</t>
  </si>
  <si>
    <t>Ana Dragu</t>
  </si>
  <si>
    <t>Dragu, Ana</t>
  </si>
  <si>
    <t>Bogdan-Alexandru Stănescu</t>
  </si>
  <si>
    <t>The Name of the Rose</t>
  </si>
  <si>
    <t>Umberto Eco</t>
  </si>
  <si>
    <t>Eco, Umberto</t>
  </si>
  <si>
    <t>Mariner Books</t>
  </si>
  <si>
    <t>O iubeam</t>
  </si>
  <si>
    <t>Anna Gavalda</t>
  </si>
  <si>
    <t>Gavalda, Anna</t>
  </si>
  <si>
    <t>Editura Polirom</t>
  </si>
  <si>
    <t>The Oresteia  (Oresteia, #1-3)</t>
  </si>
  <si>
    <t>Aeschylus</t>
  </si>
  <si>
    <t>Aeschylus, Aeschylus</t>
  </si>
  <si>
    <t>Robert Fagles, William Bedell Stanford</t>
  </si>
  <si>
    <t>Penguin Books USA Inc.</t>
  </si>
  <si>
    <t>Oedip rege</t>
  </si>
  <si>
    <t>Edgar Th. Aslan</t>
  </si>
  <si>
    <t>Semne</t>
  </si>
  <si>
    <t>Notes from the Underground</t>
  </si>
  <si>
    <t>Constance Garnett</t>
  </si>
  <si>
    <t>Happiness: A Guide to Developing Life's Most Important Skill</t>
  </si>
  <si>
    <t>Matthieu Ricard</t>
  </si>
  <si>
    <t>Ricard, Matthieu</t>
  </si>
  <si>
    <t>Atlantic</t>
  </si>
  <si>
    <t>Indignez-vous !</t>
  </si>
  <si>
    <t>Stéphane Hessel</t>
  </si>
  <si>
    <t>Hessel, Stéphane</t>
  </si>
  <si>
    <t>Indigène</t>
  </si>
  <si>
    <t>Întoarcerea din rai</t>
  </si>
  <si>
    <t>Editura Rum-Irina</t>
  </si>
  <si>
    <t>Vagabonzii Dharma</t>
  </si>
  <si>
    <t>Jack Kerouac</t>
  </si>
  <si>
    <t>Kerouac, Jack</t>
  </si>
  <si>
    <t>Copii de aruncat</t>
  </si>
  <si>
    <t>Ryū Murakami</t>
  </si>
  <si>
    <t>Japan</t>
  </si>
  <si>
    <t>Murakami, Ryū</t>
  </si>
  <si>
    <t>Florin Oprina</t>
  </si>
  <si>
    <t>Stoner</t>
  </si>
  <si>
    <t>John  Williams</t>
  </si>
  <si>
    <t>Williams, John</t>
  </si>
  <si>
    <t>John McGahern</t>
  </si>
  <si>
    <t>New York Review Books</t>
  </si>
  <si>
    <t>The Monk and the Philosopher: A Father and Son Discuss the Meaning of Life</t>
  </si>
  <si>
    <t>Jean-François Revel</t>
  </si>
  <si>
    <t>Revel, Jean-François</t>
  </si>
  <si>
    <t>Schocken</t>
  </si>
  <si>
    <t>The Transcendent Unity of Religions</t>
  </si>
  <si>
    <t>Frithjof Schuon</t>
  </si>
  <si>
    <t>Schuon, Frithjof</t>
  </si>
  <si>
    <t>Huston Smith</t>
  </si>
  <si>
    <t>Quest Books</t>
  </si>
  <si>
    <t>to-read (#18)</t>
  </si>
  <si>
    <t>What Makes You Not a Buddhist</t>
  </si>
  <si>
    <t>Dzongsar Jamyang Khyentse</t>
  </si>
  <si>
    <t>Khyentse, Dzongsar Jamyang</t>
  </si>
  <si>
    <t>to-read (#17)</t>
  </si>
  <si>
    <t>L'homme révolté</t>
  </si>
  <si>
    <t>Gallimard (Folio essais)</t>
  </si>
  <si>
    <t>Between the Eyes: Essays on Photography and Politics</t>
  </si>
  <si>
    <t>David Levi Strauss</t>
  </si>
  <si>
    <t>Strauss, David Levi</t>
  </si>
  <si>
    <t>John Berger</t>
  </si>
  <si>
    <t>Aperture</t>
  </si>
  <si>
    <t>The Mind's Eye: Writings on Photography and Photographers</t>
  </si>
  <si>
    <t>Henri Cartier-Bresson</t>
  </si>
  <si>
    <t>Cartier-Bresson, Henri</t>
  </si>
  <si>
    <t>Soumission</t>
  </si>
  <si>
    <t>Michel Houellebecq</t>
  </si>
  <si>
    <t>Houellebecq, Michel</t>
  </si>
  <si>
    <t>Flammarion</t>
  </si>
  <si>
    <t>Against Interpretation and Other Essays</t>
  </si>
  <si>
    <t>She Came to Stay</t>
  </si>
  <si>
    <t>Simone de Beauvoir</t>
  </si>
  <si>
    <t>Beauvoir, Simone de</t>
  </si>
  <si>
    <t>Flamingo</t>
  </si>
  <si>
    <t>to-read (#14)</t>
  </si>
  <si>
    <t>My Name is Red</t>
  </si>
  <si>
    <t>Erdağ M. Göknar</t>
  </si>
  <si>
    <t>Animals and Women: Feminist Theoretical Explorations</t>
  </si>
  <si>
    <t>Carol J. Adams</t>
  </si>
  <si>
    <t>Adams, Carol J.</t>
  </si>
  <si>
    <t>Josephine Donovan</t>
  </si>
  <si>
    <t>Duke University Press Books</t>
  </si>
  <si>
    <t>to-read (#13)</t>
  </si>
  <si>
    <t>Scânteia</t>
  </si>
  <si>
    <t>Kristine Barnett</t>
  </si>
  <si>
    <t>Barnett, Kristine</t>
  </si>
  <si>
    <t>Publica</t>
  </si>
  <si>
    <t>Îmblânzitorul apelor</t>
  </si>
  <si>
    <t>A.R. Deleanu</t>
  </si>
  <si>
    <t>The Great Railway Bazaar</t>
  </si>
  <si>
    <t>Paul Theroux</t>
  </si>
  <si>
    <t>Theroux, Paul</t>
  </si>
  <si>
    <t>to-read (#12)</t>
  </si>
  <si>
    <t>Crónica de uma Morte Anunciada</t>
  </si>
  <si>
    <t>Fernando Assis Pacheco</t>
  </si>
  <si>
    <t>Biblioteca Sábado</t>
  </si>
  <si>
    <t>Zorba the Greek</t>
  </si>
  <si>
    <t>Nikos Kazantzakis</t>
  </si>
  <si>
    <t>Kazantzakis, Nikos</t>
  </si>
  <si>
    <t>Carl Wildman</t>
  </si>
  <si>
    <t>Russendisko</t>
  </si>
  <si>
    <t>Wladimir Kaminer</t>
  </si>
  <si>
    <t>Kaminer, Wladimir</t>
  </si>
  <si>
    <t>Wilhelm Goldmann Verlag</t>
  </si>
  <si>
    <t>L'axe du loup: De la Sibérie à l'Inde, sur les pas des évadés du goulag</t>
  </si>
  <si>
    <t>Sylvain Tesson</t>
  </si>
  <si>
    <t>Tesson, Sylvain</t>
  </si>
  <si>
    <t>Pocket</t>
  </si>
  <si>
    <t>Heart of Darkness</t>
  </si>
  <si>
    <t>Joseph Conrad</t>
  </si>
  <si>
    <t>Conrad, Joseph</t>
  </si>
  <si>
    <t>Comment Proust peut changer votre vie</t>
  </si>
  <si>
    <t>Maryse Leynaud</t>
  </si>
  <si>
    <t>Editions 84</t>
  </si>
  <si>
    <t>Distant View of a Minaret and Other Stories</t>
  </si>
  <si>
    <t>Alifa Rifaat</t>
  </si>
  <si>
    <t>Rifaat, Alifa</t>
  </si>
  <si>
    <t>أليفة رفعت, Denys Johnson-Davies</t>
  </si>
  <si>
    <t>Heinemann Educational Books</t>
  </si>
  <si>
    <t>to-read (#11)</t>
  </si>
  <si>
    <t>The Garden of Eden</t>
  </si>
  <si>
    <t>Ernest Hemingway</t>
  </si>
  <si>
    <t>Hemingway, Ernest</t>
  </si>
  <si>
    <t>HarperCollins Publishers Ltd</t>
  </si>
  <si>
    <t>Kafka on the Shore</t>
  </si>
  <si>
    <t>Haruki Murakami</t>
  </si>
  <si>
    <t>Murakami, Haruki</t>
  </si>
  <si>
    <t>Philip Gabriel</t>
  </si>
  <si>
    <t>Through the Language Glass</t>
  </si>
  <si>
    <t>Guy Deutscher</t>
  </si>
  <si>
    <t>Deutscher, Guy</t>
  </si>
  <si>
    <t>Arrow</t>
  </si>
  <si>
    <t>Found in Translation: How Language Shapes Our Lives and Transforms the World</t>
  </si>
  <si>
    <t>Nataly Kelly</t>
  </si>
  <si>
    <t>Kelly, Nataly</t>
  </si>
  <si>
    <t>Jost Zetzsche</t>
  </si>
  <si>
    <t>TarcherPerigee</t>
  </si>
  <si>
    <t>The Power of Nothingness</t>
  </si>
  <si>
    <t>Alexandra David-Néel</t>
  </si>
  <si>
    <t>David-Néel, Alexandra</t>
  </si>
  <si>
    <t>Thorndike Press</t>
  </si>
  <si>
    <t>Au coeur des Himalayas Le Népal</t>
  </si>
  <si>
    <t>Payot et Rivages</t>
  </si>
  <si>
    <t>Les liaisons dangereuses</t>
  </si>
  <si>
    <t>Pierre Choderlos de Laclos</t>
  </si>
  <si>
    <t>Laclos, Pierre Choderlos de</t>
  </si>
  <si>
    <t>Le Livre de Poche</t>
  </si>
  <si>
    <t>Gruppenbild mit Dame</t>
  </si>
  <si>
    <t>Heinrich Böll</t>
  </si>
  <si>
    <t>Böll, Heinrich</t>
  </si>
  <si>
    <t>Deutscher Taschenbuch Verlag</t>
  </si>
  <si>
    <t>La Nausée</t>
  </si>
  <si>
    <t>Jean-Paul Sartre</t>
  </si>
  <si>
    <t>Sartre, Jean-Paul</t>
  </si>
  <si>
    <t>Editions Gallimard</t>
  </si>
  <si>
    <t>The Voynich Manuscript</t>
  </si>
  <si>
    <t>Unknown</t>
  </si>
  <si>
    <t>Unknown, Unknown</t>
  </si>
  <si>
    <t>to-read (#9)</t>
  </si>
  <si>
    <t>Flaubert's Parrot</t>
  </si>
  <si>
    <t>Julian Barnes</t>
  </si>
  <si>
    <t>Barnes, Julian</t>
  </si>
  <si>
    <t>Vintage Books</t>
  </si>
  <si>
    <t>Poems</t>
  </si>
  <si>
    <t>Allen Ginsberg</t>
  </si>
  <si>
    <t>Ginsberg, Allen</t>
  </si>
  <si>
    <t>Mark Ford</t>
  </si>
  <si>
    <t>Faber &amp; Faber</t>
  </si>
  <si>
    <t>Actors Anonymous</t>
  </si>
  <si>
    <t>James Franco</t>
  </si>
  <si>
    <t>Franco, James</t>
  </si>
  <si>
    <t>Faber  Faber</t>
  </si>
  <si>
    <t>The Doors of Perception</t>
  </si>
  <si>
    <t>Aldous Huxley</t>
  </si>
  <si>
    <t>Huxley, Aldous</t>
  </si>
  <si>
    <t>Chatto &amp; Windus</t>
  </si>
  <si>
    <t>Sindromul de panică în Orașul Luminilor</t>
  </si>
  <si>
    <t>Matei Vişniec</t>
  </si>
  <si>
    <t>Vişniec, Matei</t>
  </si>
  <si>
    <t>Crime and Punishment</t>
  </si>
  <si>
    <t>David McDuff</t>
  </si>
  <si>
    <t>Penguin</t>
  </si>
  <si>
    <t>Poésies / Une saison en enfer / Illuminations</t>
  </si>
  <si>
    <t>Arthur Rimbaud</t>
  </si>
  <si>
    <t>Rimbaud, Arthur</t>
  </si>
  <si>
    <t>Gallimard</t>
  </si>
  <si>
    <t>Broché</t>
  </si>
  <si>
    <t>Der Schatten des Fotografen</t>
  </si>
  <si>
    <t>Helmut Lethen</t>
  </si>
  <si>
    <t>Lethen, Helmut</t>
  </si>
  <si>
    <t>Rowohlt</t>
  </si>
  <si>
    <t>The Death of the Author</t>
  </si>
  <si>
    <t>Roland Barthes</t>
  </si>
  <si>
    <t>Barthes, Roland</t>
  </si>
  <si>
    <t>Explico algunas cosas : prosa y versos</t>
  </si>
  <si>
    <t>Pablo Neruda</t>
  </si>
  <si>
    <t>Chile</t>
  </si>
  <si>
    <t>Neruda, Pablo</t>
  </si>
  <si>
    <t>The Prince</t>
  </si>
  <si>
    <t>Niccolò Machiavelli</t>
  </si>
  <si>
    <t>Machiavelli, Niccolò</t>
  </si>
  <si>
    <t>Rufus Goodwin, Benjamin Martinez</t>
  </si>
  <si>
    <t>Dante University of America Press</t>
  </si>
  <si>
    <t>Camera Lucida: Reflections on Photography</t>
  </si>
  <si>
    <t>Richard Howard</t>
  </si>
  <si>
    <t>Hill and Wang</t>
  </si>
  <si>
    <t>The Adventures of Tom Sawyer</t>
  </si>
  <si>
    <t>Mark Twain</t>
  </si>
  <si>
    <t>Twain, Mark</t>
  </si>
  <si>
    <t>Guy Cardwell, John Seelye</t>
  </si>
  <si>
    <t>Point Counter Point</t>
  </si>
  <si>
    <t>Dalkey Archive Press</t>
  </si>
  <si>
    <t>One Hundred Years of Solitude</t>
  </si>
  <si>
    <t>The Happiness Project: Or Why I Spent a Year Trying to Sing in the Morning, Clean My Closets, Fight Right, Read Aristotle, and Generally Have More Fun</t>
  </si>
  <si>
    <t>Gretchen Rubin</t>
  </si>
  <si>
    <t>Rubin, Gretchen</t>
  </si>
  <si>
    <t>Portretul lui M</t>
  </si>
  <si>
    <t>Matei Călinescu</t>
  </si>
  <si>
    <t>Călinescu, Matei</t>
  </si>
  <si>
    <t>The Pursuit of Unhappiness: The Elusive Psychology of Well-Being</t>
  </si>
  <si>
    <t>Daniel M. Haybron</t>
  </si>
  <si>
    <t>Haybron, Daniel M.</t>
  </si>
  <si>
    <t>to-read (#7)</t>
  </si>
  <si>
    <t>Between Heaven &amp; Hell</t>
  </si>
  <si>
    <t>Peter Kreeft</t>
  </si>
  <si>
    <t>Kreeft, Peter</t>
  </si>
  <si>
    <t>InterVarsity Press</t>
  </si>
  <si>
    <t>to-read (#6)</t>
  </si>
  <si>
    <t>Siddhartha</t>
  </si>
  <si>
    <t>Hermann Hesse</t>
  </si>
  <si>
    <t>Hesse, Hermann</t>
  </si>
  <si>
    <t>Suhrkamp Verlag</t>
  </si>
  <si>
    <t>Le Malade imaginaire</t>
  </si>
  <si>
    <t>Molière</t>
  </si>
  <si>
    <t>Molière, Molière</t>
  </si>
  <si>
    <t>Larousse</t>
  </si>
  <si>
    <t>Ecce Homo - Wie man wird, was man ist</t>
  </si>
  <si>
    <t>Friedrich Nietzsche</t>
  </si>
  <si>
    <t>Nietzsche, Friedrich</t>
  </si>
  <si>
    <t>Anaconda</t>
  </si>
  <si>
    <t>Der Spieler. Aus den Aufzeichnungen eines jungen Mannes</t>
  </si>
  <si>
    <t>Hermann Röhl</t>
  </si>
  <si>
    <t>The Odyssey</t>
  </si>
  <si>
    <t>Homer</t>
  </si>
  <si>
    <t>Homer, Homer</t>
  </si>
  <si>
    <t>Robert Fagles, Bernard Knox</t>
  </si>
  <si>
    <t>Wofür es sich zu leben lohnt: Elemente materialistischer Philosophie</t>
  </si>
  <si>
    <t>Robert Pfaller</t>
  </si>
  <si>
    <t>Pfaller, Robert</t>
  </si>
  <si>
    <t>S. Fischer</t>
  </si>
  <si>
    <t>The Flowers of Evil</t>
  </si>
  <si>
    <t>Charles Baudelaire</t>
  </si>
  <si>
    <t>Baudelaire, Charles</t>
  </si>
  <si>
    <t>Keith Waldrop</t>
  </si>
  <si>
    <t>Wesleyan</t>
  </si>
  <si>
    <t>Washington Square</t>
  </si>
  <si>
    <t>Henry James</t>
  </si>
  <si>
    <t>James, Henry</t>
  </si>
  <si>
    <t>Daisy Miller</t>
  </si>
  <si>
    <t>The Murders in the Rue Morgue</t>
  </si>
  <si>
    <t>The Communist Manifesto</t>
  </si>
  <si>
    <t>Karl Marx</t>
  </si>
  <si>
    <t>Marx, Karl</t>
  </si>
  <si>
    <t>Friedrich Engels, Gareth Stedman Jones</t>
  </si>
  <si>
    <t>Iona</t>
  </si>
  <si>
    <t>Marin Sorescu</t>
  </si>
  <si>
    <t>Sorescu, Marin</t>
  </si>
  <si>
    <t>Fundația Marin Sorescu</t>
  </si>
  <si>
    <t>Tinereţe fără bătrâneţe şi viaţă fără de moarte</t>
  </si>
  <si>
    <t>Petre Ispirescu</t>
  </si>
  <si>
    <t>Ispirescu, Petre</t>
  </si>
  <si>
    <t>Ioan Iacob</t>
  </si>
  <si>
    <t>The Art of Loving</t>
  </si>
  <si>
    <t>Erich Fromm</t>
  </si>
  <si>
    <t>Fromm, Erich</t>
  </si>
  <si>
    <t>HarperCollins Publishers</t>
  </si>
  <si>
    <t>Le mur</t>
  </si>
  <si>
    <t>Folio</t>
  </si>
  <si>
    <t>Tiere essen</t>
  </si>
  <si>
    <t>Jonathan Safran Foer</t>
  </si>
  <si>
    <t>Foer, Jonathan Safran</t>
  </si>
  <si>
    <t>Fischer (Tb.)</t>
  </si>
  <si>
    <t>The Respectful Prostitute</t>
  </si>
  <si>
    <t>Adam's Tongue: How Humans Made Language, How Language Made Humans</t>
  </si>
  <si>
    <t>Derek Bickerton</t>
  </si>
  <si>
    <t>Bickerton, Derek</t>
  </si>
  <si>
    <t>The Shining (The Shining, #1)</t>
  </si>
  <si>
    <t>Stephen King</t>
  </si>
  <si>
    <t>King, Stephen</t>
  </si>
  <si>
    <t>New English Library (Hodder &amp; Stoughton)</t>
  </si>
  <si>
    <t>Carrie</t>
  </si>
  <si>
    <t>Pocket Books</t>
  </si>
  <si>
    <t>The Basic Laws of Human Stupidity</t>
  </si>
  <si>
    <t>Carlo M. Cipolla</t>
  </si>
  <si>
    <t>Cipolla, Carlo M.</t>
  </si>
  <si>
    <t>Società editrice il Mulino</t>
  </si>
  <si>
    <t>L'amour dure trois ans (Marc Marronnier, #3)</t>
  </si>
  <si>
    <t>Frédéric Beigbeder</t>
  </si>
  <si>
    <t>Beigbeder, Frédéric</t>
  </si>
  <si>
    <t>The Crowd: A Study of the Popular Mind</t>
  </si>
  <si>
    <t>Gustave Le Bon</t>
  </si>
  <si>
    <t>Bon, Gustave Le</t>
  </si>
  <si>
    <t>Maps of the Imagination: The Writer as Cartographer</t>
  </si>
  <si>
    <t>Peter Turchi</t>
  </si>
  <si>
    <t>Turchi, Peter</t>
  </si>
  <si>
    <t>Trinity University Press</t>
  </si>
  <si>
    <t>to-read (#5)</t>
  </si>
  <si>
    <t>The Anatomy of Being</t>
  </si>
  <si>
    <t>Shinji Moon</t>
  </si>
  <si>
    <t>Moon, Shinji</t>
  </si>
  <si>
    <t>to-read (#4)</t>
  </si>
  <si>
    <t>The Waste Land</t>
  </si>
  <si>
    <t>T.S. Eliot</t>
  </si>
  <si>
    <t>Eliot, T.S.</t>
  </si>
  <si>
    <t>Michael North</t>
  </si>
  <si>
    <t>W.W. Norton &amp; Company</t>
  </si>
  <si>
    <t>Mizeria. Antibiografie</t>
  </si>
  <si>
    <t>Wojciech Kuczok</t>
  </si>
  <si>
    <t>Poland</t>
  </si>
  <si>
    <t>Kuczok, Wojciech</t>
  </si>
  <si>
    <t>Constantin Geambașu</t>
  </si>
  <si>
    <t>You Are Not So Smart: Why You Have Too Many Friends on Facebook, Why Your Memory Is Mostly Fiction, and 46 Other Ways You're Deluding Yourself</t>
  </si>
  <si>
    <t>David McRaney</t>
  </si>
  <si>
    <t>McRaney, David</t>
  </si>
  <si>
    <t>Oneworld Publications</t>
  </si>
  <si>
    <t>Women, Fire, and Dangerous Things: What Categories Reveal About the Mind</t>
  </si>
  <si>
    <t>University of Chicago Press</t>
  </si>
  <si>
    <t>The Infidelity Chain</t>
  </si>
  <si>
    <t>Tess Stimson</t>
  </si>
  <si>
    <t>Stimson, Tess</t>
  </si>
  <si>
    <t>Pan Publishing</t>
  </si>
  <si>
    <t>The Reason I Jump: The Inner Voice of a Thirteen-Year-Old Boy with Autism</t>
  </si>
  <si>
    <t>Naoki Higashida</t>
  </si>
  <si>
    <t>Higashida, Naoki</t>
  </si>
  <si>
    <t>K.A. Yoshida, David Mitchell</t>
  </si>
  <si>
    <t>Candide ou l'optimisme</t>
  </si>
  <si>
    <t>Voltaire</t>
  </si>
  <si>
    <t>Voltaire, Voltaire</t>
  </si>
  <si>
    <t>The Righteous Mind: Why Good People Are Divided by Politics and Religion</t>
  </si>
  <si>
    <t>Jonathan Haidt</t>
  </si>
  <si>
    <t>Haidt, Jonathan</t>
  </si>
  <si>
    <t>Politics and the English Language</t>
  </si>
  <si>
    <t>George Orwell</t>
  </si>
  <si>
    <t>Orwell, George</t>
  </si>
  <si>
    <t>Whatever It Is, I Don't Like It</t>
  </si>
  <si>
    <t>Howard Jacobson</t>
  </si>
  <si>
    <t>Jacobson, Howard</t>
  </si>
  <si>
    <t>Les Enfants terribles</t>
  </si>
  <si>
    <t>Jean Cocteau</t>
  </si>
  <si>
    <t>Cocteau, Jean</t>
  </si>
  <si>
    <t>Namaste. Un roman de aventuri spirituale in Nepal</t>
  </si>
  <si>
    <t>Sega (Octavian Segărceanu)</t>
  </si>
  <si>
    <t>Segărceanu), Sega (Octavian</t>
  </si>
  <si>
    <t>Steppenwolf</t>
  </si>
  <si>
    <t>Basil Creighton</t>
  </si>
  <si>
    <t>A Perfect Day for Bananafish</t>
  </si>
  <si>
    <t>J.D. Salinger</t>
  </si>
  <si>
    <t>Salinger, J.D.</t>
  </si>
  <si>
    <t>Steaua fără nume</t>
  </si>
  <si>
    <t>Mihail Sebastian</t>
  </si>
  <si>
    <t>Sebastian, Mihail</t>
  </si>
  <si>
    <t>Blassco</t>
  </si>
  <si>
    <t>Doce cuentos peregrinos</t>
  </si>
  <si>
    <t>Debolsillo</t>
  </si>
  <si>
    <t>The Upside of Irrationality: The Unexpected Benefits of Defying Logic</t>
  </si>
  <si>
    <t>The Hobbit</t>
  </si>
  <si>
    <t>J.R.R. Tolkien</t>
  </si>
  <si>
    <t>Tolkien, J.R.R.</t>
  </si>
  <si>
    <t>Houghton Mifflin</t>
  </si>
  <si>
    <t>The Importance of Being Earnest</t>
  </si>
  <si>
    <t>Oscar Wilde</t>
  </si>
  <si>
    <t>Wilde, Oscar</t>
  </si>
  <si>
    <t>Prestwick House Inc.</t>
  </si>
  <si>
    <t>The Five People You Meet in Heaven</t>
  </si>
  <si>
    <t>Mitch Albom</t>
  </si>
  <si>
    <t>Albom, Mitch</t>
  </si>
  <si>
    <t>Hyperion</t>
  </si>
  <si>
    <t>The Prime of Miss Jean Brodie</t>
  </si>
  <si>
    <t>Muriel Spark</t>
  </si>
  <si>
    <t>Spark, Muriel</t>
  </si>
  <si>
    <t>Novel with Cocaine</t>
  </si>
  <si>
    <t>M. Ageyev</t>
  </si>
  <si>
    <t>Ageyev, M.</t>
  </si>
  <si>
    <t>Michael Henry Heim</t>
  </si>
  <si>
    <t>Northwestern University Press</t>
  </si>
  <si>
    <t>Diary of a Genius</t>
  </si>
  <si>
    <t>Salvador Dalí</t>
  </si>
  <si>
    <t>Spain</t>
  </si>
  <si>
    <t>Dalí, Salvador</t>
  </si>
  <si>
    <t>J.G. Ballard</t>
  </si>
  <si>
    <t>Solar Books</t>
  </si>
  <si>
    <t>Generation X: Tales for an Accelerated Culture</t>
  </si>
  <si>
    <t>Douglas Coupland</t>
  </si>
  <si>
    <t>Canada</t>
  </si>
  <si>
    <t>Coupland, Douglas</t>
  </si>
  <si>
    <t>Abacus</t>
  </si>
  <si>
    <t>Junky</t>
  </si>
  <si>
    <t>Oliver  Harris, Allen Ginsberg</t>
  </si>
  <si>
    <t>Saturday</t>
  </si>
  <si>
    <t>Ian McEwan</t>
  </si>
  <si>
    <t>McEwan, Ian</t>
  </si>
  <si>
    <t>Namaste. Un roman de aventuri spirituale în India</t>
  </si>
  <si>
    <t>Free Will</t>
  </si>
  <si>
    <t>Sam Harris</t>
  </si>
  <si>
    <t>Harris, Sam</t>
  </si>
  <si>
    <t>Insecte</t>
  </si>
  <si>
    <t>Claire Castillon</t>
  </si>
  <si>
    <t>Castillon, Claire</t>
  </si>
  <si>
    <t>Fayard</t>
  </si>
  <si>
    <t>Beasts of No Nation</t>
  </si>
  <si>
    <t>Uzodinma Iweala</t>
  </si>
  <si>
    <t>Iweala, Uzodinma</t>
  </si>
  <si>
    <t>Black Mass: Apocalyptic Religion and the Death of Utopia</t>
  </si>
  <si>
    <t>John N. Gray</t>
  </si>
  <si>
    <t>Gray, John N.</t>
  </si>
  <si>
    <t>Wired for Culture: Origins of the Human Social Mind</t>
  </si>
  <si>
    <t>Mark Pagel</t>
  </si>
  <si>
    <t>Pagel, Mark</t>
  </si>
  <si>
    <t>to-read (#3)</t>
  </si>
  <si>
    <t>The Gettysburg Address</t>
  </si>
  <si>
    <t>Abraham Lincoln</t>
  </si>
  <si>
    <t>Lincoln, Abraham</t>
  </si>
  <si>
    <t>Michael McCurdy</t>
  </si>
  <si>
    <t>HMH Books for Young Readers</t>
  </si>
  <si>
    <t>Huis Clos</t>
  </si>
  <si>
    <t>Pearson</t>
  </si>
  <si>
    <t>Six Impossible Things Before Breakfast: The Evolutionary Origins of Belief</t>
  </si>
  <si>
    <t>Lewis Wolpert</t>
  </si>
  <si>
    <t>Wolpert, Lewis</t>
  </si>
  <si>
    <t>to-read (#2)</t>
  </si>
  <si>
    <t>The World Until Yesterday: What Can We Learn from Traditional Societies?</t>
  </si>
  <si>
    <t>Jared Diamond</t>
  </si>
  <si>
    <t>Diamond, Jared</t>
  </si>
  <si>
    <t>Anna Karenina</t>
  </si>
  <si>
    <t>Leo Tolstoy</t>
  </si>
  <si>
    <t>Tolstoy, Leo</t>
  </si>
  <si>
    <t>Aylmer Maude, Louise Maude</t>
  </si>
  <si>
    <t>Tales of Mystery and Imagination</t>
  </si>
  <si>
    <t>Gary Kelley</t>
  </si>
  <si>
    <t>Creative Editions</t>
  </si>
  <si>
    <t>Ennemis publics</t>
  </si>
  <si>
    <t>Bernard-Henri Lévy</t>
  </si>
  <si>
    <t>Encore Une Journée Pourrie Ou 365 Bonnes Raisons De Rester Au Lit</t>
  </si>
  <si>
    <t>Pierre Enckell</t>
  </si>
  <si>
    <t>Finland</t>
  </si>
  <si>
    <t>Enckell, Pierre</t>
  </si>
  <si>
    <t>Contemporary French Fiction</t>
  </si>
  <si>
    <t>Animal Liberation</t>
  </si>
  <si>
    <t>Ecco Press</t>
  </si>
  <si>
    <t>Women</t>
  </si>
  <si>
    <t>Charles Bukowski</t>
  </si>
  <si>
    <t>Bukowski, Charles</t>
  </si>
  <si>
    <t>Cel mai iubit dintre pământeni</t>
  </si>
  <si>
    <t>Marin Preda</t>
  </si>
  <si>
    <t>Preda, Marin</t>
  </si>
  <si>
    <t>Editura Cartex Serv</t>
  </si>
  <si>
    <t>Opernball</t>
  </si>
  <si>
    <t>Josef Haslinger</t>
  </si>
  <si>
    <t>Haslinger, Josef</t>
  </si>
  <si>
    <t>Fischer</t>
  </si>
  <si>
    <t>Willpower: Rediscovering the Greatest Human Strength</t>
  </si>
  <si>
    <t>Roy F. Baumeister</t>
  </si>
  <si>
    <t>Baumeister, Roy F.</t>
  </si>
  <si>
    <t>John Tierney</t>
  </si>
  <si>
    <t>Penguin Press</t>
  </si>
  <si>
    <t>Some We Love, Some We Hate, Some We Eat: Why It's So Hard to Think Straight About Animals</t>
  </si>
  <si>
    <t>Hal Herzog</t>
  </si>
  <si>
    <t>Herzog, Hal</t>
  </si>
  <si>
    <t>to-read (#1)</t>
  </si>
  <si>
    <t>The Divine Child</t>
  </si>
  <si>
    <t>Pascal Bruckner</t>
  </si>
  <si>
    <t>Bruckner, Pascal</t>
  </si>
  <si>
    <t>Joachim Neugroschel</t>
  </si>
  <si>
    <t>Little Brown and Company</t>
  </si>
  <si>
    <t>O să vină și primăvara, Bandini</t>
  </si>
  <si>
    <t>John Fante</t>
  </si>
  <si>
    <t>Fante, John</t>
  </si>
  <si>
    <t>Vali Florescu</t>
  </si>
  <si>
    <t>Humanitas Fiction</t>
  </si>
  <si>
    <t>The Buddha of Suburbia</t>
  </si>
  <si>
    <t>Hanif Kureishi</t>
  </si>
  <si>
    <t>Kureishi, Hanif</t>
  </si>
  <si>
    <t>To Kill a Mockingbird</t>
  </si>
  <si>
    <t>Harper Lee</t>
  </si>
  <si>
    <t>Lee, Harper</t>
  </si>
  <si>
    <t>The Happiness Hypothesis: Putting Ancient Wisdom to the Test of Modern Science</t>
  </si>
  <si>
    <t>Dedesubt este infernul</t>
  </si>
  <si>
    <t>Editura Univers</t>
  </si>
  <si>
    <t>The Political Mind: A Cognitive Scientist's Guide to Your Brain and Its Politics</t>
  </si>
  <si>
    <t>Zwischenstationen</t>
  </si>
  <si>
    <t>Vladimir Vertlib</t>
  </si>
  <si>
    <t>Vertlib, Vladimir</t>
  </si>
  <si>
    <t>Deuticke</t>
  </si>
  <si>
    <t>The Idiot</t>
  </si>
  <si>
    <t>Constance Garnett, Alan Myers, Joseph Frank, Anna Brailovsky</t>
  </si>
  <si>
    <t>About a Boy</t>
  </si>
  <si>
    <t>Nick Hornby</t>
  </si>
  <si>
    <t>Hornby, Nick</t>
  </si>
  <si>
    <t>Le Docteur Pascal (Les Rougon-Macquart, #20)</t>
  </si>
  <si>
    <t>Émile Zola</t>
  </si>
  <si>
    <t>Zola, Émile</t>
  </si>
  <si>
    <t>Ulysses</t>
  </si>
  <si>
    <t>James Joyce</t>
  </si>
  <si>
    <t>Joyce, James</t>
  </si>
  <si>
    <t>Morris L. Ernst, John M. Woolsey</t>
  </si>
  <si>
    <t>Interkulturelle Kommunikation: Missverstandnisse Und Verstandigung</t>
  </si>
  <si>
    <t>Edith Broszinsky-Schwabe</t>
  </si>
  <si>
    <t>Broszinsky-Schwabe, Edith</t>
  </si>
  <si>
    <t>Vs Verlag Fur Sozialwissenschaften</t>
  </si>
  <si>
    <t>Cartea gesturilor europene</t>
  </si>
  <si>
    <t>Peter Collett</t>
  </si>
  <si>
    <t>Collett, Peter</t>
  </si>
  <si>
    <t>Green Integer</t>
  </si>
  <si>
    <t>The Adventures of Huckleberry Finn</t>
  </si>
  <si>
    <t>Frankenstein</t>
  </si>
  <si>
    <t>Mary Wollstonecraft Shelley</t>
  </si>
  <si>
    <t>Shelley, Mary Wollstonecraft</t>
  </si>
  <si>
    <t>Percy Bysshe Shelley, Maurice Hindle</t>
  </si>
  <si>
    <t>The Scarlet Letter</t>
  </si>
  <si>
    <t>Nathaniel Hawthorne</t>
  </si>
  <si>
    <t>Hawthorne, Nathaniel</t>
  </si>
  <si>
    <t>Thomas E. Connolly, Nina Baym</t>
  </si>
  <si>
    <t>Far From the Madding Crowd</t>
  </si>
  <si>
    <t>Thomas Hardy</t>
  </si>
  <si>
    <t>Hardy, Thomas</t>
  </si>
  <si>
    <t>Rosemarie Morgan, Shannon Russell</t>
  </si>
  <si>
    <t>The Portrait of a Lady</t>
  </si>
  <si>
    <t>Patricia Crick</t>
  </si>
  <si>
    <t>The Old Man and the Sea</t>
  </si>
  <si>
    <t>Perfume: The Story of a Murderer</t>
  </si>
  <si>
    <t>Patrick Süskind</t>
  </si>
  <si>
    <t>Süskind, Patrick</t>
  </si>
  <si>
    <t>John E. Woods</t>
  </si>
  <si>
    <t>Trois Jours chez ma mère</t>
  </si>
  <si>
    <t>François Weyergans</t>
  </si>
  <si>
    <t>Weyergans, François</t>
  </si>
  <si>
    <t>Grasset</t>
  </si>
  <si>
    <t>Ecstasy</t>
  </si>
  <si>
    <t>Mihaela Butnaru</t>
  </si>
  <si>
    <t>Artemis Fowl (Artemis Fowl, #1)</t>
  </si>
  <si>
    <t>Eoin Colfer</t>
  </si>
  <si>
    <t>Colfer, Eoin</t>
  </si>
  <si>
    <t>Fahrenheit 451</t>
  </si>
  <si>
    <t>Ray Bradbury</t>
  </si>
  <si>
    <t>Bradbury, Ray</t>
  </si>
  <si>
    <t>Alfredo Crespo</t>
  </si>
  <si>
    <t>DeBolsillo</t>
  </si>
  <si>
    <t>The Invisible Man</t>
  </si>
  <si>
    <t>H.G. Wells</t>
  </si>
  <si>
    <t>Wells, H.G.</t>
  </si>
  <si>
    <t>Signet Classics</t>
  </si>
  <si>
    <t>Eat, Pray, Love</t>
  </si>
  <si>
    <t>Elizabeth Gilbert</t>
  </si>
  <si>
    <t>Gilbert, Elizabeth</t>
  </si>
  <si>
    <t>Teen Spirit</t>
  </si>
  <si>
    <t>Virginie Despentes</t>
  </si>
  <si>
    <t>Despentes, Virginie</t>
  </si>
  <si>
    <t>J'ai lu</t>
  </si>
  <si>
    <t>Fury</t>
  </si>
  <si>
    <t>Viața pe un peron</t>
  </si>
  <si>
    <t>Octavian Paler</t>
  </si>
  <si>
    <t>Paler, Octavian</t>
  </si>
  <si>
    <t>The Anomalies</t>
  </si>
  <si>
    <t>Joey Goebel</t>
  </si>
  <si>
    <t>Goebel, Joey</t>
  </si>
  <si>
    <t>MacAdam/Cage Publishing</t>
  </si>
  <si>
    <t>Delirio</t>
  </si>
  <si>
    <t>Laura Restrepo</t>
  </si>
  <si>
    <t>Restrepo, Laura</t>
  </si>
  <si>
    <t>Alfaguara</t>
  </si>
  <si>
    <t>Ultima noapte de dragoste, întâia noapte de război</t>
  </si>
  <si>
    <t>Camil Petrescu</t>
  </si>
  <si>
    <t>Petrescu, Camil</t>
  </si>
  <si>
    <t>Gramar</t>
  </si>
  <si>
    <t>De ce iubim femeile</t>
  </si>
  <si>
    <t>Enigma Otiliei</t>
  </si>
  <si>
    <t>George Călinescu</t>
  </si>
  <si>
    <t>Călinescu, George</t>
  </si>
  <si>
    <t>Dracula</t>
  </si>
  <si>
    <t>Bram Stoker</t>
  </si>
  <si>
    <t>Stoker, Bram</t>
  </si>
  <si>
    <t>Nina Auerbach, David J. Skal</t>
  </si>
  <si>
    <t>Norton</t>
  </si>
  <si>
    <t>Stupeur et tremblements</t>
  </si>
  <si>
    <t>Hideous Kinky</t>
  </si>
  <si>
    <t>Esther Freud</t>
  </si>
  <si>
    <t>Freud, Esther</t>
  </si>
  <si>
    <t>The Remains of the Day</t>
  </si>
  <si>
    <t>Kazuo Ishiguro</t>
  </si>
  <si>
    <t>Ishiguro, Kazuo</t>
  </si>
  <si>
    <t>The Virgin Blue</t>
  </si>
  <si>
    <t>Tracy Chevalier</t>
  </si>
  <si>
    <t>Chevalier, Tracy</t>
  </si>
  <si>
    <t>Among Other Things, I've Taken Up Smoking</t>
  </si>
  <si>
    <t>Aoibheann Sweeney</t>
  </si>
  <si>
    <t>Sweeney, Aoibheann</t>
  </si>
  <si>
    <t>Penguin Press HC, The</t>
  </si>
  <si>
    <t>Nocturnes: Five Stories of Music and Nightfall</t>
  </si>
  <si>
    <t>Knopf Canada</t>
  </si>
  <si>
    <t>Slaap!</t>
  </si>
  <si>
    <t>Annelies Verbeke</t>
  </si>
  <si>
    <t>Belgium</t>
  </si>
  <si>
    <t>Verbeke, Annelies</t>
  </si>
  <si>
    <t>De Geus</t>
  </si>
  <si>
    <t>All Men Are Mortal</t>
  </si>
  <si>
    <t>Maitreyi</t>
  </si>
  <si>
    <t>The English Patient</t>
  </si>
  <si>
    <t>Michael Ondaatje</t>
  </si>
  <si>
    <t>Sri Lanka</t>
  </si>
  <si>
    <t>Ondaatje, Michael</t>
  </si>
  <si>
    <t>McClelland &amp; Stewart</t>
  </si>
  <si>
    <t>Jonathan Livingston Seagull</t>
  </si>
  <si>
    <t>Richard Bach</t>
  </si>
  <si>
    <t>Bach, Richard</t>
  </si>
  <si>
    <t>Russell Munson</t>
  </si>
  <si>
    <t>In Arcadia</t>
  </si>
  <si>
    <t>Ben Okri</t>
  </si>
  <si>
    <t>Nigeria</t>
  </si>
  <si>
    <t>Okri, Ben</t>
  </si>
  <si>
    <t>Orion</t>
  </si>
  <si>
    <t>Le Roman de l'adolescent myope</t>
  </si>
  <si>
    <t>Irina Mavrodin</t>
  </si>
  <si>
    <t>Actes Sud</t>
  </si>
  <si>
    <t>La ţigănci &amp; Pe strada Mîntuleasa The Gypsy / Mîntuleasa Street</t>
  </si>
  <si>
    <t>Noaptea de Sânziene</t>
  </si>
  <si>
    <t>Litera</t>
  </si>
  <si>
    <t>Secretul doctorului Honigberger. Nopţi la Serampore</t>
  </si>
  <si>
    <t>All the President's Men</t>
  </si>
  <si>
    <t>Carl Bernstein</t>
  </si>
  <si>
    <t>Bernstein, Carl</t>
  </si>
  <si>
    <t>Bob Woodward</t>
  </si>
  <si>
    <t>The Da Vinci Code (Robert Langdon, #2)</t>
  </si>
  <si>
    <t>Dan Brown</t>
  </si>
  <si>
    <t>Brown, Dan</t>
  </si>
  <si>
    <t>Everything Is Illuminated</t>
  </si>
  <si>
    <t>The Zahir</t>
  </si>
  <si>
    <t>Paulo Coelho</t>
  </si>
  <si>
    <t>Brazil</t>
  </si>
  <si>
    <t>Coelho, Paulo</t>
  </si>
  <si>
    <t>Eleven Minutes</t>
  </si>
  <si>
    <t>Am kürzeren Ende der Sonnenallee</t>
  </si>
  <si>
    <t>Thomas Brussig</t>
  </si>
  <si>
    <t>Brussig, Thomas</t>
  </si>
  <si>
    <t>Volk &amp; Welt</t>
  </si>
  <si>
    <t>Rue du Havre</t>
  </si>
  <si>
    <t>Paul Guimard</t>
  </si>
  <si>
    <t>Guimard, Paul</t>
  </si>
  <si>
    <t>The Little Girl and the Cigarette</t>
  </si>
  <si>
    <t>Benoît Duteurtre</t>
  </si>
  <si>
    <t>Duteurtre, Benoît</t>
  </si>
  <si>
    <t>Melville House</t>
  </si>
  <si>
    <t>The Godfather (Mario Puzo's Mafia)</t>
  </si>
  <si>
    <t>Mario Puzo</t>
  </si>
  <si>
    <t>Puzo, Mario</t>
  </si>
  <si>
    <t>Robert Thompson, Peter Bart</t>
  </si>
  <si>
    <t>NAL</t>
  </si>
  <si>
    <t>The Loneliness of the Long-Distance Runner</t>
  </si>
  <si>
    <t>Alan Sillitoe</t>
  </si>
  <si>
    <t>Sillitoe, Alan</t>
  </si>
  <si>
    <t>Never Let Me Go</t>
  </si>
  <si>
    <t>An Artist of the Floating World</t>
  </si>
  <si>
    <t>The Castle</t>
  </si>
  <si>
    <t>Franz Kafka</t>
  </si>
  <si>
    <t>Kafka, Franz</t>
  </si>
  <si>
    <t>Mark Harman, Regaip Minareci, Şerif Yeşilbucak</t>
  </si>
  <si>
    <t>The Trick Is to Keep Breathing</t>
  </si>
  <si>
    <t>Janice Galloway</t>
  </si>
  <si>
    <t>Galloway, Janice</t>
  </si>
  <si>
    <t>Métaphysique des tubes</t>
  </si>
  <si>
    <t>Oscar et la dame rose</t>
  </si>
  <si>
    <t>Éric-Emmanuel Schmitt</t>
  </si>
  <si>
    <t>Schmitt, Éric-Emmanuel</t>
  </si>
  <si>
    <t>Into the Wild</t>
  </si>
  <si>
    <t>Jon Krakauer</t>
  </si>
  <si>
    <t>Krakauer, Jon</t>
  </si>
  <si>
    <t>Anchor Books</t>
  </si>
  <si>
    <t>The Collector</t>
  </si>
  <si>
    <t>John Fowles</t>
  </si>
  <si>
    <t>Fowles, John</t>
  </si>
  <si>
    <t>Andrés Barba</t>
  </si>
  <si>
    <t>Life of Pi</t>
  </si>
  <si>
    <t>Yann Martel</t>
  </si>
  <si>
    <t>Martel, Yann</t>
  </si>
  <si>
    <t>Seal Books</t>
  </si>
  <si>
    <t>Amerika</t>
  </si>
  <si>
    <t>Treasure Island</t>
  </si>
  <si>
    <t>Robert Louis Stevenson</t>
  </si>
  <si>
    <t>Stevenson, Robert Louis</t>
  </si>
  <si>
    <t>Kingfisher</t>
  </si>
  <si>
    <t>The Alchemist</t>
  </si>
  <si>
    <t>Alan R. Clarke, Özdemir İnce</t>
  </si>
  <si>
    <t>HarperCollins</t>
  </si>
  <si>
    <t>The Master and Margarita</t>
  </si>
  <si>
    <t>Mikhail Bulgakov</t>
  </si>
  <si>
    <t>Bulgakov, Mikhail</t>
  </si>
  <si>
    <t>Katherine Tiernan O'Connor, Ellendea Proffer, Diana Burgin</t>
  </si>
  <si>
    <t>Vintage International</t>
  </si>
  <si>
    <t>A Christmas Carol</t>
  </si>
  <si>
    <t>Charles Dickens</t>
  </si>
  <si>
    <t>Dickens, Charles</t>
  </si>
  <si>
    <t>Bethany House Publishers</t>
  </si>
  <si>
    <t>The Trial</t>
  </si>
  <si>
    <t>Willa Muir, Edwin Muir, Max Brod</t>
  </si>
  <si>
    <t>Vintage Classics</t>
  </si>
  <si>
    <t>Breakfast at Tiffany's</t>
  </si>
  <si>
    <t>Truman Capote</t>
  </si>
  <si>
    <t>Capote, Truman</t>
  </si>
  <si>
    <t>Dubliners</t>
  </si>
  <si>
    <t>Jeri Johnson</t>
  </si>
  <si>
    <t>Heidi</t>
  </si>
  <si>
    <t>Johanna Spyri</t>
  </si>
  <si>
    <t>Spyri, Johanna</t>
  </si>
  <si>
    <t>Beverly Cleary, Angelo  Rinaldi</t>
  </si>
  <si>
    <t>Journey to the Center of the Earth (Extraordinary Voyages, #3)</t>
  </si>
  <si>
    <t>Jules Verne</t>
  </si>
  <si>
    <t>Verne, Jules</t>
  </si>
  <si>
    <t>Bantam</t>
  </si>
  <si>
    <t>A Portrait of the Artist as a Young Man</t>
  </si>
  <si>
    <t>Seamus Deane</t>
  </si>
  <si>
    <t>The War of the Worlds</t>
  </si>
  <si>
    <t>Arthur C. Clarke</t>
  </si>
  <si>
    <t>The Sound and the Fury</t>
  </si>
  <si>
    <t>William Faulkner</t>
  </si>
  <si>
    <t>Faulkner, William</t>
  </si>
  <si>
    <t>Mrs. Dalloway</t>
  </si>
  <si>
    <t>Virginia Woolf</t>
  </si>
  <si>
    <t>Woolf, Virginia</t>
  </si>
  <si>
    <t>Maureen Howard</t>
  </si>
  <si>
    <t>Around the World in Eighty Days (Extraordinary Voyages, #11)</t>
  </si>
  <si>
    <t>Michael Glencross, Brian W. Aldiss</t>
  </si>
  <si>
    <t>On the Road</t>
  </si>
  <si>
    <t>Twenty Thousand Leagues Under the Sea (Extraordinary Voyages, #6)</t>
  </si>
  <si>
    <t>Anthony Bonner</t>
  </si>
  <si>
    <t>Barnes &amp; Noble</t>
  </si>
  <si>
    <t>The Hunchback of Notre-Dame</t>
  </si>
  <si>
    <t>Victor Hugo</t>
  </si>
  <si>
    <t>Hugo, Victor</t>
  </si>
  <si>
    <t>Walter J. Cobb</t>
  </si>
  <si>
    <t>The Hound of the Baskervilles</t>
  </si>
  <si>
    <t>Arthur Conan Doyle</t>
  </si>
  <si>
    <t>Doyle, Arthur Conan</t>
  </si>
  <si>
    <t>Anne Perry, Maria Buitoni Duca, Sidney Paget</t>
  </si>
  <si>
    <t>The Adventures of Sherlock Holmes</t>
  </si>
  <si>
    <t>A Clockwork Orange</t>
  </si>
  <si>
    <t>Anthony Burgess</t>
  </si>
  <si>
    <t>Burgess, Anthony</t>
  </si>
  <si>
    <t>King Lear</t>
  </si>
  <si>
    <t>Simon  Schuster</t>
  </si>
  <si>
    <t>The Stranger</t>
  </si>
  <si>
    <t>Matthew    Ward</t>
  </si>
  <si>
    <t>Robinson Crusoe</t>
  </si>
  <si>
    <t>Daniel Defoe</t>
  </si>
  <si>
    <t>Defoe, Daniel</t>
  </si>
  <si>
    <t>Gerald McCann, Virginia Woolf</t>
  </si>
  <si>
    <t>The Metamorphosis</t>
  </si>
  <si>
    <t>Stanley Corngold</t>
  </si>
  <si>
    <t>Bantam Classics</t>
  </si>
  <si>
    <t>David Copperfield</t>
  </si>
  <si>
    <t>Jeremy Tambling</t>
  </si>
  <si>
    <t>The Strange Case of Dr. Jekyll and Mr. Hyde</t>
  </si>
  <si>
    <t>Vladimir Nabokov, Mervyn Peake, Dan Chaon</t>
  </si>
  <si>
    <t>Gulliver's Travels</t>
  </si>
  <si>
    <t>Jonathan Swift</t>
  </si>
  <si>
    <t>Swift, Jonathan</t>
  </si>
  <si>
    <t>Robert DeMaria Jr.</t>
  </si>
  <si>
    <t>The Little Prince</t>
  </si>
  <si>
    <t>Antoine de Saint-Exupéry</t>
  </si>
  <si>
    <t>Saint-Exupéry, Antoine de</t>
  </si>
  <si>
    <t>Richard Howard, Dom Marcos Barbosa, Melina Karakosta</t>
  </si>
  <si>
    <t>Harcourt, Inc.</t>
  </si>
  <si>
    <t>The Three Musketeers (The D'Artagnan Romances, #1)</t>
  </si>
  <si>
    <t>Alexandre Dumas</t>
  </si>
  <si>
    <t>Dumas, Alexandre</t>
  </si>
  <si>
    <t>Catch-22 (Catch-22, #1)</t>
  </si>
  <si>
    <t>Joseph Heller</t>
  </si>
  <si>
    <t>Heller, Joseph</t>
  </si>
  <si>
    <t>Lolita</t>
  </si>
  <si>
    <t>Vladimir Nabokov</t>
  </si>
  <si>
    <t>Nabokov, Vladimir</t>
  </si>
  <si>
    <t>Craig Raine</t>
  </si>
  <si>
    <t>The Iliad</t>
  </si>
  <si>
    <t>Robert Fagles, Frédéric Mugler, Bernard Knox</t>
  </si>
  <si>
    <t>Alice's Adventures in Wonderland &amp; Through the Looking-Glass</t>
  </si>
  <si>
    <t>Lewis Carroll</t>
  </si>
  <si>
    <t>Carroll, Lewis</t>
  </si>
  <si>
    <t>John Tenniel, Martin Gardner</t>
  </si>
  <si>
    <t>Penguin Group (USA)</t>
  </si>
  <si>
    <t>A Midsummer Night's Dream</t>
  </si>
  <si>
    <t>Barbara A. Mowat, Paul Werstine, Catherine Belsey</t>
  </si>
  <si>
    <t>Simon &amp; Schuster Paperbacks</t>
  </si>
  <si>
    <t>The Diary of a Young Girl</t>
  </si>
  <si>
    <t>Anne Frank</t>
  </si>
  <si>
    <t>Frank, Anne</t>
  </si>
  <si>
    <t>Eleanor Roosevelt, B.M. Mooyaart-Doubleday</t>
  </si>
  <si>
    <t>Brave New World</t>
  </si>
  <si>
    <t>HarperPerennial / Perennial Classics</t>
  </si>
  <si>
    <t>Les Misérables</t>
  </si>
  <si>
    <t>Lee Fahnestock, Norman MacAfee</t>
  </si>
  <si>
    <t>The Picture of Dorian Gray</t>
  </si>
  <si>
    <t>Jeffrey Eugenides</t>
  </si>
  <si>
    <t>Random House: Modern Library</t>
  </si>
  <si>
    <t>Great Expectations</t>
  </si>
  <si>
    <t>Marisa Sestino</t>
  </si>
  <si>
    <t>Emma</t>
  </si>
  <si>
    <t>Jane Austen</t>
  </si>
  <si>
    <t>Austen, Jane</t>
  </si>
  <si>
    <t>Fiona Stafford</t>
  </si>
  <si>
    <t>Of Mice and Men</t>
  </si>
  <si>
    <t>Romeo and Juliet</t>
  </si>
  <si>
    <t>Barbara A. Mowat, Paul Werstine</t>
  </si>
  <si>
    <t>Washington Square Press</t>
  </si>
  <si>
    <t>Lord of the Flies</t>
  </si>
  <si>
    <t>William Golding</t>
  </si>
  <si>
    <t>Golding, William</t>
  </si>
  <si>
    <t>Animal Farm</t>
  </si>
  <si>
    <t>New American Library</t>
  </si>
  <si>
    <t>Wuthering Heights</t>
  </si>
  <si>
    <t>Emily Brontë</t>
  </si>
  <si>
    <t>Brontë, Emily</t>
  </si>
  <si>
    <t>Richard J. Dunn, David Timson, Charlotte Brontë, Robert Heindel</t>
  </si>
  <si>
    <t>The Catcher in the Rye</t>
  </si>
  <si>
    <t>Back Bay Books</t>
  </si>
  <si>
    <t>The Great Gatsby</t>
  </si>
  <si>
    <t>Jane Eyre</t>
  </si>
  <si>
    <t>Charlotte Brontë</t>
  </si>
  <si>
    <t>Brontë, Charlotte</t>
  </si>
  <si>
    <t>Michael Mason</t>
  </si>
  <si>
    <t>Pride and Prejudice</t>
  </si>
  <si>
    <t>Anna Quindlen, Mrs. Oliphant, George Saintsbury, Mark Twain, A.C. Bradley, Walter A. Raleigh, Virginia Woolf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</si>
</sst>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thulhuChick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29"/>
    <col customWidth="1" min="3" max="3" width="2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>
        <v>3.3837817E7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t="str">
        <f>""</f>
        <v/>
      </c>
      <c r="I2" t="str">
        <f>"9786067196498"</f>
        <v>9786067196498</v>
      </c>
      <c r="J2" s="1">
        <v>3.0</v>
      </c>
      <c r="K2" s="1">
        <v>4.07</v>
      </c>
      <c r="L2" s="1" t="s">
        <v>39</v>
      </c>
      <c r="M2" s="1" t="s">
        <v>40</v>
      </c>
      <c r="N2" s="1">
        <v>512.0</v>
      </c>
      <c r="O2" s="1">
        <v>2016.0</v>
      </c>
      <c r="P2" s="1">
        <v>2011.0</v>
      </c>
      <c r="R2" s="2">
        <v>43371.0</v>
      </c>
      <c r="U2" s="1" t="s">
        <v>41</v>
      </c>
      <c r="Y2" s="1">
        <v>1.0</v>
      </c>
      <c r="AB2" s="1">
        <v>0.0</v>
      </c>
    </row>
    <row r="3">
      <c r="A3" s="1">
        <v>47668.0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H3" t="str">
        <f>"9707311150"</f>
        <v>9707311150</v>
      </c>
      <c r="I3" t="str">
        <f>"9789707311152"</f>
        <v>9789707311152</v>
      </c>
      <c r="J3" s="1">
        <v>4.0</v>
      </c>
      <c r="K3" s="1">
        <v>4.1</v>
      </c>
      <c r="L3" s="1" t="s">
        <v>47</v>
      </c>
      <c r="M3" s="1" t="s">
        <v>40</v>
      </c>
      <c r="N3" s="1">
        <v>329.0</v>
      </c>
      <c r="O3" s="1">
        <v>2006.0</v>
      </c>
      <c r="P3" s="1">
        <v>1995.0</v>
      </c>
      <c r="Q3" s="2">
        <v>43342.0</v>
      </c>
      <c r="R3" s="2">
        <v>43296.0</v>
      </c>
      <c r="U3" s="1" t="s">
        <v>41</v>
      </c>
      <c r="Y3" s="1">
        <v>1.0</v>
      </c>
      <c r="AB3" s="1">
        <v>0.0</v>
      </c>
    </row>
    <row r="4">
      <c r="A4" s="1">
        <v>1.1989435E7</v>
      </c>
      <c r="B4" s="1" t="s">
        <v>48</v>
      </c>
      <c r="C4" s="1" t="s">
        <v>49</v>
      </c>
      <c r="D4" s="1" t="s">
        <v>50</v>
      </c>
      <c r="E4" s="1" t="s">
        <v>36</v>
      </c>
      <c r="F4" s="1" t="s">
        <v>51</v>
      </c>
      <c r="H4" t="str">
        <f t="shared" ref="H4:I4" si="1">""</f>
        <v/>
      </c>
      <c r="I4" t="str">
        <f t="shared" si="1"/>
        <v/>
      </c>
      <c r="J4" s="1">
        <v>4.0</v>
      </c>
      <c r="K4" s="1">
        <v>4.41</v>
      </c>
      <c r="M4" s="1" t="s">
        <v>40</v>
      </c>
      <c r="N4" s="1">
        <v>303.0</v>
      </c>
      <c r="R4" s="2">
        <v>41169.0</v>
      </c>
      <c r="U4" s="1" t="s">
        <v>41</v>
      </c>
      <c r="Y4" s="1">
        <v>1.0</v>
      </c>
      <c r="AB4" s="1">
        <v>0.0</v>
      </c>
    </row>
    <row r="5" hidden="1">
      <c r="A5" s="1">
        <v>3018539.0</v>
      </c>
      <c r="B5" s="1" t="s">
        <v>52</v>
      </c>
      <c r="C5" s="1" t="s">
        <v>43</v>
      </c>
      <c r="D5" s="1"/>
      <c r="E5" s="1"/>
      <c r="F5" s="1" t="s">
        <v>46</v>
      </c>
      <c r="G5" s="1" t="s">
        <v>53</v>
      </c>
      <c r="H5" t="str">
        <f>"0151012741"</f>
        <v>0151012741</v>
      </c>
      <c r="I5" t="str">
        <f>"9780151012749"</f>
        <v>9780151012749</v>
      </c>
      <c r="J5" s="1">
        <v>0.0</v>
      </c>
      <c r="K5" s="1">
        <v>3.98</v>
      </c>
      <c r="L5" s="1" t="s">
        <v>54</v>
      </c>
      <c r="M5" s="1" t="s">
        <v>55</v>
      </c>
      <c r="N5" s="1">
        <v>238.0</v>
      </c>
      <c r="O5" s="1">
        <v>2008.0</v>
      </c>
      <c r="P5" s="1">
        <v>2005.0</v>
      </c>
      <c r="R5" s="2">
        <v>43268.0</v>
      </c>
      <c r="S5" s="1" t="s">
        <v>56</v>
      </c>
      <c r="T5" s="1" t="s">
        <v>57</v>
      </c>
      <c r="U5" s="1" t="s">
        <v>56</v>
      </c>
      <c r="Y5" s="1">
        <v>0.0</v>
      </c>
      <c r="AB5" s="1">
        <v>0.0</v>
      </c>
    </row>
    <row r="6" hidden="1">
      <c r="A6" s="1">
        <v>28859.0</v>
      </c>
      <c r="B6" s="1" t="s">
        <v>58</v>
      </c>
      <c r="C6" s="1" t="s">
        <v>43</v>
      </c>
      <c r="D6" s="1"/>
      <c r="E6" s="1"/>
      <c r="F6" s="1" t="s">
        <v>46</v>
      </c>
      <c r="H6" t="str">
        <f>"186046095X"</f>
        <v>186046095X</v>
      </c>
      <c r="I6" t="str">
        <f>"9781860460951"</f>
        <v>9781860460951</v>
      </c>
      <c r="J6" s="1">
        <v>0.0</v>
      </c>
      <c r="K6" s="1">
        <v>4.27</v>
      </c>
      <c r="L6" s="1" t="s">
        <v>59</v>
      </c>
      <c r="M6" s="1" t="s">
        <v>60</v>
      </c>
      <c r="N6" s="1">
        <v>341.0</v>
      </c>
      <c r="O6" s="1">
        <v>1996.0</v>
      </c>
      <c r="P6" s="1">
        <v>1991.0</v>
      </c>
      <c r="R6" s="2">
        <v>43268.0</v>
      </c>
      <c r="S6" s="1" t="s">
        <v>56</v>
      </c>
      <c r="T6" s="1" t="s">
        <v>61</v>
      </c>
      <c r="U6" s="1" t="s">
        <v>56</v>
      </c>
      <c r="Y6" s="1">
        <v>0.0</v>
      </c>
      <c r="AB6" s="1">
        <v>0.0</v>
      </c>
    </row>
    <row r="7">
      <c r="A7" s="1">
        <v>114599.0</v>
      </c>
      <c r="B7" s="1" t="s">
        <v>62</v>
      </c>
      <c r="C7" s="1" t="s">
        <v>63</v>
      </c>
      <c r="D7" s="1" t="s">
        <v>64</v>
      </c>
      <c r="E7" s="1" t="s">
        <v>65</v>
      </c>
      <c r="F7" s="1" t="s">
        <v>66</v>
      </c>
      <c r="G7" s="1" t="s">
        <v>67</v>
      </c>
      <c r="H7" t="str">
        <f>"0140447873"</f>
        <v>0140447873</v>
      </c>
      <c r="I7" t="str">
        <f>"9780140447873"</f>
        <v>9780140447873</v>
      </c>
      <c r="J7" s="1">
        <v>4.0</v>
      </c>
      <c r="K7" s="1">
        <v>4.22</v>
      </c>
      <c r="L7" s="1" t="s">
        <v>68</v>
      </c>
      <c r="M7" s="1" t="s">
        <v>40</v>
      </c>
      <c r="N7" s="1">
        <v>384.0</v>
      </c>
      <c r="O7" s="1">
        <v>2002.0</v>
      </c>
      <c r="P7" s="1">
        <v>1904.0</v>
      </c>
      <c r="R7" s="2">
        <v>43261.0</v>
      </c>
      <c r="U7" s="1" t="s">
        <v>41</v>
      </c>
      <c r="Y7" s="1">
        <v>1.0</v>
      </c>
      <c r="AB7" s="1">
        <v>0.0</v>
      </c>
    </row>
    <row r="8">
      <c r="A8" s="1">
        <v>1780947.0</v>
      </c>
      <c r="B8" s="1" t="s">
        <v>69</v>
      </c>
      <c r="C8" s="1" t="s">
        <v>70</v>
      </c>
      <c r="D8" s="1" t="s">
        <v>71</v>
      </c>
      <c r="E8" s="1" t="s">
        <v>72</v>
      </c>
      <c r="F8" s="1" t="s">
        <v>73</v>
      </c>
      <c r="G8" s="1" t="s">
        <v>74</v>
      </c>
      <c r="H8" t="str">
        <f>"3423209690"</f>
        <v>3423209690</v>
      </c>
      <c r="I8" t="str">
        <f>"9783423209694"</f>
        <v>9783423209694</v>
      </c>
      <c r="J8" s="1">
        <v>3.0</v>
      </c>
      <c r="K8" s="1">
        <v>3.73</v>
      </c>
      <c r="L8" s="1" t="s">
        <v>75</v>
      </c>
      <c r="M8" s="1" t="s">
        <v>40</v>
      </c>
      <c r="N8" s="1">
        <v>128.0</v>
      </c>
      <c r="O8" s="1">
        <v>2007.0</v>
      </c>
      <c r="P8" s="1">
        <v>2003.0</v>
      </c>
      <c r="R8" s="2">
        <v>43249.0</v>
      </c>
      <c r="U8" s="1" t="s">
        <v>41</v>
      </c>
      <c r="Y8" s="1">
        <v>1.0</v>
      </c>
      <c r="AB8" s="1">
        <v>0.0</v>
      </c>
    </row>
    <row r="9">
      <c r="A9" s="1">
        <v>4069.0</v>
      </c>
      <c r="B9" s="1" t="s">
        <v>76</v>
      </c>
      <c r="C9" s="1" t="s">
        <v>77</v>
      </c>
      <c r="D9" s="1" t="s">
        <v>78</v>
      </c>
      <c r="E9" s="1" t="s">
        <v>65</v>
      </c>
      <c r="F9" s="1" t="s">
        <v>79</v>
      </c>
      <c r="G9" s="1" t="s">
        <v>80</v>
      </c>
      <c r="H9" t="str">
        <f>"080701429X"</f>
        <v>080701429X</v>
      </c>
      <c r="I9" t="str">
        <f>"9780807014295"</f>
        <v>9780807014295</v>
      </c>
      <c r="J9" s="1">
        <v>4.0</v>
      </c>
      <c r="K9" s="1">
        <v>4.35</v>
      </c>
      <c r="L9" s="1" t="s">
        <v>81</v>
      </c>
      <c r="M9" s="1" t="s">
        <v>40</v>
      </c>
      <c r="N9" s="1">
        <v>165.0</v>
      </c>
      <c r="O9" s="1">
        <v>2006.0</v>
      </c>
      <c r="P9" s="1">
        <v>1946.0</v>
      </c>
      <c r="R9" s="2">
        <v>43249.0</v>
      </c>
      <c r="U9" s="1" t="s">
        <v>41</v>
      </c>
      <c r="Y9" s="1">
        <v>2.0</v>
      </c>
      <c r="AB9" s="1">
        <v>0.0</v>
      </c>
    </row>
    <row r="10" hidden="1">
      <c r="A10" s="1">
        <v>3.4928122E7</v>
      </c>
      <c r="B10" s="1" t="s">
        <v>82</v>
      </c>
      <c r="C10" s="1" t="s">
        <v>83</v>
      </c>
      <c r="D10" s="1"/>
      <c r="E10" s="1"/>
      <c r="F10" s="1" t="s">
        <v>84</v>
      </c>
      <c r="H10" t="str">
        <f>"0553448129"</f>
        <v>0553448129</v>
      </c>
      <c r="I10" t="str">
        <f>"9780553448122"</f>
        <v>9780553448122</v>
      </c>
      <c r="J10" s="1">
        <v>0.0</v>
      </c>
      <c r="K10" s="1">
        <v>3.67</v>
      </c>
      <c r="L10" s="1" t="s">
        <v>85</v>
      </c>
      <c r="M10" s="1" t="s">
        <v>55</v>
      </c>
      <c r="N10" s="1">
        <v>305.0</v>
      </c>
      <c r="O10" s="1">
        <v>2017.0</v>
      </c>
      <c r="P10" s="1">
        <v>2017.0</v>
      </c>
      <c r="R10" s="2">
        <v>43219.0</v>
      </c>
      <c r="S10" s="1" t="s">
        <v>56</v>
      </c>
      <c r="T10" s="1" t="s">
        <v>86</v>
      </c>
      <c r="U10" s="1" t="s">
        <v>56</v>
      </c>
      <c r="Y10" s="1">
        <v>0.0</v>
      </c>
      <c r="AB10" s="1">
        <v>0.0</v>
      </c>
    </row>
    <row r="11" hidden="1">
      <c r="A11" s="1">
        <v>2.5499718E7</v>
      </c>
      <c r="B11" s="1" t="s">
        <v>87</v>
      </c>
      <c r="C11" s="1" t="s">
        <v>88</v>
      </c>
      <c r="D11" s="1"/>
      <c r="E11" s="1"/>
      <c r="F11" s="1" t="s">
        <v>89</v>
      </c>
      <c r="H11" t="str">
        <f>"1447273281"</f>
        <v>1447273281</v>
      </c>
      <c r="I11" t="str">
        <f>"9781447273288"</f>
        <v>9781447273288</v>
      </c>
      <c r="J11" s="1">
        <v>0.0</v>
      </c>
      <c r="K11" s="1">
        <v>4.29</v>
      </c>
      <c r="L11" s="1" t="s">
        <v>90</v>
      </c>
      <c r="M11" s="1" t="s">
        <v>55</v>
      </c>
      <c r="N11" s="1">
        <v>600.0</v>
      </c>
      <c r="O11" s="1">
        <v>2015.0</v>
      </c>
      <c r="P11" s="1">
        <v>2015.0</v>
      </c>
      <c r="R11" s="2">
        <v>43219.0</v>
      </c>
      <c r="S11" s="1" t="s">
        <v>91</v>
      </c>
      <c r="T11" s="1" t="s">
        <v>92</v>
      </c>
      <c r="U11" s="1" t="s">
        <v>91</v>
      </c>
      <c r="Y11" s="1">
        <v>1.0</v>
      </c>
      <c r="AB11" s="1">
        <v>0.0</v>
      </c>
    </row>
    <row r="12">
      <c r="A12" s="1">
        <v>3.6279368E7</v>
      </c>
      <c r="B12" s="1" t="s">
        <v>93</v>
      </c>
      <c r="C12" s="1" t="s">
        <v>94</v>
      </c>
      <c r="D12" s="1" t="s">
        <v>95</v>
      </c>
      <c r="E12" s="1" t="s">
        <v>72</v>
      </c>
      <c r="F12" s="1" t="s">
        <v>96</v>
      </c>
      <c r="H12" t="str">
        <f t="shared" ref="H12:I12" si="2">""</f>
        <v/>
      </c>
      <c r="I12" t="str">
        <f t="shared" si="2"/>
        <v/>
      </c>
      <c r="J12" s="1">
        <v>5.0</v>
      </c>
      <c r="K12" s="1">
        <v>4.31</v>
      </c>
      <c r="L12" s="1" t="s">
        <v>97</v>
      </c>
      <c r="M12" s="1" t="s">
        <v>98</v>
      </c>
      <c r="N12" s="1">
        <v>384.0</v>
      </c>
      <c r="O12" s="1">
        <v>2017.0</v>
      </c>
      <c r="P12" s="1">
        <v>2017.0</v>
      </c>
      <c r="Q12" s="2">
        <v>43219.0</v>
      </c>
      <c r="R12" s="2">
        <v>43218.0</v>
      </c>
      <c r="U12" s="1" t="s">
        <v>41</v>
      </c>
      <c r="Y12" s="1">
        <v>1.0</v>
      </c>
      <c r="AB12" s="1">
        <v>0.0</v>
      </c>
    </row>
    <row r="13">
      <c r="A13" s="1">
        <v>234225.0</v>
      </c>
      <c r="B13" s="1" t="s">
        <v>99</v>
      </c>
      <c r="C13" s="1" t="s">
        <v>100</v>
      </c>
      <c r="D13" s="1" t="s">
        <v>71</v>
      </c>
      <c r="E13" s="1" t="s">
        <v>65</v>
      </c>
      <c r="F13" s="1" t="s">
        <v>101</v>
      </c>
      <c r="H13" t="str">
        <f>"0340839937"</f>
        <v>0340839937</v>
      </c>
      <c r="I13" t="str">
        <f>"9780340839935"</f>
        <v>9780340839935</v>
      </c>
      <c r="J13" s="1">
        <v>3.0</v>
      </c>
      <c r="K13" s="1">
        <v>4.21</v>
      </c>
      <c r="L13" s="1" t="s">
        <v>102</v>
      </c>
      <c r="M13" s="1" t="s">
        <v>40</v>
      </c>
      <c r="N13" s="1">
        <v>604.0</v>
      </c>
      <c r="O13" s="1">
        <v>2006.0</v>
      </c>
      <c r="P13" s="1">
        <v>1965.0</v>
      </c>
      <c r="Q13" s="2">
        <v>43218.0</v>
      </c>
      <c r="R13" s="2">
        <v>43214.0</v>
      </c>
      <c r="U13" s="1" t="s">
        <v>41</v>
      </c>
      <c r="Y13" s="1">
        <v>1.0</v>
      </c>
      <c r="AB13" s="1">
        <v>0.0</v>
      </c>
    </row>
    <row r="14">
      <c r="A14" s="1">
        <v>1.1851522E7</v>
      </c>
      <c r="B14" s="1" t="s">
        <v>103</v>
      </c>
      <c r="C14" s="1" t="s">
        <v>104</v>
      </c>
      <c r="D14" s="1" t="s">
        <v>71</v>
      </c>
      <c r="E14" s="1" t="s">
        <v>65</v>
      </c>
      <c r="F14" s="1" t="s">
        <v>105</v>
      </c>
      <c r="H14" t="str">
        <f t="shared" ref="H14:I14" si="3">""</f>
        <v/>
      </c>
      <c r="I14" t="str">
        <f t="shared" si="3"/>
        <v/>
      </c>
      <c r="J14" s="1">
        <v>4.0</v>
      </c>
      <c r="K14" s="1">
        <v>4.35</v>
      </c>
      <c r="L14" s="3" t="s">
        <v>106</v>
      </c>
      <c r="M14" s="1" t="s">
        <v>107</v>
      </c>
      <c r="N14" s="1">
        <v>1305.0</v>
      </c>
      <c r="O14" s="1">
        <v>2011.0</v>
      </c>
      <c r="P14" s="1">
        <v>1978.0</v>
      </c>
      <c r="Q14" s="2">
        <v>43207.0</v>
      </c>
      <c r="R14" s="2">
        <v>43147.0</v>
      </c>
      <c r="U14" s="1" t="s">
        <v>41</v>
      </c>
      <c r="Y14" s="1">
        <v>1.0</v>
      </c>
      <c r="AB14" s="1">
        <v>0.0</v>
      </c>
    </row>
    <row r="15" hidden="1">
      <c r="A15" s="1">
        <v>3.4068481E7</v>
      </c>
      <c r="B15" s="1" t="s">
        <v>108</v>
      </c>
      <c r="C15" s="1" t="s">
        <v>109</v>
      </c>
      <c r="D15" s="1"/>
      <c r="E15" s="1"/>
      <c r="F15" s="1" t="s">
        <v>110</v>
      </c>
      <c r="H15" t="str">
        <f>"0393249891"</f>
        <v>0393249891</v>
      </c>
      <c r="I15" t="str">
        <f>"9780393249897"</f>
        <v>9780393249897</v>
      </c>
      <c r="J15" s="1">
        <v>0.0</v>
      </c>
      <c r="K15" s="1">
        <v>4.27</v>
      </c>
      <c r="L15" s="1" t="s">
        <v>111</v>
      </c>
      <c r="M15" s="1" t="s">
        <v>55</v>
      </c>
      <c r="N15" s="1">
        <v>248.0</v>
      </c>
      <c r="O15" s="1">
        <v>2017.0</v>
      </c>
      <c r="P15" s="1">
        <v>2017.0</v>
      </c>
      <c r="R15" s="2">
        <v>43203.0</v>
      </c>
      <c r="S15" s="1" t="s">
        <v>56</v>
      </c>
      <c r="T15" s="1" t="s">
        <v>112</v>
      </c>
      <c r="U15" s="1" t="s">
        <v>56</v>
      </c>
      <c r="Y15" s="1">
        <v>0.0</v>
      </c>
      <c r="AB15" s="1">
        <v>0.0</v>
      </c>
    </row>
    <row r="16">
      <c r="A16" s="1">
        <v>16640.0</v>
      </c>
      <c r="B16" s="1" t="s">
        <v>113</v>
      </c>
      <c r="C16" s="1" t="s">
        <v>114</v>
      </c>
      <c r="D16" s="1" t="s">
        <v>95</v>
      </c>
      <c r="E16" s="1" t="s">
        <v>72</v>
      </c>
      <c r="F16" s="1" t="s">
        <v>115</v>
      </c>
      <c r="G16" s="1" t="s">
        <v>116</v>
      </c>
      <c r="H16" t="str">
        <f>"0812969901"</f>
        <v>0812969901</v>
      </c>
      <c r="I16" t="str">
        <f>"9780812969900"</f>
        <v>9780812969900</v>
      </c>
      <c r="J16" s="1">
        <v>3.0</v>
      </c>
      <c r="K16" s="1">
        <v>3.65</v>
      </c>
      <c r="L16" s="1" t="s">
        <v>117</v>
      </c>
      <c r="M16" s="1" t="s">
        <v>40</v>
      </c>
      <c r="N16" s="1">
        <v>149.0</v>
      </c>
      <c r="O16" s="1">
        <v>2005.0</v>
      </c>
      <c r="P16" s="1">
        <v>1774.0</v>
      </c>
      <c r="R16" s="2">
        <v>43203.0</v>
      </c>
      <c r="U16" s="1" t="s">
        <v>41</v>
      </c>
      <c r="Y16" s="1">
        <v>2.0</v>
      </c>
      <c r="AB16" s="1">
        <v>0.0</v>
      </c>
    </row>
    <row r="17">
      <c r="A17" s="1">
        <v>91950.0</v>
      </c>
      <c r="B17" s="1" t="s">
        <v>118</v>
      </c>
      <c r="C17" s="1" t="s">
        <v>119</v>
      </c>
      <c r="D17" s="1" t="s">
        <v>120</v>
      </c>
      <c r="E17" s="1" t="s">
        <v>65</v>
      </c>
      <c r="F17" s="1" t="s">
        <v>121</v>
      </c>
      <c r="G17" s="1" t="s">
        <v>122</v>
      </c>
      <c r="H17" t="str">
        <f>"0141182008"</f>
        <v>0141182008</v>
      </c>
      <c r="I17" t="str">
        <f>"9780141182001"</f>
        <v>9780141182001</v>
      </c>
      <c r="J17" s="1">
        <v>5.0</v>
      </c>
      <c r="K17" s="1">
        <v>4.14</v>
      </c>
      <c r="L17" s="1" t="s">
        <v>68</v>
      </c>
      <c r="M17" s="1" t="s">
        <v>40</v>
      </c>
      <c r="N17" s="1">
        <v>192.0</v>
      </c>
      <c r="O17" s="1">
        <v>2000.0</v>
      </c>
      <c r="P17" s="1">
        <v>1942.0</v>
      </c>
      <c r="R17" s="2">
        <v>43189.0</v>
      </c>
      <c r="U17" s="1" t="s">
        <v>41</v>
      </c>
      <c r="Y17" s="1">
        <v>2.0</v>
      </c>
      <c r="AB17" s="1">
        <v>0.0</v>
      </c>
    </row>
    <row r="18">
      <c r="A18" s="1">
        <v>6493321.0</v>
      </c>
      <c r="B18" s="1" t="s">
        <v>123</v>
      </c>
      <c r="C18" s="1" t="s">
        <v>124</v>
      </c>
      <c r="D18" s="1" t="s">
        <v>125</v>
      </c>
      <c r="E18" s="1" t="s">
        <v>65</v>
      </c>
      <c r="F18" s="1" t="s">
        <v>126</v>
      </c>
      <c r="G18" s="1" t="s">
        <v>127</v>
      </c>
      <c r="H18" t="str">
        <f>"1596914521"</f>
        <v>1596914521</v>
      </c>
      <c r="I18" t="str">
        <f>"9781596914520"</f>
        <v>9781596914520</v>
      </c>
      <c r="J18" s="1">
        <v>4.0</v>
      </c>
      <c r="K18" s="1">
        <v>4.02</v>
      </c>
      <c r="L18" s="1" t="s">
        <v>128</v>
      </c>
      <c r="M18" s="1" t="s">
        <v>40</v>
      </c>
      <c r="N18" s="1">
        <v>352.0</v>
      </c>
      <c r="O18" s="1">
        <v>2009.0</v>
      </c>
      <c r="P18" s="1">
        <v>2009.0</v>
      </c>
      <c r="R18" s="2">
        <v>43147.0</v>
      </c>
      <c r="U18" s="1" t="s">
        <v>41</v>
      </c>
      <c r="Y18" s="1">
        <v>2.0</v>
      </c>
      <c r="AB18" s="1">
        <v>0.0</v>
      </c>
    </row>
    <row r="19" hidden="1">
      <c r="A19" s="1">
        <v>97016.0</v>
      </c>
      <c r="B19" s="1" t="s">
        <v>129</v>
      </c>
      <c r="C19" s="1" t="s">
        <v>130</v>
      </c>
      <c r="D19" s="1"/>
      <c r="E19" s="1"/>
      <c r="F19" s="1" t="s">
        <v>131</v>
      </c>
      <c r="H19" t="str">
        <f>"0312320760"</f>
        <v>0312320760</v>
      </c>
      <c r="I19" t="str">
        <f>"9780312320768"</f>
        <v>9780312320768</v>
      </c>
      <c r="J19" s="1">
        <v>0.0</v>
      </c>
      <c r="K19" s="1">
        <v>3.71</v>
      </c>
      <c r="L19" s="1" t="s">
        <v>132</v>
      </c>
      <c r="M19" s="1" t="s">
        <v>40</v>
      </c>
      <c r="N19" s="1">
        <v>192.0</v>
      </c>
      <c r="O19" s="1">
        <v>2004.0</v>
      </c>
      <c r="P19" s="1">
        <v>2003.0</v>
      </c>
      <c r="R19" s="2">
        <v>42829.0</v>
      </c>
      <c r="S19" s="1" t="s">
        <v>56</v>
      </c>
      <c r="T19" s="1" t="s">
        <v>133</v>
      </c>
      <c r="U19" s="1" t="s">
        <v>56</v>
      </c>
      <c r="Y19" s="1">
        <v>0.0</v>
      </c>
      <c r="AB19" s="1">
        <v>0.0</v>
      </c>
    </row>
    <row r="20" hidden="1">
      <c r="A20" s="1">
        <v>15997.0</v>
      </c>
      <c r="B20" s="1" t="s">
        <v>134</v>
      </c>
      <c r="C20" s="1" t="s">
        <v>135</v>
      </c>
      <c r="D20" s="1"/>
      <c r="E20" s="1"/>
      <c r="F20" s="1" t="s">
        <v>136</v>
      </c>
      <c r="G20" s="1" t="s">
        <v>137</v>
      </c>
      <c r="H20" t="str">
        <f>"0140424393"</f>
        <v>0140424393</v>
      </c>
      <c r="I20" t="str">
        <f>"9780140424393"</f>
        <v>9780140424393</v>
      </c>
      <c r="J20" s="1">
        <v>0.0</v>
      </c>
      <c r="K20" s="1">
        <v>3.8</v>
      </c>
      <c r="L20" s="1" t="s">
        <v>68</v>
      </c>
      <c r="M20" s="1" t="s">
        <v>40</v>
      </c>
      <c r="N20" s="1">
        <v>453.0</v>
      </c>
      <c r="O20" s="1">
        <v>2003.0</v>
      </c>
      <c r="P20" s="1">
        <v>1667.0</v>
      </c>
      <c r="R20" s="2">
        <v>43167.0</v>
      </c>
      <c r="S20" s="1" t="s">
        <v>56</v>
      </c>
      <c r="T20" s="1" t="s">
        <v>138</v>
      </c>
      <c r="U20" s="1" t="s">
        <v>56</v>
      </c>
      <c r="Y20" s="1">
        <v>0.0</v>
      </c>
      <c r="AB20" s="1">
        <v>0.0</v>
      </c>
    </row>
    <row r="21">
      <c r="A21" s="1">
        <v>6656.0</v>
      </c>
      <c r="B21" s="1" t="s">
        <v>139</v>
      </c>
      <c r="C21" s="1" t="s">
        <v>140</v>
      </c>
      <c r="D21" s="1" t="s">
        <v>141</v>
      </c>
      <c r="E21" s="1" t="s">
        <v>65</v>
      </c>
      <c r="F21" s="1" t="s">
        <v>142</v>
      </c>
      <c r="G21" s="1" t="s">
        <v>143</v>
      </c>
      <c r="H21" t="str">
        <f>"0679433139"</f>
        <v>0679433139</v>
      </c>
      <c r="I21" t="str">
        <f>"9780679433132"</f>
        <v>9780679433132</v>
      </c>
      <c r="J21" s="1">
        <v>5.0</v>
      </c>
      <c r="K21" s="1">
        <v>4.07</v>
      </c>
      <c r="L21" s="1" t="s">
        <v>144</v>
      </c>
      <c r="M21" s="1" t="s">
        <v>55</v>
      </c>
      <c r="N21" s="1">
        <v>798.0</v>
      </c>
      <c r="O21" s="1">
        <v>1995.0</v>
      </c>
      <c r="P21" s="1">
        <v>1321.0</v>
      </c>
      <c r="R21" s="2">
        <v>42953.0</v>
      </c>
      <c r="U21" s="1" t="s">
        <v>41</v>
      </c>
      <c r="Y21" s="1">
        <v>1.0</v>
      </c>
      <c r="AB21" s="1">
        <v>0.0</v>
      </c>
    </row>
    <row r="22">
      <c r="A22" s="1">
        <v>1420.0</v>
      </c>
      <c r="B22" s="1" t="s">
        <v>145</v>
      </c>
      <c r="C22" s="1" t="s">
        <v>146</v>
      </c>
      <c r="D22" s="1" t="s">
        <v>35</v>
      </c>
      <c r="E22" s="1" t="s">
        <v>65</v>
      </c>
      <c r="F22" s="1" t="s">
        <v>147</v>
      </c>
      <c r="G22" s="1" t="s">
        <v>148</v>
      </c>
      <c r="H22" t="str">
        <f>"0521618746"</f>
        <v>0521618746</v>
      </c>
      <c r="I22" t="str">
        <f>"9780521618748"</f>
        <v>9780521618748</v>
      </c>
      <c r="J22" s="1">
        <v>5.0</v>
      </c>
      <c r="K22" s="1">
        <v>4.01</v>
      </c>
      <c r="L22" s="1" t="s">
        <v>149</v>
      </c>
      <c r="M22" s="1" t="s">
        <v>40</v>
      </c>
      <c r="N22" s="1">
        <v>289.0</v>
      </c>
      <c r="O22" s="1">
        <v>2005.0</v>
      </c>
      <c r="P22" s="1">
        <v>1603.0</v>
      </c>
      <c r="R22" s="2">
        <v>43164.0</v>
      </c>
      <c r="U22" s="1" t="s">
        <v>41</v>
      </c>
      <c r="Y22" s="1">
        <v>1.0</v>
      </c>
      <c r="AB22" s="1">
        <v>0.0</v>
      </c>
    </row>
    <row r="23" hidden="1">
      <c r="A23" s="1">
        <v>6407014.0</v>
      </c>
      <c r="B23" s="1" t="s">
        <v>150</v>
      </c>
      <c r="C23" s="1" t="s">
        <v>151</v>
      </c>
      <c r="D23" s="1"/>
      <c r="E23" s="1"/>
      <c r="F23" s="1" t="s">
        <v>152</v>
      </c>
      <c r="H23" t="str">
        <f>"0393068579"</f>
        <v>0393068579</v>
      </c>
      <c r="I23" t="str">
        <f>"9780393068573"</f>
        <v>9780393068573</v>
      </c>
      <c r="J23" s="1">
        <v>0.0</v>
      </c>
      <c r="K23" s="1">
        <v>4.03</v>
      </c>
      <c r="L23" s="1" t="s">
        <v>111</v>
      </c>
      <c r="M23" s="1" t="s">
        <v>55</v>
      </c>
      <c r="N23" s="1">
        <v>329.0</v>
      </c>
      <c r="O23" s="1">
        <v>2009.0</v>
      </c>
      <c r="P23" s="1">
        <v>2009.0</v>
      </c>
      <c r="R23" s="2">
        <v>43152.0</v>
      </c>
      <c r="S23" s="1" t="s">
        <v>56</v>
      </c>
      <c r="T23" s="1" t="s">
        <v>153</v>
      </c>
      <c r="U23" s="1" t="s">
        <v>56</v>
      </c>
      <c r="Y23" s="1">
        <v>0.0</v>
      </c>
      <c r="AB23" s="1">
        <v>0.0</v>
      </c>
    </row>
    <row r="24" hidden="1">
      <c r="A24" s="1">
        <v>5967064.0</v>
      </c>
      <c r="B24" s="1" t="s">
        <v>154</v>
      </c>
      <c r="C24" s="1" t="s">
        <v>155</v>
      </c>
      <c r="D24" s="1"/>
      <c r="E24" s="1"/>
      <c r="F24" s="1" t="s">
        <v>156</v>
      </c>
      <c r="G24" s="1" t="s">
        <v>157</v>
      </c>
      <c r="H24" t="str">
        <f>"1596433752"</f>
        <v>1596433752</v>
      </c>
      <c r="I24" t="str">
        <f>"9781596433755"</f>
        <v>9781596433755</v>
      </c>
      <c r="J24" s="1">
        <v>0.0</v>
      </c>
      <c r="K24" s="1">
        <v>4.24</v>
      </c>
      <c r="L24" s="1" t="s">
        <v>158</v>
      </c>
      <c r="M24" s="1" t="s">
        <v>40</v>
      </c>
      <c r="N24" s="1">
        <v>288.0</v>
      </c>
      <c r="O24" s="1">
        <v>2009.0</v>
      </c>
      <c r="P24" s="1">
        <v>2003.0</v>
      </c>
      <c r="R24" s="2">
        <v>43152.0</v>
      </c>
      <c r="S24" s="1" t="s">
        <v>56</v>
      </c>
      <c r="T24" s="1" t="s">
        <v>159</v>
      </c>
      <c r="U24" s="1" t="s">
        <v>56</v>
      </c>
      <c r="Y24" s="1">
        <v>0.0</v>
      </c>
      <c r="AB24" s="1">
        <v>0.0</v>
      </c>
    </row>
    <row r="25" hidden="1">
      <c r="A25" s="1">
        <v>4934.0</v>
      </c>
      <c r="B25" s="1" t="s">
        <v>160</v>
      </c>
      <c r="C25" s="1" t="s">
        <v>161</v>
      </c>
      <c r="D25" s="1"/>
      <c r="E25" s="1"/>
      <c r="F25" s="1" t="s">
        <v>162</v>
      </c>
      <c r="G25" s="1" t="s">
        <v>163</v>
      </c>
      <c r="H25" t="str">
        <f>"0374528373"</f>
        <v>0374528373</v>
      </c>
      <c r="I25" t="str">
        <f>"9780374528379"</f>
        <v>9780374528379</v>
      </c>
      <c r="J25" s="1">
        <v>0.0</v>
      </c>
      <c r="K25" s="1">
        <v>4.32</v>
      </c>
      <c r="L25" s="1" t="s">
        <v>164</v>
      </c>
      <c r="M25" s="1" t="s">
        <v>40</v>
      </c>
      <c r="N25" s="1">
        <v>796.0</v>
      </c>
      <c r="O25" s="1">
        <v>2002.0</v>
      </c>
      <c r="P25" s="1">
        <v>1880.0</v>
      </c>
      <c r="R25" s="2">
        <v>43152.0</v>
      </c>
      <c r="S25" s="1" t="s">
        <v>91</v>
      </c>
      <c r="T25" s="1" t="s">
        <v>165</v>
      </c>
      <c r="U25" s="1" t="s">
        <v>91</v>
      </c>
      <c r="Y25" s="1">
        <v>1.0</v>
      </c>
      <c r="AB25" s="1">
        <v>0.0</v>
      </c>
    </row>
    <row r="26">
      <c r="A26" s="1">
        <v>22284.0</v>
      </c>
      <c r="B26" s="1" t="s">
        <v>166</v>
      </c>
      <c r="C26" s="1" t="s">
        <v>167</v>
      </c>
      <c r="D26" s="1" t="s">
        <v>71</v>
      </c>
      <c r="E26" s="1" t="s">
        <v>65</v>
      </c>
      <c r="F26" s="1" t="s">
        <v>168</v>
      </c>
      <c r="H26" t="str">
        <f>"1400032814"</f>
        <v>1400032814</v>
      </c>
      <c r="I26" t="str">
        <f>"9781400032815"</f>
        <v>9781400032815</v>
      </c>
      <c r="J26" s="1">
        <v>4.0</v>
      </c>
      <c r="K26" s="1">
        <v>3.61</v>
      </c>
      <c r="L26" s="1" t="s">
        <v>169</v>
      </c>
      <c r="M26" s="1" t="s">
        <v>40</v>
      </c>
      <c r="N26" s="1">
        <v>262.0</v>
      </c>
      <c r="O26" s="1">
        <v>2004.0</v>
      </c>
      <c r="P26" s="1">
        <v>2003.0</v>
      </c>
      <c r="Q26" s="2">
        <v>43147.0</v>
      </c>
      <c r="R26" s="2">
        <v>43137.0</v>
      </c>
      <c r="U26" s="1" t="s">
        <v>41</v>
      </c>
      <c r="Y26" s="1">
        <v>1.0</v>
      </c>
      <c r="AB26" s="1">
        <v>0.0</v>
      </c>
    </row>
    <row r="27">
      <c r="A27" s="1">
        <v>3.4726138E7</v>
      </c>
      <c r="B27" s="1" t="s">
        <v>170</v>
      </c>
      <c r="C27" s="1" t="s">
        <v>171</v>
      </c>
      <c r="D27" s="1" t="s">
        <v>50</v>
      </c>
      <c r="E27" s="1" t="s">
        <v>65</v>
      </c>
      <c r="F27" s="1" t="s">
        <v>172</v>
      </c>
      <c r="H27" t="str">
        <f>"184614941X"</f>
        <v>184614941X</v>
      </c>
      <c r="I27" t="str">
        <f>"9781846149412"</f>
        <v>9781846149412</v>
      </c>
      <c r="J27" s="1">
        <v>5.0</v>
      </c>
      <c r="K27" s="1">
        <v>4.65</v>
      </c>
      <c r="L27" s="1" t="s">
        <v>173</v>
      </c>
      <c r="M27" s="1" t="s">
        <v>55</v>
      </c>
      <c r="N27" s="1">
        <v>352.0</v>
      </c>
      <c r="O27" s="1">
        <v>2017.0</v>
      </c>
      <c r="P27" s="1">
        <v>2017.0</v>
      </c>
      <c r="R27" s="2">
        <v>43147.0</v>
      </c>
      <c r="U27" s="1" t="s">
        <v>41</v>
      </c>
      <c r="Y27" s="1">
        <v>1.0</v>
      </c>
      <c r="AB27" s="1">
        <v>0.0</v>
      </c>
    </row>
    <row r="28">
      <c r="A28" s="1">
        <v>6514.0</v>
      </c>
      <c r="B28" s="1" t="s">
        <v>174</v>
      </c>
      <c r="C28" s="1" t="s">
        <v>175</v>
      </c>
      <c r="D28" s="1" t="s">
        <v>71</v>
      </c>
      <c r="E28" s="1" t="s">
        <v>65</v>
      </c>
      <c r="F28" s="1" t="s">
        <v>176</v>
      </c>
      <c r="G28" s="1" t="s">
        <v>177</v>
      </c>
      <c r="H28" t="str">
        <f>"0061148512"</f>
        <v>0061148512</v>
      </c>
      <c r="I28" t="str">
        <f>"9780061148514"</f>
        <v>9780061148514</v>
      </c>
      <c r="J28" s="1">
        <v>5.0</v>
      </c>
      <c r="K28" s="1">
        <v>3.99</v>
      </c>
      <c r="L28" s="1" t="s">
        <v>178</v>
      </c>
      <c r="M28" s="1" t="s">
        <v>40</v>
      </c>
      <c r="N28" s="1">
        <v>244.0</v>
      </c>
      <c r="O28" s="1">
        <v>2006.0</v>
      </c>
      <c r="P28" s="1">
        <v>1963.0</v>
      </c>
      <c r="Q28" s="2">
        <v>43137.0</v>
      </c>
      <c r="R28" s="2">
        <v>43131.0</v>
      </c>
      <c r="U28" s="1" t="s">
        <v>41</v>
      </c>
      <c r="Y28" s="1">
        <v>1.0</v>
      </c>
      <c r="AB28" s="1">
        <v>0.0</v>
      </c>
    </row>
    <row r="29">
      <c r="A29" s="1">
        <v>2.7885752E7</v>
      </c>
      <c r="B29" s="1" t="s">
        <v>179</v>
      </c>
      <c r="C29" s="1" t="s">
        <v>180</v>
      </c>
      <c r="D29" s="1" t="s">
        <v>64</v>
      </c>
      <c r="E29" s="1" t="s">
        <v>36</v>
      </c>
      <c r="F29" s="1" t="s">
        <v>181</v>
      </c>
      <c r="H29" t="str">
        <f t="shared" ref="H29:H30" si="4">""</f>
        <v/>
      </c>
      <c r="I29" t="str">
        <f>"9786067584691"</f>
        <v>9786067584691</v>
      </c>
      <c r="J29" s="1">
        <v>4.0</v>
      </c>
      <c r="K29" s="1">
        <v>4.51</v>
      </c>
      <c r="L29" s="1" t="s">
        <v>182</v>
      </c>
      <c r="M29" s="1" t="s">
        <v>55</v>
      </c>
      <c r="N29" s="1">
        <v>312.0</v>
      </c>
      <c r="O29" s="1">
        <v>2015.0</v>
      </c>
      <c r="P29" s="1">
        <v>1984.0</v>
      </c>
      <c r="Q29" s="2">
        <v>43122.0</v>
      </c>
      <c r="R29" s="4">
        <v>43061.0</v>
      </c>
      <c r="U29" s="1" t="s">
        <v>41</v>
      </c>
      <c r="Y29" s="1">
        <v>1.0</v>
      </c>
      <c r="AB29" s="1">
        <v>0.0</v>
      </c>
    </row>
    <row r="30">
      <c r="A30" s="1">
        <v>1.8073307E7</v>
      </c>
      <c r="B30" s="1" t="s">
        <v>183</v>
      </c>
      <c r="C30" s="1" t="s">
        <v>184</v>
      </c>
      <c r="D30" s="1" t="s">
        <v>35</v>
      </c>
      <c r="E30" s="1" t="s">
        <v>65</v>
      </c>
      <c r="F30" s="1" t="s">
        <v>185</v>
      </c>
      <c r="H30" t="str">
        <f t="shared" si="4"/>
        <v/>
      </c>
      <c r="I30" t="str">
        <f>""</f>
        <v/>
      </c>
      <c r="J30" s="1">
        <v>5.0</v>
      </c>
      <c r="K30" s="1">
        <v>4.08</v>
      </c>
      <c r="L30" s="1" t="s">
        <v>186</v>
      </c>
      <c r="M30" s="1" t="s">
        <v>107</v>
      </c>
      <c r="N30" s="1">
        <v>304.0</v>
      </c>
      <c r="O30" s="1">
        <v>2013.0</v>
      </c>
      <c r="P30" s="1">
        <v>2013.0</v>
      </c>
      <c r="Q30" s="4">
        <v>43079.0</v>
      </c>
      <c r="R30" s="2">
        <v>43077.0</v>
      </c>
      <c r="U30" s="1" t="s">
        <v>41</v>
      </c>
      <c r="Y30" s="1">
        <v>1.0</v>
      </c>
      <c r="AB30" s="1">
        <v>0.0</v>
      </c>
    </row>
    <row r="31">
      <c r="A31" s="1">
        <v>243991.0</v>
      </c>
      <c r="B31" s="1" t="s">
        <v>187</v>
      </c>
      <c r="C31" s="1" t="s">
        <v>188</v>
      </c>
      <c r="D31" s="1" t="s">
        <v>71</v>
      </c>
      <c r="E31" s="1" t="s">
        <v>65</v>
      </c>
      <c r="F31" s="1" t="s">
        <v>189</v>
      </c>
      <c r="G31" s="1" t="s">
        <v>190</v>
      </c>
      <c r="H31" t="str">
        <f>"1584350342"</f>
        <v>1584350342</v>
      </c>
      <c r="I31" t="str">
        <f>"9781584350347"</f>
        <v>9781584350347</v>
      </c>
      <c r="J31" s="1">
        <v>3.0</v>
      </c>
      <c r="K31" s="1">
        <v>3.61</v>
      </c>
      <c r="L31" s="1" t="s">
        <v>191</v>
      </c>
      <c r="M31" s="1" t="s">
        <v>40</v>
      </c>
      <c r="N31" s="1">
        <v>277.0</v>
      </c>
      <c r="O31" s="1">
        <v>2006.0</v>
      </c>
      <c r="P31" s="1">
        <v>1997.0</v>
      </c>
      <c r="Q31" s="2">
        <v>42736.0</v>
      </c>
      <c r="R31" s="4">
        <v>43026.0</v>
      </c>
      <c r="U31" s="1" t="s">
        <v>41</v>
      </c>
      <c r="Y31" s="1">
        <v>1.0</v>
      </c>
      <c r="AB31" s="1">
        <v>0.0</v>
      </c>
    </row>
    <row r="32" hidden="1">
      <c r="A32" s="1">
        <v>6613956.0</v>
      </c>
      <c r="B32" s="1" t="s">
        <v>192</v>
      </c>
      <c r="C32" s="1" t="s">
        <v>193</v>
      </c>
      <c r="D32" s="1"/>
      <c r="E32" s="1"/>
      <c r="F32" s="1" t="s">
        <v>194</v>
      </c>
      <c r="G32" s="1" t="s">
        <v>195</v>
      </c>
      <c r="H32" t="str">
        <f>"0670021482"</f>
        <v>0670021482</v>
      </c>
      <c r="I32" t="str">
        <f>"9780670021482"</f>
        <v>9780670021482</v>
      </c>
      <c r="J32" s="1">
        <v>0.0</v>
      </c>
      <c r="K32" s="1">
        <v>3.59</v>
      </c>
      <c r="L32" s="1" t="s">
        <v>196</v>
      </c>
      <c r="M32" s="1" t="s">
        <v>55</v>
      </c>
      <c r="N32" s="1">
        <v>271.0</v>
      </c>
      <c r="O32" s="1">
        <v>2010.0</v>
      </c>
      <c r="P32" s="1">
        <v>2008.0</v>
      </c>
      <c r="R32" s="4">
        <v>43081.0</v>
      </c>
      <c r="S32" s="1" t="s">
        <v>56</v>
      </c>
      <c r="T32" s="1" t="s">
        <v>197</v>
      </c>
      <c r="U32" s="1" t="s">
        <v>56</v>
      </c>
      <c r="Y32" s="1">
        <v>0.0</v>
      </c>
      <c r="AB32" s="1">
        <v>0.0</v>
      </c>
    </row>
    <row r="33" hidden="1">
      <c r="A33" s="1">
        <v>10238.0</v>
      </c>
      <c r="B33" s="1" t="s">
        <v>198</v>
      </c>
      <c r="C33" s="1" t="s">
        <v>199</v>
      </c>
      <c r="D33" s="1"/>
      <c r="E33" s="1"/>
      <c r="F33" s="1" t="s">
        <v>200</v>
      </c>
      <c r="H33" t="str">
        <f>"1570625190"</f>
        <v>1570625190</v>
      </c>
      <c r="I33" t="str">
        <f>"9781570625190"</f>
        <v>9781570625190</v>
      </c>
      <c r="J33" s="1">
        <v>0.0</v>
      </c>
      <c r="K33" s="1">
        <v>3.97</v>
      </c>
      <c r="L33" s="1" t="s">
        <v>201</v>
      </c>
      <c r="M33" s="1" t="s">
        <v>40</v>
      </c>
      <c r="N33" s="1">
        <v>366.0</v>
      </c>
      <c r="O33" s="1">
        <v>2000.0</v>
      </c>
      <c r="P33" s="1">
        <v>1975.0</v>
      </c>
      <c r="R33" s="2">
        <v>43077.0</v>
      </c>
      <c r="S33" s="1" t="s">
        <v>56</v>
      </c>
      <c r="T33" s="1" t="s">
        <v>202</v>
      </c>
      <c r="U33" s="1" t="s">
        <v>56</v>
      </c>
      <c r="Y33" s="1">
        <v>0.0</v>
      </c>
      <c r="AB33" s="1">
        <v>0.0</v>
      </c>
    </row>
    <row r="34">
      <c r="A34" s="1">
        <v>41804.0</v>
      </c>
      <c r="B34" s="1" t="s">
        <v>203</v>
      </c>
      <c r="C34" s="1" t="s">
        <v>204</v>
      </c>
      <c r="D34" s="1" t="s">
        <v>64</v>
      </c>
      <c r="E34" s="1" t="s">
        <v>65</v>
      </c>
      <c r="F34" s="1" t="s">
        <v>205</v>
      </c>
      <c r="H34" t="str">
        <f>"0553803700"</f>
        <v>0553803700</v>
      </c>
      <c r="I34" t="str">
        <f>"9780553803709"</f>
        <v>9780553803709</v>
      </c>
      <c r="J34" s="1">
        <v>5.0</v>
      </c>
      <c r="K34" s="1">
        <v>4.18</v>
      </c>
      <c r="L34" s="1" t="s">
        <v>206</v>
      </c>
      <c r="M34" s="1" t="s">
        <v>55</v>
      </c>
      <c r="N34" s="1">
        <v>224.0</v>
      </c>
      <c r="O34" s="1">
        <v>2004.0</v>
      </c>
      <c r="P34" s="1">
        <v>1950.0</v>
      </c>
      <c r="R34" s="2">
        <v>43075.0</v>
      </c>
      <c r="U34" s="1" t="s">
        <v>41</v>
      </c>
      <c r="Y34" s="1">
        <v>1.0</v>
      </c>
      <c r="AB34" s="1">
        <v>0.0</v>
      </c>
    </row>
    <row r="35" hidden="1">
      <c r="A35" s="1">
        <v>766472.0</v>
      </c>
      <c r="B35" s="1" t="s">
        <v>207</v>
      </c>
      <c r="C35" s="1" t="s">
        <v>208</v>
      </c>
      <c r="D35" s="1"/>
      <c r="E35" s="1"/>
      <c r="F35" s="1" t="s">
        <v>209</v>
      </c>
      <c r="G35" s="1" t="s">
        <v>210</v>
      </c>
      <c r="H35" t="str">
        <f>"0892819138"</f>
        <v>0892819138</v>
      </c>
      <c r="I35" t="str">
        <f>"9780892819133"</f>
        <v>9780892819133</v>
      </c>
      <c r="J35" s="1">
        <v>0.0</v>
      </c>
      <c r="K35" s="1">
        <v>4.52</v>
      </c>
      <c r="L35" s="1" t="s">
        <v>211</v>
      </c>
      <c r="M35" s="1" t="s">
        <v>55</v>
      </c>
      <c r="N35" s="1">
        <v>320.0</v>
      </c>
      <c r="O35" s="1">
        <v>2002.0</v>
      </c>
      <c r="P35" s="1">
        <v>2002.0</v>
      </c>
      <c r="R35" s="4">
        <v>43062.0</v>
      </c>
      <c r="S35" s="1" t="s">
        <v>56</v>
      </c>
      <c r="T35" s="1" t="s">
        <v>212</v>
      </c>
      <c r="U35" s="1" t="s">
        <v>56</v>
      </c>
      <c r="Y35" s="1">
        <v>0.0</v>
      </c>
      <c r="AB35" s="1">
        <v>0.0</v>
      </c>
    </row>
    <row r="36" hidden="1">
      <c r="A36" s="1">
        <v>378210.0</v>
      </c>
      <c r="B36" s="1" t="s">
        <v>213</v>
      </c>
      <c r="C36" s="1" t="s">
        <v>208</v>
      </c>
      <c r="D36" s="1"/>
      <c r="E36" s="1"/>
      <c r="F36" s="1" t="s">
        <v>209</v>
      </c>
      <c r="H36" t="str">
        <f>"0892819782"</f>
        <v>0892819782</v>
      </c>
      <c r="I36" t="str">
        <f>"9780892819782"</f>
        <v>9780892819782</v>
      </c>
      <c r="J36" s="1">
        <v>0.0</v>
      </c>
      <c r="K36" s="1">
        <v>4.73</v>
      </c>
      <c r="L36" s="1" t="s">
        <v>214</v>
      </c>
      <c r="M36" s="1" t="s">
        <v>55</v>
      </c>
      <c r="N36" s="1">
        <v>944.0</v>
      </c>
      <c r="O36" s="1">
        <v>2005.0</v>
      </c>
      <c r="P36" s="1">
        <v>1998.0</v>
      </c>
      <c r="R36" s="4">
        <v>43062.0</v>
      </c>
      <c r="S36" s="1" t="s">
        <v>56</v>
      </c>
      <c r="T36" s="1" t="s">
        <v>215</v>
      </c>
      <c r="U36" s="1" t="s">
        <v>56</v>
      </c>
      <c r="Y36" s="1">
        <v>0.0</v>
      </c>
      <c r="AB36" s="1">
        <v>0.0</v>
      </c>
    </row>
    <row r="37" hidden="1">
      <c r="A37" s="1">
        <v>8791.0</v>
      </c>
      <c r="B37" s="1" t="s">
        <v>216</v>
      </c>
      <c r="C37" s="1" t="s">
        <v>217</v>
      </c>
      <c r="D37" s="1"/>
      <c r="E37" s="1"/>
      <c r="F37" s="1" t="s">
        <v>218</v>
      </c>
      <c r="H37" t="str">
        <f>"0966001982"</f>
        <v>0966001982</v>
      </c>
      <c r="I37" t="str">
        <f>"9780966001983"</f>
        <v>9780966001983</v>
      </c>
      <c r="J37" s="1">
        <v>0.0</v>
      </c>
      <c r="K37" s="1">
        <v>4.18</v>
      </c>
      <c r="L37" s="1" t="s">
        <v>219</v>
      </c>
      <c r="M37" s="1" t="s">
        <v>40</v>
      </c>
      <c r="N37" s="1">
        <v>232.0</v>
      </c>
      <c r="O37" s="1">
        <v>2005.0</v>
      </c>
      <c r="P37" s="1">
        <v>1979.0</v>
      </c>
      <c r="R37" s="4">
        <v>43062.0</v>
      </c>
      <c r="S37" s="1" t="s">
        <v>56</v>
      </c>
      <c r="T37" s="1" t="s">
        <v>220</v>
      </c>
      <c r="U37" s="1" t="s">
        <v>56</v>
      </c>
      <c r="Y37" s="1">
        <v>0.0</v>
      </c>
      <c r="AB37" s="1">
        <v>0.0</v>
      </c>
    </row>
    <row r="38">
      <c r="A38" s="1">
        <v>2.7161842E7</v>
      </c>
      <c r="B38" s="1" t="s">
        <v>221</v>
      </c>
      <c r="C38" s="1" t="s">
        <v>222</v>
      </c>
      <c r="D38" s="1" t="s">
        <v>35</v>
      </c>
      <c r="E38" s="1" t="s">
        <v>65</v>
      </c>
      <c r="F38" s="1" t="s">
        <v>223</v>
      </c>
      <c r="H38" t="str">
        <f>"031635242X"</f>
        <v>031635242X</v>
      </c>
      <c r="I38" t="str">
        <f>"9780316352420"</f>
        <v>9780316352420</v>
      </c>
      <c r="J38" s="1">
        <v>3.0</v>
      </c>
      <c r="K38" s="1">
        <v>4.12</v>
      </c>
      <c r="L38" s="1" t="s">
        <v>224</v>
      </c>
      <c r="M38" s="1" t="s">
        <v>55</v>
      </c>
      <c r="N38" s="1">
        <v>293.0</v>
      </c>
      <c r="O38" s="1">
        <v>2016.0</v>
      </c>
      <c r="P38" s="1">
        <v>2016.0</v>
      </c>
      <c r="Q38" s="4">
        <v>43061.0</v>
      </c>
      <c r="R38" s="2">
        <v>43013.0</v>
      </c>
      <c r="U38" s="1" t="s">
        <v>41</v>
      </c>
      <c r="Y38" s="1">
        <v>1.0</v>
      </c>
      <c r="AB38" s="1">
        <v>0.0</v>
      </c>
    </row>
    <row r="39" hidden="1">
      <c r="A39" s="1">
        <v>3.4594982E7</v>
      </c>
      <c r="B39" s="1" t="s">
        <v>225</v>
      </c>
      <c r="C39" s="1" t="s">
        <v>226</v>
      </c>
      <c r="D39" s="1"/>
      <c r="E39" s="1"/>
      <c r="F39" s="1" t="s">
        <v>227</v>
      </c>
      <c r="H39" t="str">
        <f>"1943735204"</f>
        <v>1943735204</v>
      </c>
      <c r="I39" t="str">
        <f>"9781943735204"</f>
        <v>9781943735204</v>
      </c>
      <c r="J39" s="1">
        <v>0.0</v>
      </c>
      <c r="K39" s="1">
        <v>3.85</v>
      </c>
      <c r="L39" s="1" t="s">
        <v>228</v>
      </c>
      <c r="M39" s="1" t="s">
        <v>40</v>
      </c>
      <c r="N39" s="1">
        <v>75.0</v>
      </c>
      <c r="O39" s="1">
        <v>2017.0</v>
      </c>
      <c r="P39" s="1">
        <v>2017.0</v>
      </c>
      <c r="R39" s="4">
        <v>43061.0</v>
      </c>
      <c r="S39" s="1" t="s">
        <v>56</v>
      </c>
      <c r="T39" s="1" t="s">
        <v>229</v>
      </c>
      <c r="U39" s="1" t="s">
        <v>56</v>
      </c>
      <c r="Y39" s="1">
        <v>0.0</v>
      </c>
      <c r="AB39" s="1">
        <v>0.0</v>
      </c>
    </row>
    <row r="40">
      <c r="A40" s="1">
        <v>2382063.0</v>
      </c>
      <c r="B40" s="1" t="s">
        <v>230</v>
      </c>
      <c r="C40" s="1" t="s">
        <v>231</v>
      </c>
      <c r="D40" s="1" t="s">
        <v>50</v>
      </c>
      <c r="E40" s="1" t="s">
        <v>65</v>
      </c>
      <c r="F40" s="1" t="s">
        <v>232</v>
      </c>
      <c r="H40" t="str">
        <f>"0262194562"</f>
        <v>0262194562</v>
      </c>
      <c r="I40" t="str">
        <f>"9780262194563"</f>
        <v>9780262194563</v>
      </c>
      <c r="J40" s="1">
        <v>5.0</v>
      </c>
      <c r="K40" s="1">
        <v>4.33</v>
      </c>
      <c r="L40" s="1" t="s">
        <v>233</v>
      </c>
      <c r="M40" s="1" t="s">
        <v>55</v>
      </c>
      <c r="N40" s="1">
        <v>322.0</v>
      </c>
      <c r="O40" s="1">
        <v>2001.0</v>
      </c>
      <c r="P40" s="1">
        <v>2001.0</v>
      </c>
      <c r="R40" s="4">
        <v>43061.0</v>
      </c>
      <c r="U40" s="1" t="s">
        <v>41</v>
      </c>
      <c r="Y40" s="1">
        <v>2.0</v>
      </c>
      <c r="AB40" s="1">
        <v>0.0</v>
      </c>
    </row>
    <row r="41" hidden="1">
      <c r="A41" s="1">
        <v>193749.0</v>
      </c>
      <c r="B41" s="1" t="s">
        <v>234</v>
      </c>
      <c r="C41" s="1" t="s">
        <v>235</v>
      </c>
      <c r="D41" s="1"/>
      <c r="E41" s="1"/>
      <c r="F41" s="1" t="s">
        <v>236</v>
      </c>
      <c r="H41" t="str">
        <f>""</f>
        <v/>
      </c>
      <c r="I41" t="str">
        <f>"9780449227138"</f>
        <v>9780449227138</v>
      </c>
      <c r="J41" s="1">
        <v>0.0</v>
      </c>
      <c r="K41" s="1">
        <v>4.27</v>
      </c>
      <c r="L41" s="1" t="s">
        <v>237</v>
      </c>
      <c r="M41" s="1" t="s">
        <v>238</v>
      </c>
      <c r="N41" s="1">
        <v>288.0</v>
      </c>
      <c r="O41" s="1">
        <v>1997.0</v>
      </c>
      <c r="P41" s="1">
        <v>1996.0</v>
      </c>
      <c r="R41" s="4">
        <v>43053.0</v>
      </c>
      <c r="S41" s="1" t="s">
        <v>56</v>
      </c>
      <c r="T41" s="1" t="s">
        <v>239</v>
      </c>
      <c r="U41" s="1" t="s">
        <v>56</v>
      </c>
      <c r="Y41" s="1">
        <v>0.0</v>
      </c>
      <c r="AB41" s="1">
        <v>0.0</v>
      </c>
    </row>
    <row r="42" hidden="1">
      <c r="A42" s="1">
        <v>2.6597346E7</v>
      </c>
      <c r="B42" s="1" t="s">
        <v>240</v>
      </c>
      <c r="C42" s="1" t="s">
        <v>241</v>
      </c>
      <c r="D42" s="1"/>
      <c r="E42" s="1"/>
      <c r="F42" s="1" t="s">
        <v>242</v>
      </c>
      <c r="H42" t="str">
        <f>"0691167427"</f>
        <v>0691167427</v>
      </c>
      <c r="I42" t="str">
        <f>"9780691167428"</f>
        <v>9780691167428</v>
      </c>
      <c r="J42" s="1">
        <v>0.0</v>
      </c>
      <c r="K42" s="1">
        <v>4.07</v>
      </c>
      <c r="L42" s="1" t="s">
        <v>243</v>
      </c>
      <c r="M42" s="1" t="s">
        <v>55</v>
      </c>
      <c r="N42" s="1">
        <v>280.0</v>
      </c>
      <c r="O42" s="1">
        <v>2016.0</v>
      </c>
      <c r="P42" s="1">
        <v>2016.0</v>
      </c>
      <c r="R42" s="4">
        <v>43053.0</v>
      </c>
      <c r="S42" s="1" t="s">
        <v>56</v>
      </c>
      <c r="T42" s="1" t="s">
        <v>244</v>
      </c>
      <c r="U42" s="1" t="s">
        <v>56</v>
      </c>
      <c r="Y42" s="1">
        <v>0.0</v>
      </c>
      <c r="AB42" s="1">
        <v>0.0</v>
      </c>
    </row>
    <row r="43" hidden="1">
      <c r="A43" s="1">
        <v>2.0779034E7</v>
      </c>
      <c r="B43" s="1" t="s">
        <v>245</v>
      </c>
      <c r="C43" s="1" t="s">
        <v>246</v>
      </c>
      <c r="D43" s="1"/>
      <c r="E43" s="1"/>
      <c r="F43" s="1" t="s">
        <v>247</v>
      </c>
      <c r="H43" t="str">
        <f>"1782393501"</f>
        <v>1782393501</v>
      </c>
      <c r="I43" t="str">
        <f>"9781782393504"</f>
        <v>9781782393504</v>
      </c>
      <c r="J43" s="1">
        <v>0.0</v>
      </c>
      <c r="K43" s="1">
        <v>3.98</v>
      </c>
      <c r="L43" s="1" t="s">
        <v>248</v>
      </c>
      <c r="M43" s="1" t="s">
        <v>55</v>
      </c>
      <c r="N43" s="1">
        <v>294.0</v>
      </c>
      <c r="O43" s="1">
        <v>2014.0</v>
      </c>
      <c r="P43" s="1">
        <v>2014.0</v>
      </c>
      <c r="R43" s="4">
        <v>43053.0</v>
      </c>
      <c r="S43" s="1" t="s">
        <v>56</v>
      </c>
      <c r="T43" s="1" t="s">
        <v>249</v>
      </c>
      <c r="U43" s="1" t="s">
        <v>56</v>
      </c>
      <c r="Y43" s="1">
        <v>0.0</v>
      </c>
      <c r="AB43" s="1">
        <v>0.0</v>
      </c>
    </row>
    <row r="44">
      <c r="A44" s="1">
        <v>2.5899336E7</v>
      </c>
      <c r="B44" s="1" t="s">
        <v>250</v>
      </c>
      <c r="C44" s="1" t="s">
        <v>251</v>
      </c>
      <c r="D44" s="1" t="s">
        <v>71</v>
      </c>
      <c r="E44" s="1" t="s">
        <v>36</v>
      </c>
      <c r="F44" s="1" t="s">
        <v>252</v>
      </c>
      <c r="H44" t="str">
        <f t="shared" ref="H44:I44" si="5">""</f>
        <v/>
      </c>
      <c r="I44" t="str">
        <f t="shared" si="5"/>
        <v/>
      </c>
      <c r="J44" s="1">
        <v>4.0</v>
      </c>
      <c r="K44" s="1">
        <v>4.34</v>
      </c>
      <c r="L44" s="1" t="s">
        <v>253</v>
      </c>
      <c r="M44" s="1" t="s">
        <v>107</v>
      </c>
      <c r="N44" s="1">
        <v>208.0</v>
      </c>
      <c r="O44" s="1">
        <v>2016.0</v>
      </c>
      <c r="P44" s="1">
        <v>2016.0</v>
      </c>
      <c r="R44" s="4">
        <v>43053.0</v>
      </c>
      <c r="U44" s="1" t="s">
        <v>41</v>
      </c>
      <c r="Y44" s="1">
        <v>1.0</v>
      </c>
      <c r="AB44" s="1">
        <v>0.0</v>
      </c>
    </row>
    <row r="45">
      <c r="A45" s="1">
        <v>8544261.0</v>
      </c>
      <c r="B45" s="1" t="s">
        <v>254</v>
      </c>
      <c r="C45" s="1" t="s">
        <v>255</v>
      </c>
      <c r="D45" s="1" t="s">
        <v>120</v>
      </c>
      <c r="E45" s="1" t="s">
        <v>36</v>
      </c>
      <c r="F45" s="1" t="s">
        <v>256</v>
      </c>
      <c r="H45" t="str">
        <f>"2226215174"</f>
        <v>2226215174</v>
      </c>
      <c r="I45" t="str">
        <f>"9782226215178"</f>
        <v>9782226215178</v>
      </c>
      <c r="J45" s="1">
        <v>3.0</v>
      </c>
      <c r="K45" s="1">
        <v>3.45</v>
      </c>
      <c r="L45" s="1" t="s">
        <v>257</v>
      </c>
      <c r="M45" s="1" t="s">
        <v>40</v>
      </c>
      <c r="N45" s="1">
        <v>169.0</v>
      </c>
      <c r="O45" s="1">
        <v>2010.0</v>
      </c>
      <c r="P45" s="1">
        <v>2010.0</v>
      </c>
      <c r="Q45" s="4">
        <v>43051.0</v>
      </c>
      <c r="R45" s="4">
        <v>43051.0</v>
      </c>
      <c r="U45" s="1" t="s">
        <v>41</v>
      </c>
      <c r="Y45" s="1">
        <v>2.0</v>
      </c>
      <c r="AB45" s="1">
        <v>0.0</v>
      </c>
    </row>
    <row r="46">
      <c r="A46" s="1">
        <v>3.412823E7</v>
      </c>
      <c r="B46" s="1" t="s">
        <v>258</v>
      </c>
      <c r="C46" s="1" t="s">
        <v>259</v>
      </c>
      <c r="D46" s="1" t="s">
        <v>35</v>
      </c>
      <c r="E46" s="1" t="s">
        <v>65</v>
      </c>
      <c r="F46" s="1" t="s">
        <v>260</v>
      </c>
      <c r="H46" t="str">
        <f>"0385352565"</f>
        <v>0385352565</v>
      </c>
      <c r="I46" t="str">
        <f>"9780385352567"</f>
        <v>9780385352567</v>
      </c>
      <c r="J46" s="1">
        <v>5.0</v>
      </c>
      <c r="K46" s="1">
        <v>3.92</v>
      </c>
      <c r="L46" s="1" t="s">
        <v>261</v>
      </c>
      <c r="M46" s="1" t="s">
        <v>55</v>
      </c>
      <c r="N46" s="1">
        <v>256.0</v>
      </c>
      <c r="O46" s="1">
        <v>2017.0</v>
      </c>
      <c r="P46" s="1">
        <v>2017.0</v>
      </c>
      <c r="Q46" s="4">
        <v>43053.0</v>
      </c>
      <c r="R46" s="2">
        <v>43045.0</v>
      </c>
      <c r="U46" s="1" t="s">
        <v>41</v>
      </c>
      <c r="Y46" s="1">
        <v>1.0</v>
      </c>
      <c r="AB46" s="1">
        <v>0.0</v>
      </c>
    </row>
    <row r="47">
      <c r="A47" s="1">
        <v>2.1086818E7</v>
      </c>
      <c r="B47" s="1" t="s">
        <v>262</v>
      </c>
      <c r="C47" s="1" t="s">
        <v>263</v>
      </c>
      <c r="D47" s="1" t="s">
        <v>35</v>
      </c>
      <c r="E47" s="1" t="s">
        <v>65</v>
      </c>
      <c r="F47" s="1" t="s">
        <v>264</v>
      </c>
      <c r="H47" t="str">
        <f>"0297869876"</f>
        <v>0297869876</v>
      </c>
      <c r="I47" t="str">
        <f>"9780297869870"</f>
        <v>9780297869870</v>
      </c>
      <c r="J47" s="1">
        <v>4.0</v>
      </c>
      <c r="K47" s="1">
        <v>4.23</v>
      </c>
      <c r="L47" s="1" t="s">
        <v>265</v>
      </c>
      <c r="M47" s="1" t="s">
        <v>55</v>
      </c>
      <c r="N47" s="1">
        <v>278.0</v>
      </c>
      <c r="O47" s="1">
        <v>2014.0</v>
      </c>
      <c r="P47" s="1">
        <v>2014.0</v>
      </c>
      <c r="Q47" s="4">
        <v>43026.0</v>
      </c>
      <c r="R47" s="2">
        <v>43004.0</v>
      </c>
      <c r="U47" s="1" t="s">
        <v>41</v>
      </c>
      <c r="Y47" s="1">
        <v>1.0</v>
      </c>
      <c r="AB47" s="1">
        <v>0.0</v>
      </c>
    </row>
    <row r="48" hidden="1">
      <c r="A48" s="1">
        <v>515466.0</v>
      </c>
      <c r="B48" s="1" t="s">
        <v>266</v>
      </c>
      <c r="C48" s="1" t="s">
        <v>267</v>
      </c>
      <c r="D48" s="1"/>
      <c r="E48" s="1"/>
      <c r="F48" s="1" t="s">
        <v>268</v>
      </c>
      <c r="H48" t="str">
        <f>"014012991X"</f>
        <v>014012991X</v>
      </c>
      <c r="I48" t="str">
        <f>"9780140129915"</f>
        <v>9780140129915</v>
      </c>
      <c r="J48" s="1">
        <v>0.0</v>
      </c>
      <c r="K48" s="1">
        <v>4.21</v>
      </c>
      <c r="L48" s="1" t="s">
        <v>269</v>
      </c>
      <c r="M48" s="1" t="s">
        <v>40</v>
      </c>
      <c r="N48" s="1">
        <v>328.0</v>
      </c>
      <c r="O48" s="1">
        <v>1994.0</v>
      </c>
      <c r="P48" s="1">
        <v>1993.0</v>
      </c>
      <c r="R48" s="2">
        <v>43006.0</v>
      </c>
      <c r="S48" s="1" t="s">
        <v>56</v>
      </c>
      <c r="T48" s="1" t="s">
        <v>270</v>
      </c>
      <c r="U48" s="1" t="s">
        <v>56</v>
      </c>
      <c r="Y48" s="1">
        <v>0.0</v>
      </c>
      <c r="AB48" s="1">
        <v>0.0</v>
      </c>
    </row>
    <row r="49" hidden="1">
      <c r="A49" s="1">
        <v>4420281.0</v>
      </c>
      <c r="B49" s="1" t="s">
        <v>271</v>
      </c>
      <c r="C49" s="1" t="s">
        <v>272</v>
      </c>
      <c r="D49" s="1"/>
      <c r="E49" s="1"/>
      <c r="F49" s="1" t="s">
        <v>273</v>
      </c>
      <c r="H49" t="str">
        <f>"0375425020"</f>
        <v>0375425020</v>
      </c>
      <c r="I49" t="str">
        <f>"9780375425028"</f>
        <v>9780375425028</v>
      </c>
      <c r="J49" s="1">
        <v>0.0</v>
      </c>
      <c r="K49" s="1">
        <v>3.89</v>
      </c>
      <c r="L49" s="1" t="s">
        <v>274</v>
      </c>
      <c r="M49" s="1" t="s">
        <v>55</v>
      </c>
      <c r="N49" s="1">
        <v>304.0</v>
      </c>
      <c r="O49" s="1">
        <v>2008.0</v>
      </c>
      <c r="P49" s="1">
        <v>2008.0</v>
      </c>
      <c r="R49" s="2">
        <v>43006.0</v>
      </c>
      <c r="S49" s="1" t="s">
        <v>56</v>
      </c>
      <c r="T49" s="1" t="s">
        <v>275</v>
      </c>
      <c r="U49" s="1" t="s">
        <v>56</v>
      </c>
      <c r="Y49" s="1">
        <v>0.0</v>
      </c>
      <c r="AB49" s="1">
        <v>0.0</v>
      </c>
    </row>
    <row r="50">
      <c r="A50" s="1">
        <v>1.1629548E7</v>
      </c>
      <c r="B50" s="1" t="s">
        <v>276</v>
      </c>
      <c r="C50" s="1" t="s">
        <v>277</v>
      </c>
      <c r="D50" s="1" t="s">
        <v>72</v>
      </c>
      <c r="E50" s="1" t="s">
        <v>278</v>
      </c>
      <c r="F50" s="1" t="s">
        <v>279</v>
      </c>
      <c r="H50" t="str">
        <f>"8809202198"</f>
        <v>8809202198</v>
      </c>
      <c r="I50" t="str">
        <f>"9788809202191"</f>
        <v>9788809202191</v>
      </c>
      <c r="J50" s="1">
        <v>4.0</v>
      </c>
      <c r="K50" s="1">
        <v>4.0</v>
      </c>
      <c r="L50" s="1" t="s">
        <v>280</v>
      </c>
      <c r="N50" s="1">
        <v>291.0</v>
      </c>
      <c r="O50" s="1">
        <v>1992.0</v>
      </c>
      <c r="P50" s="1">
        <v>1992.0</v>
      </c>
      <c r="Q50" s="2">
        <v>43004.0</v>
      </c>
      <c r="R50" s="2">
        <v>42978.0</v>
      </c>
      <c r="U50" s="1" t="s">
        <v>41</v>
      </c>
      <c r="Y50" s="1">
        <v>1.0</v>
      </c>
      <c r="AB50" s="1">
        <v>0.0</v>
      </c>
    </row>
    <row r="51">
      <c r="A51" s="1">
        <v>2.3363874E7</v>
      </c>
      <c r="B51" s="1" t="s">
        <v>281</v>
      </c>
      <c r="C51" s="1" t="s">
        <v>184</v>
      </c>
      <c r="D51" s="1" t="s">
        <v>35</v>
      </c>
      <c r="E51" s="1" t="s">
        <v>65</v>
      </c>
      <c r="F51" s="1" t="s">
        <v>185</v>
      </c>
      <c r="H51" t="str">
        <f>"1782115080"</f>
        <v>1782115080</v>
      </c>
      <c r="I51" t="str">
        <f>"9781782115083"</f>
        <v>9781782115083</v>
      </c>
      <c r="J51" s="1">
        <v>5.0</v>
      </c>
      <c r="K51" s="1">
        <v>4.19</v>
      </c>
      <c r="L51" s="1" t="s">
        <v>186</v>
      </c>
      <c r="M51" s="1" t="s">
        <v>55</v>
      </c>
      <c r="N51" s="1">
        <v>266.0</v>
      </c>
      <c r="O51" s="1">
        <v>2015.0</v>
      </c>
      <c r="P51" s="1">
        <v>2015.0</v>
      </c>
      <c r="Q51" s="2">
        <v>43005.0</v>
      </c>
      <c r="R51" s="2">
        <v>43005.0</v>
      </c>
      <c r="U51" s="1" t="s">
        <v>41</v>
      </c>
      <c r="Y51" s="1">
        <v>1.0</v>
      </c>
      <c r="AB51" s="1">
        <v>0.0</v>
      </c>
    </row>
    <row r="52" hidden="1">
      <c r="A52" s="1">
        <v>2.9100194E7</v>
      </c>
      <c r="B52" s="1" t="s">
        <v>282</v>
      </c>
      <c r="C52" s="1" t="s">
        <v>283</v>
      </c>
      <c r="D52" s="1"/>
      <c r="E52" s="1"/>
      <c r="F52" s="1" t="s">
        <v>284</v>
      </c>
      <c r="H52" t="str">
        <f>"0062339338"</f>
        <v>0062339338</v>
      </c>
      <c r="I52" t="str">
        <f>"9780062339331"</f>
        <v>9780062339331</v>
      </c>
      <c r="J52" s="1">
        <v>0.0</v>
      </c>
      <c r="K52" s="1">
        <v>3.6</v>
      </c>
      <c r="L52" s="1" t="s">
        <v>285</v>
      </c>
      <c r="M52" s="1" t="s">
        <v>55</v>
      </c>
      <c r="N52" s="1">
        <v>285.0</v>
      </c>
      <c r="O52" s="1">
        <v>2016.0</v>
      </c>
      <c r="P52" s="1">
        <v>2016.0</v>
      </c>
      <c r="R52" s="2">
        <v>43005.0</v>
      </c>
      <c r="S52" s="1" t="s">
        <v>56</v>
      </c>
      <c r="T52" s="1" t="s">
        <v>286</v>
      </c>
      <c r="U52" s="1" t="s">
        <v>56</v>
      </c>
      <c r="Y52" s="1">
        <v>0.0</v>
      </c>
      <c r="AB52" s="1">
        <v>0.0</v>
      </c>
    </row>
    <row r="53">
      <c r="A53" s="1">
        <v>3231307.0</v>
      </c>
      <c r="B53" s="1" t="s">
        <v>287</v>
      </c>
      <c r="C53" s="1" t="s">
        <v>288</v>
      </c>
      <c r="D53" s="1" t="s">
        <v>35</v>
      </c>
      <c r="E53" s="1" t="s">
        <v>65</v>
      </c>
      <c r="F53" s="1" t="s">
        <v>289</v>
      </c>
      <c r="G53" s="1" t="s">
        <v>290</v>
      </c>
      <c r="H53" t="str">
        <f>"0415039606"</f>
        <v>0415039606</v>
      </c>
      <c r="I53" t="str">
        <f>"9780415039604"</f>
        <v>9780415039604</v>
      </c>
      <c r="J53" s="1">
        <v>5.0</v>
      </c>
      <c r="K53" s="1">
        <v>3.79</v>
      </c>
      <c r="L53" s="1" t="s">
        <v>291</v>
      </c>
      <c r="M53" s="1" t="s">
        <v>40</v>
      </c>
      <c r="N53" s="1">
        <v>184.0</v>
      </c>
      <c r="O53" s="1">
        <v>1965.0</v>
      </c>
      <c r="P53" s="1">
        <v>1592.0</v>
      </c>
      <c r="Q53" s="2">
        <v>42978.0</v>
      </c>
      <c r="R53" s="2">
        <v>42975.0</v>
      </c>
      <c r="U53" s="1" t="s">
        <v>41</v>
      </c>
      <c r="Y53" s="1">
        <v>1.0</v>
      </c>
      <c r="AB53" s="1">
        <v>0.0</v>
      </c>
    </row>
    <row r="54" hidden="1">
      <c r="A54" s="1">
        <v>1.7934759E7</v>
      </c>
      <c r="B54" s="1" t="s">
        <v>292</v>
      </c>
      <c r="C54" s="1" t="s">
        <v>293</v>
      </c>
      <c r="D54" s="1"/>
      <c r="E54" s="1"/>
      <c r="F54" s="1" t="s">
        <v>294</v>
      </c>
      <c r="H54" t="str">
        <f>"0847842134"</f>
        <v>0847842134</v>
      </c>
      <c r="I54" t="str">
        <f>"9780847842131"</f>
        <v>9780847842131</v>
      </c>
      <c r="J54" s="1">
        <v>0.0</v>
      </c>
      <c r="K54" s="1">
        <v>4.51</v>
      </c>
      <c r="L54" s="1" t="s">
        <v>295</v>
      </c>
      <c r="M54" s="1" t="s">
        <v>55</v>
      </c>
      <c r="N54" s="1">
        <v>396.0</v>
      </c>
      <c r="O54" s="1">
        <v>2013.0</v>
      </c>
      <c r="P54" s="1">
        <v>1981.0</v>
      </c>
      <c r="R54" s="2">
        <v>41820.0</v>
      </c>
      <c r="S54" s="1" t="s">
        <v>56</v>
      </c>
      <c r="T54" s="1" t="s">
        <v>296</v>
      </c>
      <c r="U54" s="1" t="s">
        <v>56</v>
      </c>
      <c r="Y54" s="1">
        <v>0.0</v>
      </c>
      <c r="AB54" s="1">
        <v>0.0</v>
      </c>
    </row>
    <row r="55">
      <c r="A55" s="1">
        <v>23887.0</v>
      </c>
      <c r="B55" s="1" t="s">
        <v>297</v>
      </c>
      <c r="C55" s="1" t="s">
        <v>298</v>
      </c>
      <c r="D55" s="1" t="s">
        <v>299</v>
      </c>
      <c r="E55" s="1" t="s">
        <v>36</v>
      </c>
      <c r="F55" s="1" t="s">
        <v>300</v>
      </c>
      <c r="G55" s="1" t="s">
        <v>301</v>
      </c>
      <c r="H55" t="str">
        <f>"0060882867"</f>
        <v>0060882867</v>
      </c>
      <c r="I55" t="str">
        <f>"9780060882860"</f>
        <v>9780060882860</v>
      </c>
      <c r="J55" s="1">
        <v>5.0</v>
      </c>
      <c r="K55" s="1">
        <v>3.84</v>
      </c>
      <c r="L55" s="1" t="s">
        <v>178</v>
      </c>
      <c r="M55" s="1" t="s">
        <v>40</v>
      </c>
      <c r="N55" s="1">
        <v>255.0</v>
      </c>
      <c r="O55" s="1">
        <v>2006.0</v>
      </c>
      <c r="P55" s="1">
        <v>1975.0</v>
      </c>
      <c r="Q55" s="2">
        <v>42974.0</v>
      </c>
      <c r="R55" s="2">
        <v>42973.0</v>
      </c>
      <c r="U55" s="1" t="s">
        <v>41</v>
      </c>
      <c r="Y55" s="1">
        <v>1.0</v>
      </c>
      <c r="AB55" s="1">
        <v>0.0</v>
      </c>
    </row>
    <row r="56">
      <c r="A56" s="1">
        <v>17716.0</v>
      </c>
      <c r="B56" s="1" t="s">
        <v>302</v>
      </c>
      <c r="C56" s="1" t="s">
        <v>303</v>
      </c>
      <c r="D56" s="1" t="s">
        <v>304</v>
      </c>
      <c r="E56" s="1" t="s">
        <v>65</v>
      </c>
      <c r="F56" s="1" t="s">
        <v>305</v>
      </c>
      <c r="H56" t="str">
        <f t="shared" ref="H56:I56" si="6">""</f>
        <v/>
      </c>
      <c r="I56" t="str">
        <f t="shared" si="6"/>
        <v/>
      </c>
      <c r="J56" s="1">
        <v>5.0</v>
      </c>
      <c r="K56" s="1">
        <v>3.82</v>
      </c>
      <c r="L56" s="1" t="s">
        <v>306</v>
      </c>
      <c r="M56" s="1" t="s">
        <v>40</v>
      </c>
      <c r="N56" s="1">
        <v>109.0</v>
      </c>
      <c r="O56" s="1">
        <v>2011.0</v>
      </c>
      <c r="P56" s="1">
        <v>1952.0</v>
      </c>
      <c r="R56" s="2">
        <v>42973.0</v>
      </c>
      <c r="U56" s="1" t="s">
        <v>41</v>
      </c>
      <c r="Y56" s="1">
        <v>1.0</v>
      </c>
      <c r="AB56" s="1">
        <v>0.0</v>
      </c>
    </row>
    <row r="57">
      <c r="A57" s="1">
        <v>2175.0</v>
      </c>
      <c r="B57" s="1" t="s">
        <v>307</v>
      </c>
      <c r="C57" s="1" t="s">
        <v>308</v>
      </c>
      <c r="D57" s="1" t="s">
        <v>120</v>
      </c>
      <c r="E57" s="1" t="s">
        <v>278</v>
      </c>
      <c r="F57" s="1" t="s">
        <v>309</v>
      </c>
      <c r="G57" s="1" t="s">
        <v>310</v>
      </c>
      <c r="H57" t="str">
        <f>"0192840398"</f>
        <v>0192840398</v>
      </c>
      <c r="I57" t="str">
        <f>"9780192840394"</f>
        <v>9780192840394</v>
      </c>
      <c r="J57" s="1">
        <v>2.0</v>
      </c>
      <c r="K57" s="1">
        <v>3.66</v>
      </c>
      <c r="L57" s="1" t="s">
        <v>311</v>
      </c>
      <c r="M57" s="1" t="s">
        <v>40</v>
      </c>
      <c r="N57" s="1">
        <v>329.0</v>
      </c>
      <c r="O57" s="1">
        <v>2004.0</v>
      </c>
      <c r="P57" s="1">
        <v>1856.0</v>
      </c>
      <c r="R57" s="2">
        <v>42973.0</v>
      </c>
      <c r="U57" s="1" t="s">
        <v>41</v>
      </c>
      <c r="Y57" s="1">
        <v>1.0</v>
      </c>
      <c r="AB57" s="1">
        <v>0.0</v>
      </c>
    </row>
    <row r="58">
      <c r="A58" s="1">
        <v>4395.0</v>
      </c>
      <c r="B58" s="1" t="s">
        <v>312</v>
      </c>
      <c r="C58" s="1" t="s">
        <v>313</v>
      </c>
      <c r="D58" s="1" t="s">
        <v>71</v>
      </c>
      <c r="E58" s="1" t="s">
        <v>65</v>
      </c>
      <c r="F58" s="1" t="s">
        <v>314</v>
      </c>
      <c r="H58" t="str">
        <f>"0142000663"</f>
        <v>0142000663</v>
      </c>
      <c r="I58" t="str">
        <f>"9780142000663"</f>
        <v>9780142000663</v>
      </c>
      <c r="J58" s="1">
        <v>3.0</v>
      </c>
      <c r="K58" s="1">
        <v>3.94</v>
      </c>
      <c r="L58" s="1" t="s">
        <v>269</v>
      </c>
      <c r="M58" s="1" t="s">
        <v>40</v>
      </c>
      <c r="N58" s="1">
        <v>455.0</v>
      </c>
      <c r="O58" s="1">
        <v>2002.0</v>
      </c>
      <c r="P58" s="1">
        <v>1939.0</v>
      </c>
      <c r="Q58" s="2">
        <v>41147.0</v>
      </c>
      <c r="R58" s="2">
        <v>42973.0</v>
      </c>
      <c r="U58" s="1" t="s">
        <v>41</v>
      </c>
      <c r="Y58" s="1">
        <v>1.0</v>
      </c>
      <c r="AB58" s="1">
        <v>0.0</v>
      </c>
    </row>
    <row r="59">
      <c r="A59" s="1">
        <v>319790.0</v>
      </c>
      <c r="B59" s="1" t="s">
        <v>315</v>
      </c>
      <c r="C59" s="1" t="s">
        <v>316</v>
      </c>
      <c r="D59" s="1" t="s">
        <v>120</v>
      </c>
      <c r="E59" s="1" t="s">
        <v>36</v>
      </c>
      <c r="F59" s="1" t="s">
        <v>317</v>
      </c>
      <c r="G59" s="1" t="s">
        <v>318</v>
      </c>
      <c r="H59" t="str">
        <f>"0811207897"</f>
        <v>0811207897</v>
      </c>
      <c r="I59" t="str">
        <f>"9780811207898"</f>
        <v>9780811207898</v>
      </c>
      <c r="J59" s="1">
        <v>5.0</v>
      </c>
      <c r="K59" s="1">
        <v>4.09</v>
      </c>
      <c r="L59" s="1" t="s">
        <v>319</v>
      </c>
      <c r="M59" s="1" t="s">
        <v>40</v>
      </c>
      <c r="N59" s="1">
        <v>204.0</v>
      </c>
      <c r="O59" s="1">
        <v>1981.0</v>
      </c>
      <c r="P59" s="1">
        <v>1947.0</v>
      </c>
      <c r="Q59" s="2">
        <v>41512.0</v>
      </c>
      <c r="R59" s="2">
        <v>42973.0</v>
      </c>
      <c r="U59" s="1" t="s">
        <v>41</v>
      </c>
      <c r="Y59" s="1">
        <v>1.0</v>
      </c>
      <c r="AB59" s="1">
        <v>0.0</v>
      </c>
    </row>
    <row r="60">
      <c r="A60" s="1">
        <v>2.9482662E7</v>
      </c>
      <c r="B60" s="1" t="s">
        <v>320</v>
      </c>
      <c r="C60" s="1" t="s">
        <v>321</v>
      </c>
      <c r="D60" s="1" t="s">
        <v>35</v>
      </c>
      <c r="E60" s="1" t="s">
        <v>65</v>
      </c>
      <c r="F60" s="1" t="s">
        <v>322</v>
      </c>
      <c r="H60" t="str">
        <f>"1781252793"</f>
        <v>1781252793</v>
      </c>
      <c r="I60" t="str">
        <f>"9781781252796"</f>
        <v>9781781252796</v>
      </c>
      <c r="J60" s="1">
        <v>4.0</v>
      </c>
      <c r="K60" s="1">
        <v>3.53</v>
      </c>
      <c r="L60" s="1" t="s">
        <v>323</v>
      </c>
      <c r="M60" s="1" t="s">
        <v>55</v>
      </c>
      <c r="N60" s="1">
        <v>320.0</v>
      </c>
      <c r="O60" s="1">
        <v>2016.0</v>
      </c>
      <c r="P60" s="1">
        <v>2016.0</v>
      </c>
      <c r="Q60" s="2">
        <v>42970.0</v>
      </c>
      <c r="R60" s="2">
        <v>42927.0</v>
      </c>
      <c r="U60" s="1" t="s">
        <v>41</v>
      </c>
      <c r="Y60" s="1">
        <v>1.0</v>
      </c>
      <c r="AB60" s="1">
        <v>0.0</v>
      </c>
    </row>
    <row r="61">
      <c r="A61" s="1">
        <v>7437.0</v>
      </c>
      <c r="B61" s="1" t="s">
        <v>324</v>
      </c>
      <c r="C61" s="1" t="s">
        <v>325</v>
      </c>
      <c r="D61" s="1" t="s">
        <v>71</v>
      </c>
      <c r="E61" s="1" t="s">
        <v>65</v>
      </c>
      <c r="F61" s="1" t="s">
        <v>326</v>
      </c>
      <c r="G61" s="1" t="s">
        <v>327</v>
      </c>
      <c r="H61" t="str">
        <f>"0802140181"</f>
        <v>0802140181</v>
      </c>
      <c r="I61" t="str">
        <f>"9780802140180"</f>
        <v>9780802140180</v>
      </c>
      <c r="J61" s="1">
        <v>4.0</v>
      </c>
      <c r="K61" s="1">
        <v>3.45</v>
      </c>
      <c r="L61" s="1" t="s">
        <v>328</v>
      </c>
      <c r="M61" s="1" t="s">
        <v>40</v>
      </c>
      <c r="N61" s="1">
        <v>289.0</v>
      </c>
      <c r="O61" s="1">
        <v>2004.0</v>
      </c>
      <c r="P61" s="1">
        <v>1959.0</v>
      </c>
      <c r="R61" s="2">
        <v>42953.0</v>
      </c>
      <c r="U61" s="1" t="s">
        <v>41</v>
      </c>
      <c r="Y61" s="1">
        <v>1.0</v>
      </c>
      <c r="AB61" s="1">
        <v>0.0</v>
      </c>
    </row>
    <row r="62">
      <c r="A62" s="1">
        <v>11.0</v>
      </c>
      <c r="B62" s="1" t="s">
        <v>329</v>
      </c>
      <c r="C62" s="1" t="s">
        <v>330</v>
      </c>
      <c r="D62" s="1" t="s">
        <v>35</v>
      </c>
      <c r="E62" s="1" t="s">
        <v>65</v>
      </c>
      <c r="F62" s="1" t="s">
        <v>331</v>
      </c>
      <c r="H62" t="str">
        <f>"0345391802"</f>
        <v>0345391802</v>
      </c>
      <c r="I62" t="str">
        <f>"9780345391803"</f>
        <v>9780345391803</v>
      </c>
      <c r="J62" s="1">
        <v>3.0</v>
      </c>
      <c r="K62" s="1">
        <v>4.21</v>
      </c>
      <c r="L62" s="1" t="s">
        <v>332</v>
      </c>
      <c r="M62" s="1" t="s">
        <v>238</v>
      </c>
      <c r="N62" s="1">
        <v>216.0</v>
      </c>
      <c r="O62" s="1">
        <v>2017.0</v>
      </c>
      <c r="P62" s="1">
        <v>1979.0</v>
      </c>
      <c r="Q62" s="2">
        <v>41245.0</v>
      </c>
      <c r="R62" s="4">
        <v>41242.0</v>
      </c>
      <c r="U62" s="1" t="s">
        <v>41</v>
      </c>
      <c r="Y62" s="1">
        <v>1.0</v>
      </c>
      <c r="AB62" s="1">
        <v>0.0</v>
      </c>
    </row>
    <row r="63">
      <c r="A63" s="1">
        <v>1.3330771E7</v>
      </c>
      <c r="B63" s="1" t="s">
        <v>333</v>
      </c>
      <c r="C63" s="1" t="s">
        <v>259</v>
      </c>
      <c r="D63" s="1" t="s">
        <v>35</v>
      </c>
      <c r="E63" s="1" t="s">
        <v>65</v>
      </c>
      <c r="F63" s="1" t="s">
        <v>260</v>
      </c>
      <c r="H63" t="str">
        <f>"0307957241"</f>
        <v>0307957241</v>
      </c>
      <c r="I63" t="str">
        <f>"9780307957245"</f>
        <v>9780307957245</v>
      </c>
      <c r="J63" s="1">
        <v>4.0</v>
      </c>
      <c r="K63" s="1">
        <v>3.88</v>
      </c>
      <c r="L63" s="1" t="s">
        <v>334</v>
      </c>
      <c r="M63" s="1" t="s">
        <v>55</v>
      </c>
      <c r="N63" s="1">
        <v>326.0</v>
      </c>
      <c r="O63" s="1">
        <v>2012.0</v>
      </c>
      <c r="P63" s="1">
        <v>2012.0</v>
      </c>
      <c r="Q63" s="2">
        <v>42927.0</v>
      </c>
      <c r="R63" s="2">
        <v>42898.0</v>
      </c>
      <c r="U63" s="1" t="s">
        <v>41</v>
      </c>
      <c r="Y63" s="1">
        <v>1.0</v>
      </c>
      <c r="AB63" s="1">
        <v>0.0</v>
      </c>
    </row>
    <row r="64">
      <c r="A64" s="1">
        <v>219106.0</v>
      </c>
      <c r="B64" s="1" t="s">
        <v>335</v>
      </c>
      <c r="C64" s="1" t="s">
        <v>336</v>
      </c>
      <c r="D64" s="1" t="s">
        <v>71</v>
      </c>
      <c r="E64" s="1" t="s">
        <v>65</v>
      </c>
      <c r="F64" s="1" t="s">
        <v>337</v>
      </c>
      <c r="H64" t="str">
        <f>"0060674695"</f>
        <v>0060674695</v>
      </c>
      <c r="I64" t="str">
        <f>"9780060674694"</f>
        <v>9780060674694</v>
      </c>
      <c r="J64" s="1">
        <v>4.0</v>
      </c>
      <c r="K64" s="1">
        <v>4.09</v>
      </c>
      <c r="L64" s="1" t="s">
        <v>338</v>
      </c>
      <c r="M64" s="1" t="s">
        <v>40</v>
      </c>
      <c r="N64" s="1">
        <v>240.0</v>
      </c>
      <c r="O64" s="1">
        <v>1977.0</v>
      </c>
      <c r="P64" s="1">
        <v>1977.0</v>
      </c>
      <c r="Q64" s="2">
        <v>42893.0</v>
      </c>
      <c r="R64" s="2">
        <v>42883.0</v>
      </c>
      <c r="U64" s="1" t="s">
        <v>41</v>
      </c>
      <c r="Y64" s="1">
        <v>1.0</v>
      </c>
      <c r="AB64" s="1">
        <v>0.0</v>
      </c>
    </row>
    <row r="65">
      <c r="A65" s="1">
        <v>1.7804361E7</v>
      </c>
      <c r="B65" s="1" t="s">
        <v>339</v>
      </c>
      <c r="C65" s="1" t="s">
        <v>340</v>
      </c>
      <c r="D65" s="1" t="s">
        <v>71</v>
      </c>
      <c r="E65" s="1" t="s">
        <v>65</v>
      </c>
      <c r="F65" s="1" t="s">
        <v>341</v>
      </c>
      <c r="H65" t="str">
        <f>"0674724771"</f>
        <v>0674724771</v>
      </c>
      <c r="I65" t="str">
        <f>"9780674724778"</f>
        <v>9780674724778</v>
      </c>
      <c r="J65" s="1">
        <v>5.0</v>
      </c>
      <c r="K65" s="1">
        <v>3.9</v>
      </c>
      <c r="L65" s="1" t="s">
        <v>342</v>
      </c>
      <c r="M65" s="1" t="s">
        <v>55</v>
      </c>
      <c r="N65" s="1">
        <v>178.0</v>
      </c>
      <c r="O65" s="1">
        <v>2014.0</v>
      </c>
      <c r="P65" s="1">
        <v>2014.0</v>
      </c>
      <c r="Q65" s="2">
        <v>42873.0</v>
      </c>
      <c r="R65" s="2">
        <v>42859.0</v>
      </c>
      <c r="U65" s="1" t="s">
        <v>41</v>
      </c>
      <c r="Y65" s="1">
        <v>1.0</v>
      </c>
      <c r="AB65" s="1">
        <v>0.0</v>
      </c>
    </row>
    <row r="66" hidden="1">
      <c r="A66" s="1">
        <v>2.6530322E7</v>
      </c>
      <c r="B66" s="1" t="s">
        <v>343</v>
      </c>
      <c r="C66" s="1" t="s">
        <v>344</v>
      </c>
      <c r="D66" s="1"/>
      <c r="E66" s="1"/>
      <c r="F66" s="1" t="s">
        <v>345</v>
      </c>
      <c r="H66" t="str">
        <f>"0393246183"</f>
        <v>0393246183</v>
      </c>
      <c r="I66" t="str">
        <f>"9780393246186"</f>
        <v>9780393246186</v>
      </c>
      <c r="J66" s="1">
        <v>0.0</v>
      </c>
      <c r="K66" s="1">
        <v>3.95</v>
      </c>
      <c r="L66" s="1" t="s">
        <v>346</v>
      </c>
      <c r="M66" s="1" t="s">
        <v>55</v>
      </c>
      <c r="N66" s="1">
        <v>340.0</v>
      </c>
      <c r="O66" s="1">
        <v>2016.0</v>
      </c>
      <c r="P66" s="1">
        <v>2016.0</v>
      </c>
      <c r="R66" s="2">
        <v>42859.0</v>
      </c>
      <c r="S66" s="1" t="s">
        <v>56</v>
      </c>
      <c r="T66" s="1" t="s">
        <v>347</v>
      </c>
      <c r="U66" s="1" t="s">
        <v>56</v>
      </c>
      <c r="Y66" s="1">
        <v>0.0</v>
      </c>
      <c r="AB66" s="1">
        <v>0.0</v>
      </c>
    </row>
    <row r="67" hidden="1">
      <c r="A67" s="1">
        <v>2.6530389E7</v>
      </c>
      <c r="B67" s="1" t="s">
        <v>348</v>
      </c>
      <c r="C67" s="1" t="s">
        <v>349</v>
      </c>
      <c r="D67" s="1"/>
      <c r="E67" s="1"/>
      <c r="F67" s="1" t="s">
        <v>350</v>
      </c>
      <c r="H67" t="str">
        <f>"0393253783"</f>
        <v>0393253783</v>
      </c>
      <c r="I67" t="str">
        <f>"9780393253788"</f>
        <v>9780393253788</v>
      </c>
      <c r="J67" s="1">
        <v>0.0</v>
      </c>
      <c r="K67" s="1">
        <v>3.95</v>
      </c>
      <c r="L67" s="1" t="s">
        <v>346</v>
      </c>
      <c r="M67" s="1" t="s">
        <v>55</v>
      </c>
      <c r="N67" s="1">
        <v>336.0</v>
      </c>
      <c r="O67" s="1">
        <v>2016.0</v>
      </c>
      <c r="P67" s="1">
        <v>2016.0</v>
      </c>
      <c r="R67" s="2">
        <v>42859.0</v>
      </c>
      <c r="S67" s="1" t="s">
        <v>56</v>
      </c>
      <c r="T67" s="1" t="s">
        <v>351</v>
      </c>
      <c r="U67" s="1" t="s">
        <v>56</v>
      </c>
      <c r="Y67" s="1">
        <v>0.0</v>
      </c>
      <c r="AB67" s="1">
        <v>0.0</v>
      </c>
    </row>
    <row r="68">
      <c r="A68" s="1">
        <v>2.7276428E7</v>
      </c>
      <c r="B68" s="1" t="s">
        <v>352</v>
      </c>
      <c r="C68" s="1" t="s">
        <v>353</v>
      </c>
      <c r="D68" s="1" t="s">
        <v>354</v>
      </c>
      <c r="E68" s="1" t="s">
        <v>65</v>
      </c>
      <c r="F68" s="1" t="s">
        <v>355</v>
      </c>
      <c r="H68" t="str">
        <f>"1476733503"</f>
        <v>1476733503</v>
      </c>
      <c r="I68" t="str">
        <f>"9781476733500"</f>
        <v>9781476733500</v>
      </c>
      <c r="J68" s="1">
        <v>5.0</v>
      </c>
      <c r="K68" s="1">
        <v>4.37</v>
      </c>
      <c r="L68" s="1" t="s">
        <v>356</v>
      </c>
      <c r="M68" s="1" t="s">
        <v>55</v>
      </c>
      <c r="N68" s="1">
        <v>592.0</v>
      </c>
      <c r="O68" s="1">
        <v>2016.0</v>
      </c>
      <c r="P68" s="1">
        <v>2016.0</v>
      </c>
      <c r="Q68" s="2">
        <v>42858.0</v>
      </c>
      <c r="R68" s="2">
        <v>42829.0</v>
      </c>
      <c r="U68" s="1" t="s">
        <v>41</v>
      </c>
      <c r="Y68" s="1">
        <v>1.0</v>
      </c>
      <c r="AB68" s="1">
        <v>0.0</v>
      </c>
    </row>
    <row r="69">
      <c r="A69" s="1">
        <v>355190.0</v>
      </c>
      <c r="B69" s="1" t="s">
        <v>357</v>
      </c>
      <c r="C69" s="1" t="s">
        <v>358</v>
      </c>
      <c r="D69" s="1" t="s">
        <v>71</v>
      </c>
      <c r="E69" s="1" t="s">
        <v>65</v>
      </c>
      <c r="F69" s="1" t="s">
        <v>359</v>
      </c>
      <c r="G69" s="1" t="s">
        <v>360</v>
      </c>
      <c r="H69" t="str">
        <f>"039474067X"</f>
        <v>039474067X</v>
      </c>
      <c r="I69" t="str">
        <f>"9780394740676"</f>
        <v>9780394740676</v>
      </c>
      <c r="J69" s="1">
        <v>4.0</v>
      </c>
      <c r="K69" s="1">
        <v>4.08</v>
      </c>
      <c r="L69" s="1" t="s">
        <v>361</v>
      </c>
      <c r="M69" s="1" t="s">
        <v>40</v>
      </c>
      <c r="N69" s="1">
        <v>395.0</v>
      </c>
      <c r="O69" s="1">
        <v>1979.0</v>
      </c>
      <c r="P69" s="1">
        <v>1978.0</v>
      </c>
      <c r="Q69" s="2">
        <v>42117.0</v>
      </c>
      <c r="R69" s="2">
        <v>42848.0</v>
      </c>
      <c r="U69" s="1" t="s">
        <v>41</v>
      </c>
      <c r="Y69" s="1">
        <v>1.0</v>
      </c>
      <c r="AB69" s="1">
        <v>0.0</v>
      </c>
    </row>
    <row r="70">
      <c r="A70" s="1">
        <v>1202.0</v>
      </c>
      <c r="B70" s="1" t="s">
        <v>362</v>
      </c>
      <c r="C70" s="1" t="s">
        <v>363</v>
      </c>
      <c r="D70" s="1" t="s">
        <v>71</v>
      </c>
      <c r="E70" s="1" t="s">
        <v>65</v>
      </c>
      <c r="F70" s="1" t="s">
        <v>364</v>
      </c>
      <c r="G70" s="1" t="s">
        <v>365</v>
      </c>
      <c r="H70" t="str">
        <f>"0061234001"</f>
        <v>0061234001</v>
      </c>
      <c r="I70" t="str">
        <f>"9780061234002"</f>
        <v>9780061234002</v>
      </c>
      <c r="J70" s="1">
        <v>3.0</v>
      </c>
      <c r="K70" s="1">
        <v>3.95</v>
      </c>
      <c r="L70" s="1" t="s">
        <v>366</v>
      </c>
      <c r="M70" s="1" t="s">
        <v>55</v>
      </c>
      <c r="N70" s="1">
        <v>320.0</v>
      </c>
      <c r="O70" s="1">
        <v>2006.0</v>
      </c>
      <c r="P70" s="1">
        <v>2005.0</v>
      </c>
      <c r="Q70" s="2">
        <v>41499.0</v>
      </c>
      <c r="R70" s="2">
        <v>41493.0</v>
      </c>
      <c r="U70" s="1" t="s">
        <v>41</v>
      </c>
      <c r="Y70" s="1">
        <v>1.0</v>
      </c>
      <c r="AB70" s="1">
        <v>0.0</v>
      </c>
    </row>
    <row r="71">
      <c r="A71" s="1">
        <v>3.0354426E7</v>
      </c>
      <c r="B71" s="1" t="s">
        <v>367</v>
      </c>
      <c r="C71" s="1" t="s">
        <v>368</v>
      </c>
      <c r="D71" s="1" t="s">
        <v>369</v>
      </c>
      <c r="E71" s="1" t="s">
        <v>65</v>
      </c>
      <c r="F71" s="1" t="s">
        <v>370</v>
      </c>
      <c r="H71" t="str">
        <f>"1501157558"</f>
        <v>1501157558</v>
      </c>
      <c r="I71" t="str">
        <f>"9781501157554"</f>
        <v>9781501157554</v>
      </c>
      <c r="J71" s="1">
        <v>4.0</v>
      </c>
      <c r="K71" s="1">
        <v>3.99</v>
      </c>
      <c r="L71" s="1" t="s">
        <v>371</v>
      </c>
      <c r="M71" s="1" t="s">
        <v>55</v>
      </c>
      <c r="N71" s="1">
        <v>368.0</v>
      </c>
      <c r="O71" s="1">
        <v>2017.0</v>
      </c>
      <c r="R71" s="2">
        <v>42847.0</v>
      </c>
      <c r="U71" s="1" t="s">
        <v>41</v>
      </c>
      <c r="Y71" s="1">
        <v>1.0</v>
      </c>
      <c r="AB71" s="1">
        <v>0.0</v>
      </c>
    </row>
    <row r="72" hidden="1">
      <c r="A72" s="1">
        <v>2.3552486E7</v>
      </c>
      <c r="B72" s="1" t="s">
        <v>372</v>
      </c>
      <c r="C72" s="1" t="s">
        <v>373</v>
      </c>
      <c r="D72" s="1"/>
      <c r="E72" s="1"/>
      <c r="F72" s="1" t="s">
        <v>374</v>
      </c>
      <c r="H72" t="str">
        <f t="shared" ref="H72:I72" si="7">""</f>
        <v/>
      </c>
      <c r="I72" t="str">
        <f t="shared" si="7"/>
        <v/>
      </c>
      <c r="J72" s="1">
        <v>0.0</v>
      </c>
      <c r="K72" s="1">
        <v>4.29</v>
      </c>
      <c r="L72" s="1" t="s">
        <v>375</v>
      </c>
      <c r="N72" s="1">
        <v>180.0</v>
      </c>
      <c r="O72" s="1">
        <v>2015.0</v>
      </c>
      <c r="P72" s="1">
        <v>2015.0</v>
      </c>
      <c r="R72" s="2">
        <v>42829.0</v>
      </c>
      <c r="S72" s="1" t="s">
        <v>56</v>
      </c>
      <c r="T72" s="1" t="s">
        <v>376</v>
      </c>
      <c r="U72" s="1" t="s">
        <v>56</v>
      </c>
      <c r="Y72" s="1">
        <v>0.0</v>
      </c>
      <c r="AB72" s="1">
        <v>0.0</v>
      </c>
    </row>
    <row r="73" hidden="1">
      <c r="A73" s="1">
        <v>4961048.0</v>
      </c>
      <c r="B73" s="1" t="s">
        <v>377</v>
      </c>
      <c r="C73" s="1" t="s">
        <v>378</v>
      </c>
      <c r="D73" s="1"/>
      <c r="E73" s="1"/>
      <c r="F73" s="1" t="s">
        <v>379</v>
      </c>
      <c r="H73" t="str">
        <f>"1439102252"</f>
        <v>1439102252</v>
      </c>
      <c r="I73" t="str">
        <f>"9781439102251"</f>
        <v>9781439102251</v>
      </c>
      <c r="J73" s="1">
        <v>0.0</v>
      </c>
      <c r="K73" s="1">
        <v>3.77</v>
      </c>
      <c r="L73" s="1" t="s">
        <v>380</v>
      </c>
      <c r="M73" s="1" t="s">
        <v>55</v>
      </c>
      <c r="N73" s="1">
        <v>163.0</v>
      </c>
      <c r="O73" s="1">
        <v>2008.0</v>
      </c>
      <c r="P73" s="1">
        <v>2008.0</v>
      </c>
      <c r="R73" s="2">
        <v>42829.0</v>
      </c>
      <c r="S73" s="1" t="s">
        <v>56</v>
      </c>
      <c r="T73" s="1" t="s">
        <v>381</v>
      </c>
      <c r="U73" s="1" t="s">
        <v>56</v>
      </c>
      <c r="Y73" s="1">
        <v>0.0</v>
      </c>
      <c r="AB73" s="1">
        <v>0.0</v>
      </c>
    </row>
    <row r="74" hidden="1">
      <c r="A74" s="1">
        <v>248704.0</v>
      </c>
      <c r="B74" s="1" t="s">
        <v>382</v>
      </c>
      <c r="C74" s="1" t="s">
        <v>383</v>
      </c>
      <c r="D74" s="1"/>
      <c r="E74" s="1"/>
      <c r="F74" s="1" t="s">
        <v>384</v>
      </c>
      <c r="H74" t="str">
        <f>"078685197X"</f>
        <v>078685197X</v>
      </c>
      <c r="I74" t="str">
        <f>"9780786851973"</f>
        <v>9780786851973</v>
      </c>
      <c r="J74" s="1">
        <v>0.0</v>
      </c>
      <c r="K74" s="1">
        <v>4.13</v>
      </c>
      <c r="L74" s="1" t="s">
        <v>385</v>
      </c>
      <c r="M74" s="1" t="s">
        <v>40</v>
      </c>
      <c r="N74" s="1">
        <v>444.0</v>
      </c>
      <c r="O74" s="1">
        <v>2007.0</v>
      </c>
      <c r="P74" s="1">
        <v>2006.0</v>
      </c>
      <c r="R74" s="2">
        <v>42829.0</v>
      </c>
      <c r="S74" s="1" t="s">
        <v>56</v>
      </c>
      <c r="T74" s="1" t="s">
        <v>386</v>
      </c>
      <c r="U74" s="1" t="s">
        <v>56</v>
      </c>
      <c r="Y74" s="1">
        <v>0.0</v>
      </c>
      <c r="AB74" s="1">
        <v>0.0</v>
      </c>
    </row>
    <row r="75" hidden="1">
      <c r="A75" s="1">
        <v>2.5189169E7</v>
      </c>
      <c r="B75" s="1" t="s">
        <v>387</v>
      </c>
      <c r="C75" s="1" t="s">
        <v>388</v>
      </c>
      <c r="D75" s="1"/>
      <c r="E75" s="1"/>
      <c r="F75" s="1" t="s">
        <v>389</v>
      </c>
      <c r="H75" t="str">
        <f t="shared" ref="H75:I75" si="8">""</f>
        <v/>
      </c>
      <c r="I75" t="str">
        <f t="shared" si="8"/>
        <v/>
      </c>
      <c r="J75" s="1">
        <v>0.0</v>
      </c>
      <c r="K75" s="1">
        <v>4.62</v>
      </c>
      <c r="L75" s="1" t="s">
        <v>390</v>
      </c>
      <c r="M75" s="1" t="s">
        <v>107</v>
      </c>
      <c r="N75" s="1">
        <v>115.0</v>
      </c>
      <c r="O75" s="1">
        <v>2015.0</v>
      </c>
      <c r="P75" s="1">
        <v>2015.0</v>
      </c>
      <c r="R75" s="2">
        <v>42829.0</v>
      </c>
      <c r="S75" s="1" t="s">
        <v>56</v>
      </c>
      <c r="T75" s="1" t="s">
        <v>391</v>
      </c>
      <c r="U75" s="1" t="s">
        <v>56</v>
      </c>
      <c r="Y75" s="1">
        <v>0.0</v>
      </c>
      <c r="AB75" s="1">
        <v>0.0</v>
      </c>
    </row>
    <row r="76" hidden="1">
      <c r="A76" s="1">
        <v>36434.0</v>
      </c>
      <c r="B76" s="1" t="s">
        <v>392</v>
      </c>
      <c r="C76" s="1" t="s">
        <v>393</v>
      </c>
      <c r="D76" s="1"/>
      <c r="E76" s="1"/>
      <c r="F76" s="1" t="s">
        <v>394</v>
      </c>
      <c r="H76" t="str">
        <f>"068483183X"</f>
        <v>068483183X</v>
      </c>
      <c r="I76" t="str">
        <f>"9780684831831"</f>
        <v>9780684831831</v>
      </c>
      <c r="J76" s="1">
        <v>0.0</v>
      </c>
      <c r="K76" s="1">
        <v>4.0</v>
      </c>
      <c r="L76" s="1" t="s">
        <v>395</v>
      </c>
      <c r="M76" s="1" t="s">
        <v>40</v>
      </c>
      <c r="N76" s="1">
        <v>384.0</v>
      </c>
      <c r="O76" s="1">
        <v>1996.0</v>
      </c>
      <c r="P76" s="1">
        <v>1996.0</v>
      </c>
      <c r="R76" s="2">
        <v>42829.0</v>
      </c>
      <c r="S76" s="1" t="s">
        <v>56</v>
      </c>
      <c r="T76" s="1" t="s">
        <v>396</v>
      </c>
      <c r="U76" s="1" t="s">
        <v>56</v>
      </c>
      <c r="Y76" s="1">
        <v>0.0</v>
      </c>
      <c r="AB76" s="1">
        <v>0.0</v>
      </c>
    </row>
    <row r="77">
      <c r="A77" s="1">
        <v>17349.0</v>
      </c>
      <c r="B77" s="1" t="s">
        <v>397</v>
      </c>
      <c r="C77" s="1" t="s">
        <v>398</v>
      </c>
      <c r="D77" s="1" t="s">
        <v>71</v>
      </c>
      <c r="E77" s="1" t="s">
        <v>65</v>
      </c>
      <c r="F77" s="1" t="s">
        <v>399</v>
      </c>
      <c r="G77" s="1" t="s">
        <v>400</v>
      </c>
      <c r="H77" t="str">
        <f>"0345409469"</f>
        <v>0345409469</v>
      </c>
      <c r="I77" t="str">
        <f>"9780345409461"</f>
        <v>9780345409461</v>
      </c>
      <c r="J77" s="1">
        <v>4.0</v>
      </c>
      <c r="K77" s="1">
        <v>4.27</v>
      </c>
      <c r="L77" s="1" t="s">
        <v>401</v>
      </c>
      <c r="M77" s="1" t="s">
        <v>40</v>
      </c>
      <c r="N77" s="1">
        <v>457.0</v>
      </c>
      <c r="O77" s="1">
        <v>1997.0</v>
      </c>
      <c r="P77" s="1">
        <v>1995.0</v>
      </c>
      <c r="Q77" s="2">
        <v>42829.0</v>
      </c>
      <c r="R77" s="2">
        <v>42829.0</v>
      </c>
      <c r="U77" s="1" t="s">
        <v>41</v>
      </c>
      <c r="Y77" s="1">
        <v>1.0</v>
      </c>
      <c r="AB77" s="1">
        <v>0.0</v>
      </c>
    </row>
    <row r="78">
      <c r="A78" s="1">
        <v>2.9452545E7</v>
      </c>
      <c r="B78" s="1" t="s">
        <v>402</v>
      </c>
      <c r="C78" s="1" t="s">
        <v>403</v>
      </c>
      <c r="D78" s="1" t="s">
        <v>404</v>
      </c>
      <c r="E78" s="1" t="s">
        <v>65</v>
      </c>
      <c r="F78" s="1" t="s">
        <v>405</v>
      </c>
      <c r="H78" t="str">
        <f>"0691172471"</f>
        <v>0691172471</v>
      </c>
      <c r="I78" t="str">
        <f>"9780691172477"</f>
        <v>9780691172477</v>
      </c>
      <c r="J78" s="1">
        <v>5.0</v>
      </c>
      <c r="K78" s="1">
        <v>3.92</v>
      </c>
      <c r="L78" s="1" t="s">
        <v>243</v>
      </c>
      <c r="M78" s="1" t="s">
        <v>55</v>
      </c>
      <c r="N78" s="1">
        <v>376.0</v>
      </c>
      <c r="O78" s="1">
        <v>2016.0</v>
      </c>
      <c r="P78" s="1">
        <v>2016.0</v>
      </c>
      <c r="Q78" s="2">
        <v>42829.0</v>
      </c>
      <c r="R78" s="2">
        <v>42803.0</v>
      </c>
      <c r="U78" s="1" t="s">
        <v>41</v>
      </c>
      <c r="Y78" s="1">
        <v>1.0</v>
      </c>
      <c r="AB78" s="1">
        <v>0.0</v>
      </c>
    </row>
    <row r="79">
      <c r="A79" s="1">
        <v>51291.0</v>
      </c>
      <c r="B79" s="1" t="s">
        <v>406</v>
      </c>
      <c r="C79" s="1" t="s">
        <v>407</v>
      </c>
      <c r="D79" s="1" t="s">
        <v>71</v>
      </c>
      <c r="E79" s="1" t="s">
        <v>65</v>
      </c>
      <c r="F79" s="1" t="s">
        <v>408</v>
      </c>
      <c r="G79" s="1" t="s">
        <v>409</v>
      </c>
      <c r="H79" t="str">
        <f>"0393310728"</f>
        <v>0393310728</v>
      </c>
      <c r="I79" t="str">
        <f>"9780393310726"</f>
        <v>9780393310726</v>
      </c>
      <c r="J79" s="1">
        <v>5.0</v>
      </c>
      <c r="K79" s="1">
        <v>3.87</v>
      </c>
      <c r="L79" s="1" t="s">
        <v>111</v>
      </c>
      <c r="M79" s="1" t="s">
        <v>40</v>
      </c>
      <c r="N79" s="1">
        <v>142.0</v>
      </c>
      <c r="O79" s="1">
        <v>1982.0</v>
      </c>
      <c r="P79" s="1">
        <v>1954.0</v>
      </c>
      <c r="R79" s="2">
        <v>42797.0</v>
      </c>
      <c r="U79" s="1" t="s">
        <v>41</v>
      </c>
      <c r="Y79" s="1">
        <v>1.0</v>
      </c>
      <c r="AB79" s="1">
        <v>0.0</v>
      </c>
    </row>
    <row r="80">
      <c r="A80" s="1">
        <v>9304123.0</v>
      </c>
      <c r="B80" s="1" t="s">
        <v>410</v>
      </c>
      <c r="C80" s="1" t="s">
        <v>411</v>
      </c>
      <c r="D80" s="1" t="s">
        <v>71</v>
      </c>
      <c r="E80" s="1" t="s">
        <v>65</v>
      </c>
      <c r="F80" s="1" t="s">
        <v>412</v>
      </c>
      <c r="H80" t="str">
        <f>"1594772509"</f>
        <v>1594772509</v>
      </c>
      <c r="I80" t="str">
        <f>"9781594772504"</f>
        <v>9781594772504</v>
      </c>
      <c r="J80" s="1">
        <v>4.0</v>
      </c>
      <c r="K80" s="1">
        <v>4.1</v>
      </c>
      <c r="L80" s="1" t="s">
        <v>413</v>
      </c>
      <c r="M80" s="1" t="s">
        <v>40</v>
      </c>
      <c r="N80" s="1">
        <v>256.0</v>
      </c>
      <c r="O80" s="1">
        <v>2010.0</v>
      </c>
      <c r="P80" s="1">
        <v>2010.0</v>
      </c>
      <c r="Q80" s="2">
        <v>42800.0</v>
      </c>
      <c r="R80" s="2">
        <v>42792.0</v>
      </c>
      <c r="U80" s="1" t="s">
        <v>41</v>
      </c>
      <c r="Y80" s="1">
        <v>1.0</v>
      </c>
      <c r="AB80" s="1">
        <v>0.0</v>
      </c>
    </row>
    <row r="81">
      <c r="A81" s="1">
        <v>2970950.0</v>
      </c>
      <c r="B81" s="1" t="s">
        <v>414</v>
      </c>
      <c r="C81" s="1" t="s">
        <v>415</v>
      </c>
      <c r="D81" s="1" t="s">
        <v>71</v>
      </c>
      <c r="E81" s="1" t="s">
        <v>65</v>
      </c>
      <c r="F81" s="1" t="s">
        <v>416</v>
      </c>
      <c r="H81" t="str">
        <f>"0140624104"</f>
        <v>0140624104</v>
      </c>
      <c r="I81" t="str">
        <f>"9780140624106"</f>
        <v>9780140624106</v>
      </c>
      <c r="J81" s="1">
        <v>4.0</v>
      </c>
      <c r="K81" s="1">
        <v>3.89</v>
      </c>
      <c r="L81" s="1" t="s">
        <v>269</v>
      </c>
      <c r="M81" s="1" t="s">
        <v>238</v>
      </c>
      <c r="N81" s="1">
        <v>192.0</v>
      </c>
      <c r="O81" s="1">
        <v>2007.0</v>
      </c>
      <c r="P81" s="1">
        <v>1922.0</v>
      </c>
      <c r="R81" s="2">
        <v>41252.0</v>
      </c>
      <c r="U81" s="1" t="s">
        <v>41</v>
      </c>
      <c r="Y81" s="1">
        <v>1.0</v>
      </c>
      <c r="AB81" s="1">
        <v>0.0</v>
      </c>
    </row>
    <row r="82">
      <c r="A82" s="1">
        <v>3.1138556E7</v>
      </c>
      <c r="B82" s="1" t="s">
        <v>417</v>
      </c>
      <c r="C82" s="1" t="s">
        <v>418</v>
      </c>
      <c r="D82" s="1" t="s">
        <v>419</v>
      </c>
      <c r="E82" s="1" t="s">
        <v>65</v>
      </c>
      <c r="F82" s="1" t="s">
        <v>420</v>
      </c>
      <c r="G82" s="1" t="s">
        <v>421</v>
      </c>
      <c r="H82" t="str">
        <f t="shared" ref="H82:I82" si="9">""</f>
        <v/>
      </c>
      <c r="I82" t="str">
        <f t="shared" si="9"/>
        <v/>
      </c>
      <c r="J82" s="1">
        <v>5.0</v>
      </c>
      <c r="K82" s="1">
        <v>4.3</v>
      </c>
      <c r="L82" s="1" t="s">
        <v>422</v>
      </c>
      <c r="M82" s="1" t="s">
        <v>107</v>
      </c>
      <c r="N82" s="1">
        <v>450.0</v>
      </c>
      <c r="O82" s="1">
        <v>2017.0</v>
      </c>
      <c r="P82" s="1">
        <v>2015.0</v>
      </c>
      <c r="R82" s="2">
        <v>42797.0</v>
      </c>
      <c r="U82" s="1" t="s">
        <v>41</v>
      </c>
      <c r="Y82" s="1">
        <v>1.0</v>
      </c>
      <c r="AB82" s="1">
        <v>0.0</v>
      </c>
    </row>
    <row r="83">
      <c r="A83" s="1">
        <v>34459.0</v>
      </c>
      <c r="B83" s="1" t="s">
        <v>423</v>
      </c>
      <c r="C83" s="1" t="s">
        <v>424</v>
      </c>
      <c r="D83" s="1" t="s">
        <v>71</v>
      </c>
      <c r="E83" s="1" t="s">
        <v>65</v>
      </c>
      <c r="F83" s="1" t="s">
        <v>425</v>
      </c>
      <c r="G83" s="1" t="s">
        <v>426</v>
      </c>
      <c r="H83" t="str">
        <f>"0226468011"</f>
        <v>0226468011</v>
      </c>
      <c r="I83" t="str">
        <f>"9780226468013"</f>
        <v>9780226468013</v>
      </c>
      <c r="J83" s="1">
        <v>4.0</v>
      </c>
      <c r="K83" s="1">
        <v>4.09</v>
      </c>
      <c r="L83" s="1" t="s">
        <v>427</v>
      </c>
      <c r="M83" s="1" t="s">
        <v>40</v>
      </c>
      <c r="N83" s="1">
        <v>276.0</v>
      </c>
      <c r="O83" s="1">
        <v>2003.0</v>
      </c>
      <c r="P83" s="1">
        <v>1980.0</v>
      </c>
      <c r="Q83" s="2">
        <v>42792.0</v>
      </c>
      <c r="R83" s="2">
        <v>42792.0</v>
      </c>
      <c r="U83" s="1" t="s">
        <v>41</v>
      </c>
      <c r="Y83" s="1">
        <v>1.0</v>
      </c>
      <c r="AB83" s="1">
        <v>0.0</v>
      </c>
    </row>
    <row r="84" hidden="1">
      <c r="A84" s="1">
        <v>254499.0</v>
      </c>
      <c r="B84" s="1" t="s">
        <v>428</v>
      </c>
      <c r="C84" s="1" t="s">
        <v>429</v>
      </c>
      <c r="D84" s="1"/>
      <c r="E84" s="1"/>
      <c r="F84" s="1" t="s">
        <v>430</v>
      </c>
      <c r="H84" t="str">
        <f>"0195179595"</f>
        <v>0195179595</v>
      </c>
      <c r="I84" t="str">
        <f>"9780195179590"</f>
        <v>9780195179590</v>
      </c>
      <c r="J84" s="1">
        <v>0.0</v>
      </c>
      <c r="K84" s="1">
        <v>4.0</v>
      </c>
      <c r="L84" s="1" t="s">
        <v>431</v>
      </c>
      <c r="M84" s="1" t="s">
        <v>40</v>
      </c>
      <c r="N84" s="1">
        <v>274.0</v>
      </c>
      <c r="O84" s="1">
        <v>2007.0</v>
      </c>
      <c r="P84" s="1">
        <v>2005.0</v>
      </c>
      <c r="R84" s="2">
        <v>42778.0</v>
      </c>
      <c r="S84" s="1" t="s">
        <v>56</v>
      </c>
      <c r="T84" s="1" t="s">
        <v>432</v>
      </c>
      <c r="U84" s="1" t="s">
        <v>56</v>
      </c>
      <c r="Y84" s="1">
        <v>0.0</v>
      </c>
      <c r="AB84" s="1">
        <v>0.0</v>
      </c>
    </row>
    <row r="85">
      <c r="A85" s="1">
        <v>2.6263203E7</v>
      </c>
      <c r="B85" s="1" t="s">
        <v>433</v>
      </c>
      <c r="C85" s="1" t="s">
        <v>434</v>
      </c>
      <c r="D85" s="1" t="s">
        <v>141</v>
      </c>
      <c r="E85" s="1" t="s">
        <v>65</v>
      </c>
      <c r="F85" s="1" t="s">
        <v>435</v>
      </c>
      <c r="G85" s="1" t="s">
        <v>436</v>
      </c>
      <c r="H85" t="str">
        <f>"0262029855"</f>
        <v>0262029855</v>
      </c>
      <c r="I85" t="str">
        <f>"9780262029858"</f>
        <v>9780262029858</v>
      </c>
      <c r="J85" s="1">
        <v>3.0</v>
      </c>
      <c r="K85" s="1">
        <v>3.85</v>
      </c>
      <c r="L85" s="1" t="s">
        <v>437</v>
      </c>
      <c r="M85" s="1" t="s">
        <v>40</v>
      </c>
      <c r="N85" s="1">
        <v>328.0</v>
      </c>
      <c r="O85" s="1">
        <v>2015.0</v>
      </c>
      <c r="P85" s="1">
        <v>2006.0</v>
      </c>
      <c r="Q85" s="2">
        <v>42777.0</v>
      </c>
      <c r="R85" s="2">
        <v>42758.0</v>
      </c>
      <c r="U85" s="1" t="s">
        <v>41</v>
      </c>
      <c r="Y85" s="1">
        <v>1.0</v>
      </c>
      <c r="AB85" s="1">
        <v>0.0</v>
      </c>
    </row>
    <row r="86">
      <c r="A86" s="1">
        <v>240976.0</v>
      </c>
      <c r="B86" s="1" t="s">
        <v>438</v>
      </c>
      <c r="C86" s="1" t="s">
        <v>439</v>
      </c>
      <c r="D86" s="1" t="s">
        <v>440</v>
      </c>
      <c r="E86" s="1" t="s">
        <v>65</v>
      </c>
      <c r="F86" s="1" t="s">
        <v>441</v>
      </c>
      <c r="G86" s="1" t="s">
        <v>442</v>
      </c>
      <c r="H86" t="str">
        <f>"0060932147"</f>
        <v>0060932147</v>
      </c>
      <c r="I86" t="str">
        <f>"9780060932145"</f>
        <v>9780060932145</v>
      </c>
      <c r="J86" s="1">
        <v>5.0</v>
      </c>
      <c r="K86" s="1">
        <v>4.0</v>
      </c>
      <c r="L86" s="1" t="s">
        <v>443</v>
      </c>
      <c r="M86" s="1" t="s">
        <v>40</v>
      </c>
      <c r="N86" s="1">
        <v>313.0</v>
      </c>
      <c r="O86" s="1">
        <v>1999.0</v>
      </c>
      <c r="P86" s="1">
        <v>1979.0</v>
      </c>
      <c r="R86" s="2">
        <v>42777.0</v>
      </c>
      <c r="U86" s="1" t="s">
        <v>41</v>
      </c>
      <c r="Y86" s="1">
        <v>1.0</v>
      </c>
      <c r="AB86" s="1">
        <v>0.0</v>
      </c>
    </row>
    <row r="87">
      <c r="A87" s="1">
        <v>19134.0</v>
      </c>
      <c r="B87" s="1" t="s">
        <v>444</v>
      </c>
      <c r="C87" s="1" t="s">
        <v>424</v>
      </c>
      <c r="D87" s="1" t="s">
        <v>71</v>
      </c>
      <c r="E87" s="1" t="s">
        <v>65</v>
      </c>
      <c r="F87" s="1" t="s">
        <v>425</v>
      </c>
      <c r="H87" t="str">
        <f>"0226467716"</f>
        <v>0226467716</v>
      </c>
      <c r="I87" t="str">
        <f>"9780226467719"</f>
        <v>9780226467719</v>
      </c>
      <c r="J87" s="1">
        <v>4.0</v>
      </c>
      <c r="K87" s="1">
        <v>4.02</v>
      </c>
      <c r="L87" s="1" t="s">
        <v>427</v>
      </c>
      <c r="M87" s="1" t="s">
        <v>40</v>
      </c>
      <c r="N87" s="1">
        <v>471.0</v>
      </c>
      <c r="O87" s="1">
        <v>2002.0</v>
      </c>
      <c r="P87" s="1">
        <v>1996.0</v>
      </c>
      <c r="R87" s="2">
        <v>42777.0</v>
      </c>
      <c r="U87" s="1" t="s">
        <v>41</v>
      </c>
      <c r="Y87" s="1">
        <v>1.0</v>
      </c>
      <c r="AB87" s="1">
        <v>0.0</v>
      </c>
    </row>
    <row r="88">
      <c r="A88" s="1">
        <v>2.2328255E7</v>
      </c>
      <c r="B88" s="1" t="s">
        <v>445</v>
      </c>
      <c r="C88" s="1" t="s">
        <v>446</v>
      </c>
      <c r="D88" s="1" t="s">
        <v>35</v>
      </c>
      <c r="E88" s="1" t="s">
        <v>36</v>
      </c>
      <c r="F88" s="1" t="s">
        <v>447</v>
      </c>
      <c r="H88" t="str">
        <f>"9734632914"</f>
        <v>9734632914</v>
      </c>
      <c r="I88" t="str">
        <f>"9789734632916"</f>
        <v>9789734632916</v>
      </c>
      <c r="J88" s="1">
        <v>4.0</v>
      </c>
      <c r="K88" s="1">
        <v>4.21</v>
      </c>
      <c r="L88" s="1" t="s">
        <v>448</v>
      </c>
      <c r="N88" s="1">
        <v>304.0</v>
      </c>
      <c r="O88" s="1">
        <v>2013.0</v>
      </c>
      <c r="P88" s="1">
        <v>1934.0</v>
      </c>
      <c r="Q88" s="2">
        <v>42434.0</v>
      </c>
      <c r="R88" s="2">
        <v>42434.0</v>
      </c>
      <c r="U88" s="1" t="s">
        <v>41</v>
      </c>
      <c r="Y88" s="1">
        <v>1.0</v>
      </c>
      <c r="AB88" s="1">
        <v>0.0</v>
      </c>
    </row>
    <row r="89">
      <c r="A89" s="1">
        <v>9717.0</v>
      </c>
      <c r="B89" s="1" t="s">
        <v>449</v>
      </c>
      <c r="C89" s="1" t="s">
        <v>439</v>
      </c>
      <c r="D89" s="1" t="s">
        <v>440</v>
      </c>
      <c r="E89" s="1" t="s">
        <v>65</v>
      </c>
      <c r="F89" s="1" t="s">
        <v>441</v>
      </c>
      <c r="G89" s="1" t="s">
        <v>450</v>
      </c>
      <c r="H89" t="str">
        <f>"0571224385"</f>
        <v>0571224385</v>
      </c>
      <c r="I89" t="str">
        <f>"9780571224388"</f>
        <v>9780571224388</v>
      </c>
      <c r="J89" s="1">
        <v>5.0</v>
      </c>
      <c r="K89" s="1">
        <v>4.09</v>
      </c>
      <c r="L89" s="1" t="s">
        <v>451</v>
      </c>
      <c r="M89" s="1" t="s">
        <v>40</v>
      </c>
      <c r="N89" s="1">
        <v>320.0</v>
      </c>
      <c r="O89" s="1">
        <v>2009.0</v>
      </c>
      <c r="P89" s="1">
        <v>1984.0</v>
      </c>
      <c r="Q89" s="2">
        <v>42772.0</v>
      </c>
      <c r="R89" s="2">
        <v>42772.0</v>
      </c>
      <c r="U89" s="1" t="s">
        <v>41</v>
      </c>
      <c r="Y89" s="1">
        <v>1.0</v>
      </c>
      <c r="AB89" s="1">
        <v>0.0</v>
      </c>
    </row>
    <row r="90">
      <c r="A90" s="1">
        <v>1.1107244E7</v>
      </c>
      <c r="B90" s="1" t="s">
        <v>452</v>
      </c>
      <c r="C90" s="1" t="s">
        <v>453</v>
      </c>
      <c r="D90" s="1" t="s">
        <v>71</v>
      </c>
      <c r="E90" s="1" t="s">
        <v>65</v>
      </c>
      <c r="F90" s="1" t="s">
        <v>454</v>
      </c>
      <c r="H90" t="str">
        <f>"0670022950"</f>
        <v>0670022950</v>
      </c>
      <c r="I90" t="str">
        <f>"9780670022953"</f>
        <v>9780670022953</v>
      </c>
      <c r="J90" s="1">
        <v>2.0</v>
      </c>
      <c r="K90" s="1">
        <v>4.2</v>
      </c>
      <c r="L90" s="1" t="s">
        <v>455</v>
      </c>
      <c r="M90" s="1" t="s">
        <v>55</v>
      </c>
      <c r="N90" s="1">
        <v>802.0</v>
      </c>
      <c r="O90" s="1">
        <v>2011.0</v>
      </c>
      <c r="P90" s="1">
        <v>2010.0</v>
      </c>
      <c r="Q90" s="2">
        <v>42759.0</v>
      </c>
      <c r="R90" s="2">
        <v>42750.0</v>
      </c>
      <c r="U90" s="1" t="s">
        <v>41</v>
      </c>
      <c r="Y90" s="1">
        <v>1.0</v>
      </c>
      <c r="AB90" s="1">
        <v>0.0</v>
      </c>
    </row>
    <row r="91">
      <c r="A91" s="1">
        <v>32552.0</v>
      </c>
      <c r="B91" s="1" t="s">
        <v>456</v>
      </c>
      <c r="C91" s="1" t="s">
        <v>457</v>
      </c>
      <c r="D91" s="1" t="s">
        <v>71</v>
      </c>
      <c r="E91" s="1" t="s">
        <v>65</v>
      </c>
      <c r="F91" s="1" t="s">
        <v>458</v>
      </c>
      <c r="G91" s="1" t="s">
        <v>459</v>
      </c>
      <c r="H91" t="str">
        <f>"1593080646"</f>
        <v>1593080646</v>
      </c>
      <c r="I91" t="str">
        <f>"9781593080648"</f>
        <v>9781593080648</v>
      </c>
      <c r="J91" s="1">
        <v>5.0</v>
      </c>
      <c r="K91" s="1">
        <v>4.35</v>
      </c>
      <c r="L91" s="1" t="s">
        <v>460</v>
      </c>
      <c r="M91" s="1" t="s">
        <v>40</v>
      </c>
      <c r="N91" s="1">
        <v>688.0</v>
      </c>
      <c r="O91" s="1">
        <v>2004.0</v>
      </c>
      <c r="P91" s="1">
        <v>1843.0</v>
      </c>
      <c r="R91" s="2">
        <v>42758.0</v>
      </c>
      <c r="U91" s="1" t="s">
        <v>41</v>
      </c>
      <c r="Y91" s="1">
        <v>1.0</v>
      </c>
      <c r="AB91" s="1">
        <v>0.0</v>
      </c>
    </row>
    <row r="92">
      <c r="A92" s="1">
        <v>227603.0</v>
      </c>
      <c r="B92" s="1" t="s">
        <v>461</v>
      </c>
      <c r="C92" s="1" t="s">
        <v>462</v>
      </c>
      <c r="D92" s="1" t="s">
        <v>71</v>
      </c>
      <c r="E92" s="1" t="s">
        <v>65</v>
      </c>
      <c r="F92" s="1" t="s">
        <v>463</v>
      </c>
      <c r="H92" t="str">
        <f>"1573225126"</f>
        <v>1573225126</v>
      </c>
      <c r="I92" t="str">
        <f>"9781573225120"</f>
        <v>9781573225120</v>
      </c>
      <c r="J92" s="1">
        <v>4.0</v>
      </c>
      <c r="K92" s="1">
        <v>3.59</v>
      </c>
      <c r="L92" s="1" t="s">
        <v>464</v>
      </c>
      <c r="M92" s="1" t="s">
        <v>40</v>
      </c>
      <c r="N92" s="1">
        <v>368.0</v>
      </c>
      <c r="O92" s="1">
        <v>1995.0</v>
      </c>
      <c r="P92" s="1">
        <v>1994.0</v>
      </c>
      <c r="Q92" s="2">
        <v>42755.0</v>
      </c>
      <c r="R92" s="2">
        <v>42751.0</v>
      </c>
      <c r="U92" s="1" t="s">
        <v>41</v>
      </c>
      <c r="Y92" s="1">
        <v>1.0</v>
      </c>
      <c r="AB92" s="1">
        <v>0.0</v>
      </c>
    </row>
    <row r="93" hidden="1">
      <c r="A93" s="1">
        <v>421518.0</v>
      </c>
      <c r="B93" s="1" t="s">
        <v>465</v>
      </c>
      <c r="C93" s="1" t="s">
        <v>466</v>
      </c>
      <c r="D93" s="1"/>
      <c r="E93" s="1"/>
      <c r="F93" s="1" t="s">
        <v>467</v>
      </c>
      <c r="H93" t="str">
        <f>"1592850995"</f>
        <v>1592850995</v>
      </c>
      <c r="I93" t="str">
        <f>"9781592850990"</f>
        <v>9781592850990</v>
      </c>
      <c r="J93" s="1">
        <v>0.0</v>
      </c>
      <c r="K93" s="1">
        <v>3.89</v>
      </c>
      <c r="L93" s="1" t="s">
        <v>468</v>
      </c>
      <c r="M93" s="1" t="s">
        <v>40</v>
      </c>
      <c r="N93" s="1">
        <v>436.0</v>
      </c>
      <c r="O93" s="1">
        <v>2004.0</v>
      </c>
      <c r="P93" s="1">
        <v>2002.0</v>
      </c>
      <c r="R93" s="2">
        <v>42751.0</v>
      </c>
      <c r="S93" s="1" t="s">
        <v>56</v>
      </c>
      <c r="T93" s="1" t="s">
        <v>469</v>
      </c>
      <c r="U93" s="1" t="s">
        <v>56</v>
      </c>
      <c r="Y93" s="1">
        <v>0.0</v>
      </c>
      <c r="AB93" s="1">
        <v>0.0</v>
      </c>
    </row>
    <row r="94">
      <c r="A94" s="1">
        <v>2.8186015E7</v>
      </c>
      <c r="B94" s="1" t="s">
        <v>470</v>
      </c>
      <c r="C94" s="1" t="s">
        <v>471</v>
      </c>
      <c r="D94" s="1" t="s">
        <v>71</v>
      </c>
      <c r="E94" s="1" t="s">
        <v>65</v>
      </c>
      <c r="F94" s="1" t="s">
        <v>472</v>
      </c>
      <c r="H94" t="str">
        <f>"0553418815"</f>
        <v>0553418815</v>
      </c>
      <c r="I94" t="str">
        <f>"9780553418811"</f>
        <v>9780553418811</v>
      </c>
      <c r="J94" s="1">
        <v>4.0</v>
      </c>
      <c r="K94" s="1">
        <v>3.87</v>
      </c>
      <c r="L94" s="1" t="s">
        <v>85</v>
      </c>
      <c r="M94" s="1" t="s">
        <v>55</v>
      </c>
      <c r="N94" s="1">
        <v>259.0</v>
      </c>
      <c r="O94" s="1">
        <v>2016.0</v>
      </c>
      <c r="P94" s="1">
        <v>2016.0</v>
      </c>
      <c r="Q94" s="2">
        <v>42751.0</v>
      </c>
      <c r="R94" s="4">
        <v>42720.0</v>
      </c>
      <c r="U94" s="1" t="s">
        <v>41</v>
      </c>
      <c r="Y94" s="1">
        <v>1.0</v>
      </c>
      <c r="AB94" s="1">
        <v>0.0</v>
      </c>
    </row>
    <row r="95">
      <c r="A95" s="1">
        <v>17876.0</v>
      </c>
      <c r="B95" s="1" t="s">
        <v>473</v>
      </c>
      <c r="C95" s="1" t="s">
        <v>161</v>
      </c>
      <c r="D95" s="1" t="s">
        <v>64</v>
      </c>
      <c r="E95" s="1" t="s">
        <v>65</v>
      </c>
      <c r="F95" s="1" t="s">
        <v>162</v>
      </c>
      <c r="G95" s="1" t="s">
        <v>474</v>
      </c>
      <c r="H95" t="str">
        <f>"0451529553"</f>
        <v>0451529553</v>
      </c>
      <c r="I95" t="str">
        <f>"9780451529558"</f>
        <v>9780451529558</v>
      </c>
      <c r="J95" s="1">
        <v>5.0</v>
      </c>
      <c r="K95" s="1">
        <v>4.17</v>
      </c>
      <c r="L95" s="1" t="s">
        <v>475</v>
      </c>
      <c r="M95" s="1" t="s">
        <v>40</v>
      </c>
      <c r="N95" s="1">
        <v>233.0</v>
      </c>
      <c r="O95" s="1">
        <v>2004.0</v>
      </c>
      <c r="P95" s="1">
        <v>1864.0</v>
      </c>
      <c r="Q95" s="2">
        <v>41289.0</v>
      </c>
      <c r="R95" s="2">
        <v>42750.0</v>
      </c>
      <c r="U95" s="1" t="s">
        <v>41</v>
      </c>
      <c r="Y95" s="1">
        <v>1.0</v>
      </c>
      <c r="AB95" s="1">
        <v>0.0</v>
      </c>
    </row>
    <row r="96">
      <c r="A96" s="1">
        <v>1.8755048E7</v>
      </c>
      <c r="B96" s="1" t="s">
        <v>476</v>
      </c>
      <c r="C96" s="1" t="s">
        <v>477</v>
      </c>
      <c r="D96" s="1" t="s">
        <v>71</v>
      </c>
      <c r="E96" s="1" t="s">
        <v>65</v>
      </c>
      <c r="F96" s="1" t="s">
        <v>478</v>
      </c>
      <c r="G96" s="1" t="s">
        <v>479</v>
      </c>
      <c r="H96" t="str">
        <f t="shared" ref="H96:I96" si="10">""</f>
        <v/>
      </c>
      <c r="I96" t="str">
        <f t="shared" si="10"/>
        <v/>
      </c>
      <c r="J96" s="1">
        <v>5.0</v>
      </c>
      <c r="K96" s="1">
        <v>3.84</v>
      </c>
      <c r="L96" s="1" t="s">
        <v>480</v>
      </c>
      <c r="M96" s="1" t="s">
        <v>55</v>
      </c>
      <c r="N96" s="1">
        <v>456.0</v>
      </c>
      <c r="O96" s="1">
        <v>2013.0</v>
      </c>
      <c r="P96" s="1">
        <v>2013.0</v>
      </c>
      <c r="Q96" s="2">
        <v>42750.0</v>
      </c>
      <c r="R96" s="4">
        <v>42728.0</v>
      </c>
      <c r="U96" s="1" t="s">
        <v>41</v>
      </c>
      <c r="Y96" s="1">
        <v>1.0</v>
      </c>
      <c r="AB96" s="1">
        <v>0.0</v>
      </c>
    </row>
    <row r="97">
      <c r="A97" s="1">
        <v>4981.0</v>
      </c>
      <c r="B97" s="1" t="s">
        <v>481</v>
      </c>
      <c r="C97" s="1" t="s">
        <v>482</v>
      </c>
      <c r="D97" s="1" t="s">
        <v>71</v>
      </c>
      <c r="E97" s="1" t="s">
        <v>65</v>
      </c>
      <c r="F97" s="1" t="s">
        <v>483</v>
      </c>
      <c r="H97" t="str">
        <f>"0385333846"</f>
        <v>0385333846</v>
      </c>
      <c r="I97" t="str">
        <f>"9780385333849"</f>
        <v>9780385333849</v>
      </c>
      <c r="J97" s="1">
        <v>4.0</v>
      </c>
      <c r="K97" s="1">
        <v>4.07</v>
      </c>
      <c r="L97" s="1" t="s">
        <v>484</v>
      </c>
      <c r="M97" s="1" t="s">
        <v>40</v>
      </c>
      <c r="N97" s="1">
        <v>275.0</v>
      </c>
      <c r="O97" s="1">
        <v>1999.0</v>
      </c>
      <c r="P97" s="1">
        <v>1969.0</v>
      </c>
      <c r="Q97" s="2">
        <v>42749.0</v>
      </c>
      <c r="R97" s="2">
        <v>42749.0</v>
      </c>
      <c r="U97" s="1" t="s">
        <v>41</v>
      </c>
      <c r="Y97" s="1">
        <v>1.0</v>
      </c>
      <c r="AB97" s="1">
        <v>0.0</v>
      </c>
    </row>
    <row r="98">
      <c r="A98" s="1">
        <v>1.3523061E7</v>
      </c>
      <c r="B98" s="1" t="s">
        <v>485</v>
      </c>
      <c r="C98" s="1" t="s">
        <v>486</v>
      </c>
      <c r="D98" s="1" t="s">
        <v>71</v>
      </c>
      <c r="E98" s="1" t="s">
        <v>65</v>
      </c>
      <c r="F98" s="1" t="s">
        <v>487</v>
      </c>
      <c r="H98" t="str">
        <f>"0446575062"</f>
        <v>0446575062</v>
      </c>
      <c r="I98" t="str">
        <f>"9780446575065"</f>
        <v>9780446575065</v>
      </c>
      <c r="J98" s="1">
        <v>5.0</v>
      </c>
      <c r="K98" s="1">
        <v>4.13</v>
      </c>
      <c r="L98" s="1" t="s">
        <v>488</v>
      </c>
      <c r="M98" s="1" t="s">
        <v>489</v>
      </c>
      <c r="N98" s="1">
        <v>241.0</v>
      </c>
      <c r="O98" s="1">
        <v>2012.0</v>
      </c>
      <c r="P98" s="1">
        <v>2012.0</v>
      </c>
      <c r="Q98" s="2">
        <v>42742.0</v>
      </c>
      <c r="R98" s="2">
        <v>42738.0</v>
      </c>
      <c r="U98" s="1" t="s">
        <v>41</v>
      </c>
      <c r="Y98" s="1">
        <v>1.0</v>
      </c>
      <c r="AB98" s="1">
        <v>0.0</v>
      </c>
    </row>
    <row r="99">
      <c r="A99" s="1">
        <v>1.5779773E7</v>
      </c>
      <c r="B99" s="1" t="s">
        <v>490</v>
      </c>
      <c r="C99" s="1" t="s">
        <v>491</v>
      </c>
      <c r="D99" s="1" t="s">
        <v>120</v>
      </c>
      <c r="E99" s="1" t="s">
        <v>36</v>
      </c>
      <c r="F99" s="1" t="s">
        <v>492</v>
      </c>
      <c r="G99" s="1" t="s">
        <v>493</v>
      </c>
      <c r="H99" t="str">
        <f>""</f>
        <v/>
      </c>
      <c r="I99" t="str">
        <f>"9789736696244"</f>
        <v>9789736696244</v>
      </c>
      <c r="J99" s="1">
        <v>3.0</v>
      </c>
      <c r="K99" s="1">
        <v>3.44</v>
      </c>
      <c r="L99" s="1" t="s">
        <v>494</v>
      </c>
      <c r="M99" s="1" t="s">
        <v>40</v>
      </c>
      <c r="N99" s="1">
        <v>256.0</v>
      </c>
      <c r="O99" s="1">
        <v>2009.0</v>
      </c>
      <c r="P99" s="1">
        <v>2007.0</v>
      </c>
      <c r="Q99" s="4">
        <v>42732.0</v>
      </c>
      <c r="R99" s="4">
        <v>42731.0</v>
      </c>
      <c r="U99" s="1" t="s">
        <v>41</v>
      </c>
      <c r="Y99" s="1">
        <v>1.0</v>
      </c>
      <c r="AB99" s="1">
        <v>0.0</v>
      </c>
    </row>
    <row r="100">
      <c r="A100" s="1">
        <v>1400886.0</v>
      </c>
      <c r="B100" s="1" t="s">
        <v>495</v>
      </c>
      <c r="C100" s="1" t="s">
        <v>496</v>
      </c>
      <c r="D100" s="1" t="s">
        <v>35</v>
      </c>
      <c r="E100" s="1" t="s">
        <v>65</v>
      </c>
      <c r="F100" s="1" t="s">
        <v>497</v>
      </c>
      <c r="H100" t="str">
        <f>"9747100851"</f>
        <v>9747100851</v>
      </c>
      <c r="I100" t="str">
        <f>"9789747100853"</f>
        <v>9789747100853</v>
      </c>
      <c r="J100" s="1">
        <v>4.0</v>
      </c>
      <c r="K100" s="1">
        <v>3.29</v>
      </c>
      <c r="L100" s="1" t="s">
        <v>498</v>
      </c>
      <c r="M100" s="1" t="s">
        <v>40</v>
      </c>
      <c r="O100" s="1">
        <v>1999.0</v>
      </c>
      <c r="P100" s="1">
        <v>1999.0</v>
      </c>
      <c r="Q100" s="2">
        <v>42370.0</v>
      </c>
      <c r="R100" s="4">
        <v>42661.0</v>
      </c>
      <c r="U100" s="1" t="s">
        <v>41</v>
      </c>
      <c r="Y100" s="1">
        <v>1.0</v>
      </c>
      <c r="AB100" s="1">
        <v>0.0</v>
      </c>
    </row>
    <row r="101" hidden="1">
      <c r="A101" s="1">
        <v>2.566605E7</v>
      </c>
      <c r="B101" s="1" t="s">
        <v>499</v>
      </c>
      <c r="C101" s="1" t="s">
        <v>500</v>
      </c>
      <c r="D101" s="1"/>
      <c r="E101" s="1"/>
      <c r="F101" s="1" t="s">
        <v>501</v>
      </c>
      <c r="G101" s="1" t="s">
        <v>502</v>
      </c>
      <c r="H101" t="str">
        <f>"1627790365"</f>
        <v>1627790365</v>
      </c>
      <c r="I101" t="str">
        <f>"9781627790369"</f>
        <v>9781627790369</v>
      </c>
      <c r="J101" s="1">
        <v>0.0</v>
      </c>
      <c r="K101" s="1">
        <v>4.16</v>
      </c>
      <c r="L101" s="1" t="s">
        <v>503</v>
      </c>
      <c r="M101" s="1" t="s">
        <v>55</v>
      </c>
      <c r="N101" s="1">
        <v>368.0</v>
      </c>
      <c r="O101" s="1">
        <v>2016.0</v>
      </c>
      <c r="P101" s="1">
        <v>2016.0</v>
      </c>
      <c r="R101" s="4">
        <v>42720.0</v>
      </c>
      <c r="S101" s="1" t="s">
        <v>56</v>
      </c>
      <c r="T101" s="1" t="s">
        <v>504</v>
      </c>
      <c r="U101" s="1" t="s">
        <v>56</v>
      </c>
      <c r="Y101" s="1">
        <v>0.0</v>
      </c>
      <c r="AB101" s="1">
        <v>0.0</v>
      </c>
    </row>
    <row r="102" hidden="1">
      <c r="A102" s="1">
        <v>2.5733658E7</v>
      </c>
      <c r="B102" s="1" t="s">
        <v>505</v>
      </c>
      <c r="C102" s="1" t="s">
        <v>506</v>
      </c>
      <c r="D102" s="1"/>
      <c r="E102" s="1"/>
      <c r="F102" s="1" t="s">
        <v>507</v>
      </c>
      <c r="H102" t="str">
        <f>"1594632987"</f>
        <v>1594632987</v>
      </c>
      <c r="I102" t="str">
        <f>"9781594632983"</f>
        <v>9781594632983</v>
      </c>
      <c r="J102" s="1">
        <v>0.0</v>
      </c>
      <c r="K102" s="1">
        <v>4.22</v>
      </c>
      <c r="L102" s="1" t="s">
        <v>508</v>
      </c>
      <c r="M102" s="1" t="s">
        <v>55</v>
      </c>
      <c r="N102" s="1">
        <v>288.0</v>
      </c>
      <c r="O102" s="1">
        <v>2016.0</v>
      </c>
      <c r="P102" s="1">
        <v>2016.0</v>
      </c>
      <c r="R102" s="4">
        <v>42720.0</v>
      </c>
      <c r="S102" s="1" t="s">
        <v>56</v>
      </c>
      <c r="T102" s="1" t="s">
        <v>509</v>
      </c>
      <c r="U102" s="1" t="s">
        <v>56</v>
      </c>
      <c r="Y102" s="1">
        <v>0.0</v>
      </c>
      <c r="AB102" s="1">
        <v>0.0</v>
      </c>
    </row>
    <row r="103">
      <c r="A103" s="1">
        <v>2.3995249E7</v>
      </c>
      <c r="B103" s="1" t="s">
        <v>510</v>
      </c>
      <c r="C103" s="1" t="s">
        <v>511</v>
      </c>
      <c r="D103" s="1" t="s">
        <v>95</v>
      </c>
      <c r="E103" s="1" t="s">
        <v>65</v>
      </c>
      <c r="F103" s="1" t="s">
        <v>512</v>
      </c>
      <c r="H103" t="str">
        <f>"038535066X"</f>
        <v>038535066X</v>
      </c>
      <c r="I103" t="str">
        <f>"9780385350662"</f>
        <v>9780385350662</v>
      </c>
      <c r="J103" s="1">
        <v>5.0</v>
      </c>
      <c r="K103" s="1">
        <v>4.31</v>
      </c>
      <c r="L103" s="1" t="s">
        <v>334</v>
      </c>
      <c r="M103" s="1" t="s">
        <v>55</v>
      </c>
      <c r="N103" s="1">
        <v>473.0</v>
      </c>
      <c r="O103" s="1">
        <v>2015.0</v>
      </c>
      <c r="P103" s="1">
        <v>2015.0</v>
      </c>
      <c r="Q103" s="4">
        <v>42720.0</v>
      </c>
      <c r="R103" s="2">
        <v>42708.0</v>
      </c>
      <c r="U103" s="1" t="s">
        <v>41</v>
      </c>
      <c r="Y103" s="1">
        <v>1.0</v>
      </c>
      <c r="AB103" s="1">
        <v>0.0</v>
      </c>
    </row>
    <row r="104">
      <c r="A104" s="1">
        <v>2.1971408E7</v>
      </c>
      <c r="B104" s="1" t="s">
        <v>513</v>
      </c>
      <c r="C104" s="1" t="s">
        <v>514</v>
      </c>
      <c r="D104" s="1" t="s">
        <v>71</v>
      </c>
      <c r="E104" s="1" t="s">
        <v>65</v>
      </c>
      <c r="F104" s="1" t="s">
        <v>515</v>
      </c>
      <c r="H104" t="str">
        <f>"1583945997"</f>
        <v>1583945997</v>
      </c>
      <c r="I104" t="str">
        <f>"9781583945995"</f>
        <v>9781583945995</v>
      </c>
      <c r="J104" s="1">
        <v>4.0</v>
      </c>
      <c r="K104" s="1">
        <v>3.57</v>
      </c>
      <c r="L104" s="1" t="s">
        <v>516</v>
      </c>
      <c r="M104" s="1" t="s">
        <v>40</v>
      </c>
      <c r="N104" s="1">
        <v>384.0</v>
      </c>
      <c r="O104" s="1">
        <v>2015.0</v>
      </c>
      <c r="P104" s="1">
        <v>2015.0</v>
      </c>
      <c r="Q104" s="2">
        <v>42713.0</v>
      </c>
      <c r="R104" s="4">
        <v>42665.0</v>
      </c>
      <c r="U104" s="1" t="s">
        <v>41</v>
      </c>
      <c r="Y104" s="1">
        <v>1.0</v>
      </c>
      <c r="AB104" s="1">
        <v>0.0</v>
      </c>
    </row>
    <row r="105">
      <c r="A105" s="1">
        <v>7796225.0</v>
      </c>
      <c r="B105" s="1" t="s">
        <v>517</v>
      </c>
      <c r="C105" s="1" t="s">
        <v>518</v>
      </c>
      <c r="D105" s="1" t="s">
        <v>95</v>
      </c>
      <c r="E105" s="1" t="s">
        <v>72</v>
      </c>
      <c r="F105" s="1" t="s">
        <v>519</v>
      </c>
      <c r="H105" t="str">
        <f>"3476103420"</f>
        <v>3476103420</v>
      </c>
      <c r="I105" t="str">
        <f>"9783476103420"</f>
        <v>9783476103420</v>
      </c>
      <c r="J105" s="1">
        <v>4.0</v>
      </c>
      <c r="K105" s="1">
        <v>3.0</v>
      </c>
      <c r="M105" s="1" t="s">
        <v>40</v>
      </c>
      <c r="N105" s="1">
        <v>326.0</v>
      </c>
      <c r="O105" s="1">
        <v>2007.0</v>
      </c>
      <c r="P105" s="1">
        <v>2007.0</v>
      </c>
      <c r="Q105" s="4">
        <v>42665.0</v>
      </c>
      <c r="R105" s="4">
        <v>42672.0</v>
      </c>
      <c r="U105" s="1" t="s">
        <v>41</v>
      </c>
      <c r="Y105" s="1">
        <v>1.0</v>
      </c>
      <c r="AB105" s="1">
        <v>0.0</v>
      </c>
    </row>
    <row r="106">
      <c r="A106" s="1">
        <v>523593.0</v>
      </c>
      <c r="B106" s="1" t="s">
        <v>520</v>
      </c>
      <c r="C106" s="1" t="s">
        <v>521</v>
      </c>
      <c r="D106" s="1" t="s">
        <v>522</v>
      </c>
      <c r="E106" s="1" t="s">
        <v>72</v>
      </c>
      <c r="F106" s="1" t="s">
        <v>523</v>
      </c>
      <c r="H106" t="str">
        <f>"3257230451"</f>
        <v>3257230451</v>
      </c>
      <c r="I106" t="str">
        <f>"9783257230451"</f>
        <v>9783257230451</v>
      </c>
      <c r="J106" s="1">
        <v>5.0</v>
      </c>
      <c r="K106" s="1">
        <v>3.92</v>
      </c>
      <c r="L106" s="1" t="s">
        <v>524</v>
      </c>
      <c r="M106" s="1" t="s">
        <v>40</v>
      </c>
      <c r="N106" s="1">
        <v>155.0</v>
      </c>
      <c r="O106" s="1">
        <v>1998.0</v>
      </c>
      <c r="P106" s="1">
        <v>1956.0</v>
      </c>
      <c r="R106" s="2">
        <v>41483.0</v>
      </c>
      <c r="U106" s="1" t="s">
        <v>41</v>
      </c>
      <c r="Y106" s="1">
        <v>1.0</v>
      </c>
      <c r="AB106" s="1">
        <v>0.0</v>
      </c>
    </row>
    <row r="107">
      <c r="A107" s="1">
        <v>865422.0</v>
      </c>
      <c r="B107" s="1" t="s">
        <v>525</v>
      </c>
      <c r="C107" s="1" t="s">
        <v>526</v>
      </c>
      <c r="D107" s="1" t="s">
        <v>35</v>
      </c>
      <c r="E107" s="1" t="s">
        <v>65</v>
      </c>
      <c r="F107" s="1" t="s">
        <v>527</v>
      </c>
      <c r="H107" t="str">
        <f>"0199243700"</f>
        <v>0199243700</v>
      </c>
      <c r="I107" t="str">
        <f>"9780199243709"</f>
        <v>9780199243709</v>
      </c>
      <c r="J107" s="1">
        <v>3.0</v>
      </c>
      <c r="K107" s="1">
        <v>3.37</v>
      </c>
      <c r="L107" s="1" t="s">
        <v>431</v>
      </c>
      <c r="M107" s="1" t="s">
        <v>40</v>
      </c>
      <c r="N107" s="1">
        <v>407.0</v>
      </c>
      <c r="O107" s="1">
        <v>2003.0</v>
      </c>
      <c r="Q107" s="2">
        <v>42631.0</v>
      </c>
      <c r="R107" s="2">
        <v>42618.0</v>
      </c>
      <c r="U107" s="1" t="s">
        <v>41</v>
      </c>
      <c r="Y107" s="1">
        <v>1.0</v>
      </c>
      <c r="AB107" s="1">
        <v>0.0</v>
      </c>
    </row>
    <row r="108">
      <c r="A108" s="1">
        <v>2.9990775E7</v>
      </c>
      <c r="B108" s="1" t="s">
        <v>528</v>
      </c>
      <c r="C108" s="1" t="s">
        <v>529</v>
      </c>
      <c r="D108" s="1" t="s">
        <v>71</v>
      </c>
      <c r="E108" s="1" t="s">
        <v>65</v>
      </c>
      <c r="F108" s="1" t="s">
        <v>530</v>
      </c>
      <c r="H108" t="str">
        <f>""</f>
        <v/>
      </c>
      <c r="I108" t="str">
        <f>"9780349006185"</f>
        <v>9780349006185</v>
      </c>
      <c r="J108" s="1">
        <v>5.0</v>
      </c>
      <c r="K108" s="1">
        <v>4.03</v>
      </c>
      <c r="L108" s="1" t="s">
        <v>531</v>
      </c>
      <c r="M108" s="1" t="s">
        <v>40</v>
      </c>
      <c r="N108" s="1">
        <v>304.0</v>
      </c>
      <c r="O108" s="1">
        <v>2016.0</v>
      </c>
      <c r="P108" s="1">
        <v>2016.0</v>
      </c>
      <c r="Q108" s="2">
        <v>42631.0</v>
      </c>
      <c r="R108" s="2">
        <v>42618.0</v>
      </c>
      <c r="U108" s="1" t="s">
        <v>41</v>
      </c>
      <c r="Y108" s="1">
        <v>1.0</v>
      </c>
      <c r="AB108" s="1">
        <v>0.0</v>
      </c>
    </row>
    <row r="109" hidden="1">
      <c r="A109" s="1">
        <v>2.6890693E7</v>
      </c>
      <c r="B109" s="1" t="s">
        <v>532</v>
      </c>
      <c r="C109" s="1" t="s">
        <v>533</v>
      </c>
      <c r="D109" s="1"/>
      <c r="E109" s="1"/>
      <c r="F109" s="1" t="s">
        <v>534</v>
      </c>
      <c r="H109" t="str">
        <f>"0062234323"</f>
        <v>0062234323</v>
      </c>
      <c r="I109" t="str">
        <f>"9780062234322"</f>
        <v>9780062234322</v>
      </c>
      <c r="J109" s="1">
        <v>0.0</v>
      </c>
      <c r="K109" s="1">
        <v>4.12</v>
      </c>
      <c r="L109" s="1" t="s">
        <v>285</v>
      </c>
      <c r="M109" s="1" t="s">
        <v>55</v>
      </c>
      <c r="N109" s="1">
        <v>752.0</v>
      </c>
      <c r="O109" s="1">
        <v>2016.0</v>
      </c>
      <c r="P109" s="1">
        <v>2016.0</v>
      </c>
      <c r="R109" s="2">
        <v>42618.0</v>
      </c>
      <c r="S109" s="1" t="s">
        <v>56</v>
      </c>
      <c r="T109" s="1" t="s">
        <v>535</v>
      </c>
      <c r="U109" s="1" t="s">
        <v>56</v>
      </c>
      <c r="Y109" s="1">
        <v>0.0</v>
      </c>
      <c r="AB109" s="1">
        <v>0.0</v>
      </c>
    </row>
    <row r="110" hidden="1">
      <c r="A110" s="1">
        <v>2.3197288E7</v>
      </c>
      <c r="B110" s="1" t="s">
        <v>536</v>
      </c>
      <c r="C110" s="1" t="s">
        <v>537</v>
      </c>
      <c r="D110" s="1"/>
      <c r="E110" s="1"/>
      <c r="F110" s="1" t="s">
        <v>538</v>
      </c>
      <c r="H110" t="str">
        <f>"0316247766"</f>
        <v>0316247766</v>
      </c>
      <c r="I110" t="str">
        <f>"9780316247764"</f>
        <v>9780316247764</v>
      </c>
      <c r="J110" s="1">
        <v>0.0</v>
      </c>
      <c r="K110" s="1">
        <v>4.02</v>
      </c>
      <c r="L110" s="1" t="s">
        <v>224</v>
      </c>
      <c r="M110" s="1" t="s">
        <v>55</v>
      </c>
      <c r="N110" s="1">
        <v>482.0</v>
      </c>
      <c r="O110" s="1">
        <v>2015.0</v>
      </c>
      <c r="P110" s="1">
        <v>2015.0</v>
      </c>
      <c r="R110" s="2">
        <v>42618.0</v>
      </c>
      <c r="S110" s="1" t="s">
        <v>56</v>
      </c>
      <c r="T110" s="1" t="s">
        <v>539</v>
      </c>
      <c r="U110" s="1" t="s">
        <v>56</v>
      </c>
      <c r="Y110" s="1">
        <v>0.0</v>
      </c>
      <c r="AB110" s="1">
        <v>0.0</v>
      </c>
    </row>
    <row r="111" hidden="1">
      <c r="A111" s="1">
        <v>2043524.0</v>
      </c>
      <c r="B111" s="1" t="s">
        <v>540</v>
      </c>
      <c r="C111" s="1" t="s">
        <v>541</v>
      </c>
      <c r="D111" s="1"/>
      <c r="E111" s="1"/>
      <c r="F111" s="1" t="s">
        <v>542</v>
      </c>
      <c r="H111" t="str">
        <f>"0312371187"</f>
        <v>0312371187</v>
      </c>
      <c r="I111" t="str">
        <f>"9780312371180"</f>
        <v>9780312371180</v>
      </c>
      <c r="J111" s="1">
        <v>0.0</v>
      </c>
      <c r="K111" s="1">
        <v>3.92</v>
      </c>
      <c r="L111" s="1" t="s">
        <v>543</v>
      </c>
      <c r="M111" s="1" t="s">
        <v>55</v>
      </c>
      <c r="N111" s="1">
        <v>254.0</v>
      </c>
      <c r="O111" s="1">
        <v>2008.0</v>
      </c>
      <c r="P111" s="1">
        <v>2008.0</v>
      </c>
      <c r="R111" s="2">
        <v>42618.0</v>
      </c>
      <c r="S111" s="1" t="s">
        <v>56</v>
      </c>
      <c r="T111" s="1" t="s">
        <v>544</v>
      </c>
      <c r="U111" s="1" t="s">
        <v>56</v>
      </c>
      <c r="Y111" s="1">
        <v>0.0</v>
      </c>
      <c r="AB111" s="1">
        <v>0.0</v>
      </c>
    </row>
    <row r="112" hidden="1">
      <c r="A112" s="1">
        <v>95972.0</v>
      </c>
      <c r="B112" s="1" t="s">
        <v>545</v>
      </c>
      <c r="C112" s="1" t="s">
        <v>546</v>
      </c>
      <c r="D112" s="1"/>
      <c r="E112" s="1"/>
      <c r="F112" s="1" t="s">
        <v>547</v>
      </c>
      <c r="G112" s="1" t="s">
        <v>548</v>
      </c>
      <c r="H112" t="str">
        <f>"0375753966"</f>
        <v>0375753966</v>
      </c>
      <c r="I112" t="str">
        <f>"9780375753961"</f>
        <v>9780375753961</v>
      </c>
      <c r="J112" s="1">
        <v>0.0</v>
      </c>
      <c r="K112" s="1">
        <v>4.37</v>
      </c>
      <c r="L112" s="1" t="s">
        <v>117</v>
      </c>
      <c r="M112" s="1" t="s">
        <v>40</v>
      </c>
      <c r="N112" s="1">
        <v>272.0</v>
      </c>
      <c r="O112" s="1">
        <v>2001.0</v>
      </c>
      <c r="P112" s="1">
        <v>1947.0</v>
      </c>
      <c r="R112" s="2">
        <v>42618.0</v>
      </c>
      <c r="S112" s="1" t="s">
        <v>56</v>
      </c>
      <c r="T112" s="1" t="s">
        <v>549</v>
      </c>
      <c r="U112" s="1" t="s">
        <v>56</v>
      </c>
      <c r="Y112" s="1">
        <v>0.0</v>
      </c>
      <c r="AB112" s="1">
        <v>0.0</v>
      </c>
    </row>
    <row r="113" hidden="1">
      <c r="A113" s="1">
        <v>100247.0</v>
      </c>
      <c r="B113" s="1" t="s">
        <v>550</v>
      </c>
      <c r="C113" s="1" t="s">
        <v>551</v>
      </c>
      <c r="D113" s="1"/>
      <c r="E113" s="1"/>
      <c r="F113" s="1" t="s">
        <v>552</v>
      </c>
      <c r="H113" t="str">
        <f>"0812992180"</f>
        <v>0812992180</v>
      </c>
      <c r="I113" t="str">
        <f>"9780812992182"</f>
        <v>9780812992182</v>
      </c>
      <c r="J113" s="1">
        <v>0.0</v>
      </c>
      <c r="K113" s="1">
        <v>3.93</v>
      </c>
      <c r="L113" s="1" t="s">
        <v>553</v>
      </c>
      <c r="M113" s="1" t="s">
        <v>40</v>
      </c>
      <c r="N113" s="1">
        <v>205.0</v>
      </c>
      <c r="O113" s="1">
        <v>2002.0</v>
      </c>
      <c r="P113" s="1">
        <v>2002.0</v>
      </c>
      <c r="R113" s="2">
        <v>42618.0</v>
      </c>
      <c r="S113" s="1" t="s">
        <v>56</v>
      </c>
      <c r="T113" s="1" t="s">
        <v>554</v>
      </c>
      <c r="U113" s="1" t="s">
        <v>56</v>
      </c>
      <c r="Y113" s="1">
        <v>0.0</v>
      </c>
      <c r="AB113" s="1">
        <v>0.0</v>
      </c>
    </row>
    <row r="114">
      <c r="A114" s="1">
        <v>2.9056083E7</v>
      </c>
      <c r="B114" s="1" t="s">
        <v>555</v>
      </c>
      <c r="C114" s="1" t="s">
        <v>556</v>
      </c>
      <c r="D114" s="1" t="s">
        <v>35</v>
      </c>
      <c r="E114" s="1" t="s">
        <v>65</v>
      </c>
      <c r="F114" s="1" t="s">
        <v>557</v>
      </c>
      <c r="G114" s="1" t="s">
        <v>558</v>
      </c>
      <c r="H114" t="str">
        <f>"0751565350"</f>
        <v>0751565350</v>
      </c>
      <c r="I114" t="str">
        <f>"9780751565355"</f>
        <v>9780751565355</v>
      </c>
      <c r="J114" s="1">
        <v>2.0</v>
      </c>
      <c r="K114" s="1">
        <v>3.7</v>
      </c>
      <c r="L114" s="1" t="s">
        <v>559</v>
      </c>
      <c r="M114" s="1" t="s">
        <v>55</v>
      </c>
      <c r="N114" s="1">
        <v>343.0</v>
      </c>
      <c r="O114" s="1">
        <v>2016.0</v>
      </c>
      <c r="P114" s="1">
        <v>2016.0</v>
      </c>
      <c r="Q114" s="2">
        <v>42584.0</v>
      </c>
      <c r="R114" s="2">
        <v>42583.0</v>
      </c>
      <c r="U114" s="1" t="s">
        <v>41</v>
      </c>
      <c r="Y114" s="1">
        <v>1.0</v>
      </c>
      <c r="AB114" s="1">
        <v>0.0</v>
      </c>
    </row>
    <row r="115">
      <c r="A115" s="1">
        <v>5755.0</v>
      </c>
      <c r="B115" s="1" t="s">
        <v>560</v>
      </c>
      <c r="C115" s="1" t="s">
        <v>453</v>
      </c>
      <c r="D115" s="1" t="s">
        <v>71</v>
      </c>
      <c r="E115" s="1" t="s">
        <v>65</v>
      </c>
      <c r="F115" s="1" t="s">
        <v>454</v>
      </c>
      <c r="H115" t="str">
        <f>"0060958332"</f>
        <v>0060958332</v>
      </c>
      <c r="I115" t="str">
        <f>"9780060958336"</f>
        <v>9780060958336</v>
      </c>
      <c r="J115" s="1">
        <v>4.0</v>
      </c>
      <c r="K115" s="1">
        <v>4.05</v>
      </c>
      <c r="L115" s="1" t="s">
        <v>178</v>
      </c>
      <c r="M115" s="1" t="s">
        <v>40</v>
      </c>
      <c r="N115" s="1">
        <v>448.0</v>
      </c>
      <c r="O115" s="1">
        <v>2000.0</v>
      </c>
      <c r="P115" s="1">
        <v>1994.0</v>
      </c>
      <c r="Q115" s="2">
        <v>42599.0</v>
      </c>
      <c r="R115" s="2">
        <v>42589.0</v>
      </c>
      <c r="U115" s="1" t="s">
        <v>41</v>
      </c>
      <c r="Y115" s="1">
        <v>1.0</v>
      </c>
      <c r="AB115" s="1">
        <v>0.0</v>
      </c>
    </row>
    <row r="116">
      <c r="A116" s="1">
        <v>1239236.0</v>
      </c>
      <c r="B116" s="1" t="s">
        <v>561</v>
      </c>
      <c r="C116" s="1" t="s">
        <v>562</v>
      </c>
      <c r="D116" s="1" t="s">
        <v>71</v>
      </c>
      <c r="E116" s="1" t="s">
        <v>65</v>
      </c>
      <c r="F116" s="1" t="s">
        <v>563</v>
      </c>
      <c r="H116" t="str">
        <f>"1405109181"</f>
        <v>1405109181</v>
      </c>
      <c r="I116" t="str">
        <f>"9781405109185"</f>
        <v>9781405109185</v>
      </c>
      <c r="J116" s="1">
        <v>3.0</v>
      </c>
      <c r="K116" s="1">
        <v>3.33</v>
      </c>
      <c r="L116" s="1" t="s">
        <v>564</v>
      </c>
      <c r="M116" s="1" t="s">
        <v>565</v>
      </c>
      <c r="N116" s="1">
        <v>235.0</v>
      </c>
      <c r="O116" s="1">
        <v>2005.0</v>
      </c>
      <c r="P116" s="1">
        <v>2005.0</v>
      </c>
      <c r="Q116" s="2">
        <v>42616.0</v>
      </c>
      <c r="R116" s="2">
        <v>42618.0</v>
      </c>
      <c r="U116" s="1" t="s">
        <v>41</v>
      </c>
      <c r="Y116" s="1">
        <v>1.0</v>
      </c>
      <c r="AB116" s="1">
        <v>0.0</v>
      </c>
    </row>
    <row r="117">
      <c r="A117" s="1">
        <v>14096.0</v>
      </c>
      <c r="B117" s="1" t="s">
        <v>566</v>
      </c>
      <c r="C117" s="1" t="s">
        <v>567</v>
      </c>
      <c r="D117" s="1" t="s">
        <v>71</v>
      </c>
      <c r="E117" s="1" t="s">
        <v>65</v>
      </c>
      <c r="F117" s="1" t="s">
        <v>568</v>
      </c>
      <c r="H117" t="str">
        <f>"1401307787"</f>
        <v>1401307787</v>
      </c>
      <c r="I117" t="str">
        <f>"9781401307783"</f>
        <v>9781401307783</v>
      </c>
      <c r="J117" s="1">
        <v>5.0</v>
      </c>
      <c r="K117" s="1">
        <v>4.12</v>
      </c>
      <c r="L117" s="1" t="s">
        <v>569</v>
      </c>
      <c r="M117" s="1" t="s">
        <v>40</v>
      </c>
      <c r="N117" s="1">
        <v>304.0</v>
      </c>
      <c r="O117" s="1">
        <v>2005.0</v>
      </c>
      <c r="P117" s="1">
        <v>1994.0</v>
      </c>
      <c r="Q117" s="2">
        <v>42582.0</v>
      </c>
      <c r="R117" s="2">
        <v>42583.0</v>
      </c>
      <c r="U117" s="1" t="s">
        <v>41</v>
      </c>
      <c r="Y117" s="1">
        <v>1.0</v>
      </c>
      <c r="AB117" s="1">
        <v>0.0</v>
      </c>
    </row>
    <row r="118">
      <c r="A118" s="1">
        <v>2.5747167E7</v>
      </c>
      <c r="B118" s="1" t="s">
        <v>570</v>
      </c>
      <c r="C118" s="1" t="s">
        <v>571</v>
      </c>
      <c r="D118" s="1" t="s">
        <v>71</v>
      </c>
      <c r="E118" s="1" t="s">
        <v>65</v>
      </c>
      <c r="F118" s="1" t="s">
        <v>572</v>
      </c>
      <c r="H118" t="str">
        <f>"1473605385"</f>
        <v>1473605385</v>
      </c>
      <c r="I118" t="str">
        <f>"9781473605381"</f>
        <v>9781473605381</v>
      </c>
      <c r="J118" s="1">
        <v>3.0</v>
      </c>
      <c r="K118" s="1">
        <v>4.0</v>
      </c>
      <c r="L118" s="1" t="s">
        <v>573</v>
      </c>
      <c r="M118" s="1" t="s">
        <v>40</v>
      </c>
      <c r="N118" s="1">
        <v>288.0</v>
      </c>
      <c r="O118" s="1">
        <v>2015.0</v>
      </c>
      <c r="P118" s="1">
        <v>2015.0</v>
      </c>
      <c r="Q118" s="2">
        <v>42577.0</v>
      </c>
      <c r="R118" s="2">
        <v>42575.0</v>
      </c>
      <c r="U118" s="1" t="s">
        <v>41</v>
      </c>
      <c r="Y118" s="1">
        <v>1.0</v>
      </c>
      <c r="AB118" s="1">
        <v>0.0</v>
      </c>
    </row>
    <row r="119">
      <c r="A119" s="1">
        <v>1044807.0</v>
      </c>
      <c r="B119" s="1" t="s">
        <v>574</v>
      </c>
      <c r="C119" s="1" t="s">
        <v>575</v>
      </c>
      <c r="D119" s="1" t="s">
        <v>71</v>
      </c>
      <c r="E119" s="1" t="s">
        <v>65</v>
      </c>
      <c r="F119" s="1" t="s">
        <v>576</v>
      </c>
      <c r="G119" s="1" t="s">
        <v>577</v>
      </c>
      <c r="H119" t="str">
        <f>"0736062785"</f>
        <v>0736062785</v>
      </c>
      <c r="I119" t="str">
        <f>"9780736062787"</f>
        <v>9780736062787</v>
      </c>
      <c r="J119" s="1">
        <v>5.0</v>
      </c>
      <c r="K119" s="1">
        <v>4.25</v>
      </c>
      <c r="L119" s="1" t="s">
        <v>578</v>
      </c>
      <c r="M119" s="1" t="s">
        <v>40</v>
      </c>
      <c r="N119" s="1">
        <v>221.0</v>
      </c>
      <c r="O119" s="1">
        <v>2007.0</v>
      </c>
      <c r="P119" s="1">
        <v>2007.0</v>
      </c>
      <c r="Q119" s="2">
        <v>42370.0</v>
      </c>
      <c r="R119" s="2">
        <v>42413.0</v>
      </c>
      <c r="U119" s="1" t="s">
        <v>41</v>
      </c>
      <c r="Y119" s="1">
        <v>1.0</v>
      </c>
      <c r="AB119" s="1">
        <v>0.0</v>
      </c>
    </row>
    <row r="120">
      <c r="A120" s="1">
        <v>1052.0</v>
      </c>
      <c r="B120" s="1" t="s">
        <v>579</v>
      </c>
      <c r="C120" s="1" t="s">
        <v>580</v>
      </c>
      <c r="D120" s="1" t="s">
        <v>71</v>
      </c>
      <c r="E120" s="1" t="s">
        <v>65</v>
      </c>
      <c r="F120" s="1" t="s">
        <v>581</v>
      </c>
      <c r="H120" t="str">
        <f>"0451205367"</f>
        <v>0451205367</v>
      </c>
      <c r="I120" t="str">
        <f>"9780451205360"</f>
        <v>9780451205360</v>
      </c>
      <c r="J120" s="1">
        <v>4.0</v>
      </c>
      <c r="K120" s="1">
        <v>4.25</v>
      </c>
      <c r="L120" s="1" t="s">
        <v>582</v>
      </c>
      <c r="M120" s="1" t="s">
        <v>40</v>
      </c>
      <c r="N120" s="1">
        <v>194.0</v>
      </c>
      <c r="O120" s="1">
        <v>2008.0</v>
      </c>
      <c r="P120" s="1">
        <v>1926.0</v>
      </c>
      <c r="Q120" s="2">
        <v>42578.0</v>
      </c>
      <c r="R120" s="2">
        <v>42577.0</v>
      </c>
      <c r="U120" s="1" t="s">
        <v>41</v>
      </c>
      <c r="Y120" s="1">
        <v>1.0</v>
      </c>
      <c r="AB120" s="1">
        <v>0.0</v>
      </c>
    </row>
    <row r="121">
      <c r="A121" s="1">
        <v>1005.0</v>
      </c>
      <c r="B121" s="1" t="s">
        <v>583</v>
      </c>
      <c r="C121" s="1" t="s">
        <v>584</v>
      </c>
      <c r="D121" s="1" t="s">
        <v>71</v>
      </c>
      <c r="E121" s="1" t="s">
        <v>65</v>
      </c>
      <c r="F121" s="1" t="s">
        <v>585</v>
      </c>
      <c r="H121" t="str">
        <f>"1585424331"</f>
        <v>1585424331</v>
      </c>
      <c r="I121" t="str">
        <f>"9781585424337"</f>
        <v>9781585424337</v>
      </c>
      <c r="J121" s="1">
        <v>5.0</v>
      </c>
      <c r="K121" s="1">
        <v>4.17</v>
      </c>
      <c r="L121" s="1" t="s">
        <v>586</v>
      </c>
      <c r="M121" s="1" t="s">
        <v>40</v>
      </c>
      <c r="N121" s="1">
        <v>320.0</v>
      </c>
      <c r="O121" s="1">
        <v>2005.0</v>
      </c>
      <c r="P121" s="1">
        <v>1937.0</v>
      </c>
      <c r="Q121" s="2">
        <v>42566.0</v>
      </c>
      <c r="R121" s="2">
        <v>42564.0</v>
      </c>
      <c r="U121" s="1" t="s">
        <v>41</v>
      </c>
      <c r="Y121" s="1">
        <v>1.0</v>
      </c>
      <c r="AB121" s="1">
        <v>0.0</v>
      </c>
    </row>
    <row r="122">
      <c r="A122" s="1">
        <v>2.5819543E7</v>
      </c>
      <c r="B122" s="1" t="s">
        <v>587</v>
      </c>
      <c r="C122" s="1" t="s">
        <v>588</v>
      </c>
      <c r="D122" s="1" t="s">
        <v>71</v>
      </c>
      <c r="E122" s="1" t="s">
        <v>65</v>
      </c>
      <c r="F122" s="1" t="s">
        <v>589</v>
      </c>
      <c r="H122" t="str">
        <f>"1781251495"</f>
        <v>1781251495</v>
      </c>
      <c r="I122" t="str">
        <f>""</f>
        <v/>
      </c>
      <c r="J122" s="1">
        <v>3.0</v>
      </c>
      <c r="K122" s="1">
        <v>4.13</v>
      </c>
      <c r="L122" s="1" t="s">
        <v>323</v>
      </c>
      <c r="M122" s="1" t="s">
        <v>40</v>
      </c>
      <c r="N122" s="1">
        <v>201.0</v>
      </c>
      <c r="O122" s="1">
        <v>2015.0</v>
      </c>
      <c r="P122" s="1">
        <v>2014.0</v>
      </c>
      <c r="Q122" s="2">
        <v>42567.0</v>
      </c>
      <c r="R122" s="2">
        <v>42566.0</v>
      </c>
      <c r="U122" s="1" t="s">
        <v>41</v>
      </c>
      <c r="Y122" s="1">
        <v>1.0</v>
      </c>
      <c r="AB122" s="1">
        <v>0.0</v>
      </c>
    </row>
    <row r="123">
      <c r="A123" s="1">
        <v>2.8935691E7</v>
      </c>
      <c r="B123" s="1" t="s">
        <v>590</v>
      </c>
      <c r="C123" s="1" t="s">
        <v>591</v>
      </c>
      <c r="D123" s="1" t="s">
        <v>71</v>
      </c>
      <c r="E123" s="1" t="s">
        <v>65</v>
      </c>
      <c r="F123" s="1" t="s">
        <v>592</v>
      </c>
      <c r="H123" t="str">
        <f t="shared" ref="H123:I123" si="11">""</f>
        <v/>
      </c>
      <c r="I123" t="str">
        <f t="shared" si="11"/>
        <v/>
      </c>
      <c r="J123" s="1">
        <v>5.0</v>
      </c>
      <c r="K123" s="1">
        <v>4.21</v>
      </c>
      <c r="L123" s="1" t="s">
        <v>593</v>
      </c>
      <c r="M123" s="1" t="s">
        <v>107</v>
      </c>
      <c r="N123" s="1">
        <v>386.0</v>
      </c>
      <c r="O123" s="1">
        <v>2016.0</v>
      </c>
      <c r="P123" s="1">
        <v>1959.0</v>
      </c>
      <c r="Q123" s="2">
        <v>42574.0</v>
      </c>
      <c r="R123" s="2">
        <v>42575.0</v>
      </c>
      <c r="U123" s="1" t="s">
        <v>41</v>
      </c>
      <c r="Y123" s="1">
        <v>1.0</v>
      </c>
      <c r="AB123" s="1">
        <v>0.0</v>
      </c>
    </row>
    <row r="124">
      <c r="A124" s="1">
        <v>36072.0</v>
      </c>
      <c r="B124" s="1" t="s">
        <v>594</v>
      </c>
      <c r="C124" s="1" t="s">
        <v>595</v>
      </c>
      <c r="D124" s="1" t="s">
        <v>71</v>
      </c>
      <c r="E124" s="1" t="s">
        <v>65</v>
      </c>
      <c r="F124" s="1" t="s">
        <v>596</v>
      </c>
      <c r="H124" t="str">
        <f>"0743269519"</f>
        <v>0743269519</v>
      </c>
      <c r="I124" t="str">
        <f>"9780743269513"</f>
        <v>9780743269513</v>
      </c>
      <c r="J124" s="1">
        <v>3.0</v>
      </c>
      <c r="K124" s="1">
        <v>4.07</v>
      </c>
      <c r="L124" s="1" t="s">
        <v>395</v>
      </c>
      <c r="M124" s="1" t="s">
        <v>40</v>
      </c>
      <c r="N124" s="1">
        <v>372.0</v>
      </c>
      <c r="O124" s="1">
        <v>2004.0</v>
      </c>
      <c r="P124" s="1">
        <v>1989.0</v>
      </c>
      <c r="Q124" s="2">
        <v>42462.0</v>
      </c>
      <c r="R124" s="2">
        <v>42564.0</v>
      </c>
      <c r="U124" s="1" t="s">
        <v>41</v>
      </c>
      <c r="Y124" s="1">
        <v>1.0</v>
      </c>
      <c r="AB124" s="1">
        <v>0.0</v>
      </c>
    </row>
    <row r="125">
      <c r="A125" s="1">
        <v>4865.0</v>
      </c>
      <c r="B125" s="1" t="s">
        <v>597</v>
      </c>
      <c r="C125" s="1" t="s">
        <v>598</v>
      </c>
      <c r="D125" s="1" t="s">
        <v>71</v>
      </c>
      <c r="E125" s="1" t="s">
        <v>65</v>
      </c>
      <c r="F125" s="1" t="s">
        <v>599</v>
      </c>
      <c r="H125" t="str">
        <f>""</f>
        <v/>
      </c>
      <c r="I125" t="str">
        <f>"9780671723651"</f>
        <v>9780671723651</v>
      </c>
      <c r="J125" s="1">
        <v>4.0</v>
      </c>
      <c r="K125" s="1">
        <v>4.16</v>
      </c>
      <c r="L125" s="1" t="s">
        <v>371</v>
      </c>
      <c r="M125" s="1" t="s">
        <v>40</v>
      </c>
      <c r="N125" s="1">
        <v>288.0</v>
      </c>
      <c r="O125" s="1">
        <v>1998.0</v>
      </c>
      <c r="P125" s="1">
        <v>1936.0</v>
      </c>
      <c r="Q125" s="2">
        <v>42504.0</v>
      </c>
      <c r="R125" s="2">
        <v>42564.0</v>
      </c>
      <c r="U125" s="1" t="s">
        <v>41</v>
      </c>
      <c r="Y125" s="1">
        <v>1.0</v>
      </c>
      <c r="AB125" s="1">
        <v>0.0</v>
      </c>
    </row>
    <row r="126">
      <c r="A126" s="1">
        <v>1.3525945E7</v>
      </c>
      <c r="B126" s="1" t="s">
        <v>600</v>
      </c>
      <c r="C126" s="1" t="s">
        <v>601</v>
      </c>
      <c r="D126" s="1" t="s">
        <v>71</v>
      </c>
      <c r="E126" s="1" t="s">
        <v>65</v>
      </c>
      <c r="F126" s="1" t="s">
        <v>602</v>
      </c>
      <c r="H126" t="str">
        <f>"1455509108"</f>
        <v>1455509108</v>
      </c>
      <c r="I126" t="str">
        <f>"9781455509102"</f>
        <v>9781455509102</v>
      </c>
      <c r="J126" s="1">
        <v>3.0</v>
      </c>
      <c r="K126" s="1">
        <v>4.1</v>
      </c>
      <c r="L126" s="1" t="s">
        <v>603</v>
      </c>
      <c r="M126" s="1" t="s">
        <v>489</v>
      </c>
      <c r="N126" s="1">
        <v>288.0</v>
      </c>
      <c r="O126" s="1">
        <v>2012.0</v>
      </c>
      <c r="P126" s="1">
        <v>2012.0</v>
      </c>
      <c r="Q126" s="2">
        <v>42565.0</v>
      </c>
      <c r="R126" s="2">
        <v>42564.0</v>
      </c>
      <c r="U126" s="1" t="s">
        <v>41</v>
      </c>
      <c r="Y126" s="1">
        <v>1.0</v>
      </c>
      <c r="AB126" s="1">
        <v>0.0</v>
      </c>
    </row>
    <row r="127">
      <c r="A127" s="1">
        <v>1485975.0</v>
      </c>
      <c r="B127" s="1" t="s">
        <v>604</v>
      </c>
      <c r="C127" s="1" t="s">
        <v>605</v>
      </c>
      <c r="D127" s="1" t="s">
        <v>606</v>
      </c>
      <c r="E127" s="1" t="s">
        <v>36</v>
      </c>
      <c r="F127" s="1" t="s">
        <v>607</v>
      </c>
      <c r="H127" t="str">
        <f>"0007166435"</f>
        <v>0007166435</v>
      </c>
      <c r="I127" t="str">
        <f>"9780007166435"</f>
        <v>9780007166435</v>
      </c>
      <c r="J127" s="1">
        <v>5.0</v>
      </c>
      <c r="K127" s="1">
        <v>4.4</v>
      </c>
      <c r="L127" s="1" t="s">
        <v>608</v>
      </c>
      <c r="M127" s="1" t="s">
        <v>55</v>
      </c>
      <c r="N127" s="1">
        <v>160.0</v>
      </c>
      <c r="O127" s="1">
        <v>2003.0</v>
      </c>
      <c r="P127" s="1">
        <v>2003.0</v>
      </c>
      <c r="Q127" s="2">
        <v>42564.0</v>
      </c>
      <c r="R127" s="2">
        <v>42564.0</v>
      </c>
      <c r="U127" s="1" t="s">
        <v>41</v>
      </c>
      <c r="Y127" s="1">
        <v>1.0</v>
      </c>
      <c r="AB127" s="1">
        <v>0.0</v>
      </c>
    </row>
    <row r="128">
      <c r="A128" s="1">
        <v>2.3513349E7</v>
      </c>
      <c r="B128" s="1" t="s">
        <v>609</v>
      </c>
      <c r="C128" s="1" t="s">
        <v>610</v>
      </c>
      <c r="D128" s="1" t="s">
        <v>354</v>
      </c>
      <c r="E128" s="1" t="s">
        <v>65</v>
      </c>
      <c r="F128" s="1" t="s">
        <v>611</v>
      </c>
      <c r="H128" t="str">
        <f>"1502784270"</f>
        <v>1502784270</v>
      </c>
      <c r="I128" t="str">
        <f>"9781502784278"</f>
        <v>9781502784278</v>
      </c>
      <c r="J128" s="1">
        <v>5.0</v>
      </c>
      <c r="K128" s="1">
        <v>4.15</v>
      </c>
      <c r="L128" s="1" t="s">
        <v>612</v>
      </c>
      <c r="M128" s="1" t="s">
        <v>40</v>
      </c>
      <c r="N128" s="1">
        <v>204.0</v>
      </c>
      <c r="O128" s="1">
        <v>2014.0</v>
      </c>
      <c r="P128" s="1">
        <v>2014.0</v>
      </c>
      <c r="Q128" s="2">
        <v>42536.0</v>
      </c>
      <c r="R128" s="2">
        <v>42536.0</v>
      </c>
      <c r="U128" s="1" t="s">
        <v>41</v>
      </c>
      <c r="Y128" s="1">
        <v>1.0</v>
      </c>
      <c r="AB128" s="1">
        <v>0.0</v>
      </c>
    </row>
    <row r="129">
      <c r="A129" s="1">
        <v>373969.0</v>
      </c>
      <c r="B129" s="1" t="s">
        <v>613</v>
      </c>
      <c r="C129" s="1" t="s">
        <v>453</v>
      </c>
      <c r="D129" s="1" t="s">
        <v>71</v>
      </c>
      <c r="E129" s="1" t="s">
        <v>65</v>
      </c>
      <c r="F129" s="1" t="s">
        <v>454</v>
      </c>
      <c r="H129" t="str">
        <f>"0670063274"</f>
        <v>0670063274</v>
      </c>
      <c r="I129" t="str">
        <f>"9780670063277"</f>
        <v>9780670063277</v>
      </c>
      <c r="J129" s="1">
        <v>5.0</v>
      </c>
      <c r="K129" s="1">
        <v>3.9</v>
      </c>
      <c r="L129" s="1" t="s">
        <v>614</v>
      </c>
      <c r="M129" s="1" t="s">
        <v>55</v>
      </c>
      <c r="N129" s="1">
        <v>499.0</v>
      </c>
      <c r="O129" s="1">
        <v>2007.0</v>
      </c>
      <c r="P129" s="1">
        <v>2007.0</v>
      </c>
      <c r="Q129" s="2">
        <v>42528.0</v>
      </c>
      <c r="R129" s="2">
        <v>42528.0</v>
      </c>
      <c r="U129" s="1" t="s">
        <v>41</v>
      </c>
      <c r="Y129" s="1">
        <v>1.0</v>
      </c>
      <c r="AB129" s="1">
        <v>0.0</v>
      </c>
    </row>
    <row r="130">
      <c r="A130" s="1">
        <v>2.9638056E7</v>
      </c>
      <c r="B130" s="1" t="s">
        <v>615</v>
      </c>
      <c r="C130" s="1" t="s">
        <v>616</v>
      </c>
      <c r="D130" s="1" t="s">
        <v>95</v>
      </c>
      <c r="E130" s="1" t="s">
        <v>72</v>
      </c>
      <c r="F130" s="1" t="s">
        <v>617</v>
      </c>
      <c r="H130" t="str">
        <f>"3862655377"</f>
        <v>3862655377</v>
      </c>
      <c r="I130" t="str">
        <f>"9783862655373"</f>
        <v>9783862655373</v>
      </c>
      <c r="J130" s="1">
        <v>5.0</v>
      </c>
      <c r="K130" s="1">
        <v>4.23</v>
      </c>
      <c r="L130" s="1" t="s">
        <v>618</v>
      </c>
      <c r="N130" s="1">
        <v>264.0</v>
      </c>
      <c r="O130" s="1">
        <v>2016.0</v>
      </c>
      <c r="Q130" s="2">
        <v>42515.0</v>
      </c>
      <c r="R130" s="2">
        <v>42506.0</v>
      </c>
      <c r="U130" s="1" t="s">
        <v>41</v>
      </c>
      <c r="Y130" s="1">
        <v>1.0</v>
      </c>
      <c r="AB130" s="1">
        <v>0.0</v>
      </c>
    </row>
    <row r="131">
      <c r="A131" s="1">
        <v>1.8693655E7</v>
      </c>
      <c r="B131" s="1" t="s">
        <v>619</v>
      </c>
      <c r="C131" s="1" t="s">
        <v>620</v>
      </c>
      <c r="D131" s="1" t="s">
        <v>71</v>
      </c>
      <c r="E131" s="1" t="s">
        <v>65</v>
      </c>
      <c r="F131" s="1" t="s">
        <v>621</v>
      </c>
      <c r="H131" t="str">
        <f>"039916524X"</f>
        <v>039916524X</v>
      </c>
      <c r="I131" t="str">
        <f>"9780399165245"</f>
        <v>9780399165245</v>
      </c>
      <c r="J131" s="1">
        <v>5.0</v>
      </c>
      <c r="K131" s="1">
        <v>4.24</v>
      </c>
      <c r="L131" s="1" t="s">
        <v>622</v>
      </c>
      <c r="M131" s="1" t="s">
        <v>40</v>
      </c>
      <c r="N131" s="1">
        <v>306.0</v>
      </c>
      <c r="O131" s="1">
        <v>2014.0</v>
      </c>
      <c r="P131" s="1">
        <v>2014.0</v>
      </c>
      <c r="Q131" s="2">
        <v>42505.0</v>
      </c>
      <c r="R131" s="2">
        <v>42506.0</v>
      </c>
      <c r="U131" s="1" t="s">
        <v>41</v>
      </c>
      <c r="Y131" s="1">
        <v>1.0</v>
      </c>
      <c r="AB131" s="1">
        <v>0.0</v>
      </c>
    </row>
    <row r="132">
      <c r="A132" s="1">
        <v>2.7071387E7</v>
      </c>
      <c r="B132" s="1" t="s">
        <v>623</v>
      </c>
      <c r="C132" s="1" t="s">
        <v>624</v>
      </c>
      <c r="D132" s="1" t="s">
        <v>50</v>
      </c>
      <c r="E132" s="1" t="s">
        <v>36</v>
      </c>
      <c r="F132" s="1" t="s">
        <v>625</v>
      </c>
      <c r="G132" s="1" t="s">
        <v>626</v>
      </c>
      <c r="H132" t="str">
        <f>"9735048086"</f>
        <v>9735048086</v>
      </c>
      <c r="I132" t="str">
        <f>"9789735048082"</f>
        <v>9789735048082</v>
      </c>
      <c r="J132" s="1">
        <v>5.0</v>
      </c>
      <c r="K132" s="1">
        <v>4.3</v>
      </c>
      <c r="L132" s="1" t="s">
        <v>627</v>
      </c>
      <c r="M132" s="1" t="s">
        <v>40</v>
      </c>
      <c r="N132" s="1">
        <v>448.0</v>
      </c>
      <c r="O132" s="1">
        <v>2015.0</v>
      </c>
      <c r="P132" s="1">
        <v>2015.0</v>
      </c>
      <c r="Q132" s="2">
        <v>42488.0</v>
      </c>
      <c r="R132" s="2">
        <v>42481.0</v>
      </c>
      <c r="U132" s="1" t="s">
        <v>41</v>
      </c>
      <c r="Y132" s="1">
        <v>1.0</v>
      </c>
      <c r="AB132" s="1">
        <v>0.0</v>
      </c>
    </row>
    <row r="133">
      <c r="A133" s="1">
        <v>3437.0</v>
      </c>
      <c r="B133" s="1" t="s">
        <v>628</v>
      </c>
      <c r="C133" s="1" t="s">
        <v>629</v>
      </c>
      <c r="D133" s="1" t="s">
        <v>35</v>
      </c>
      <c r="E133" s="1" t="s">
        <v>65</v>
      </c>
      <c r="F133" s="1" t="s">
        <v>630</v>
      </c>
      <c r="H133" t="str">
        <f>"0099450259"</f>
        <v>0099450259</v>
      </c>
      <c r="I133" t="str">
        <f>"9780099450252"</f>
        <v>9780099450252</v>
      </c>
      <c r="J133" s="1">
        <v>5.0</v>
      </c>
      <c r="K133" s="1">
        <v>3.86</v>
      </c>
      <c r="L133" s="1" t="s">
        <v>361</v>
      </c>
      <c r="M133" s="1" t="s">
        <v>40</v>
      </c>
      <c r="N133" s="1">
        <v>272.0</v>
      </c>
      <c r="O133" s="1">
        <v>2004.0</v>
      </c>
      <c r="P133" s="1">
        <v>2003.0</v>
      </c>
      <c r="Q133" s="2">
        <v>41415.0</v>
      </c>
      <c r="R133" s="2">
        <v>41414.0</v>
      </c>
      <c r="U133" s="1" t="s">
        <v>41</v>
      </c>
      <c r="Y133" s="1">
        <v>1.0</v>
      </c>
      <c r="AB133" s="1">
        <v>0.0</v>
      </c>
    </row>
    <row r="134">
      <c r="A134" s="1">
        <v>8719431.0</v>
      </c>
      <c r="B134" s="1" t="s">
        <v>631</v>
      </c>
      <c r="C134" s="1" t="s">
        <v>632</v>
      </c>
      <c r="D134" s="1" t="s">
        <v>71</v>
      </c>
      <c r="E134" s="1" t="s">
        <v>36</v>
      </c>
      <c r="F134" s="1" t="s">
        <v>633</v>
      </c>
      <c r="H134" t="str">
        <f>"1401923127"</f>
        <v>1401923127</v>
      </c>
      <c r="I134" t="str">
        <f>"9781401923129"</f>
        <v>9781401923129</v>
      </c>
      <c r="J134" s="1">
        <v>3.0</v>
      </c>
      <c r="K134" s="1">
        <v>4.21</v>
      </c>
      <c r="L134" s="1" t="s">
        <v>634</v>
      </c>
      <c r="M134" s="1" t="s">
        <v>40</v>
      </c>
      <c r="N134" s="1">
        <v>204.0</v>
      </c>
      <c r="O134" s="1">
        <v>2011.0</v>
      </c>
      <c r="P134" s="1">
        <v>2005.0</v>
      </c>
      <c r="Q134" s="2">
        <v>42481.0</v>
      </c>
      <c r="R134" s="2">
        <v>42472.0</v>
      </c>
      <c r="U134" s="1" t="s">
        <v>41</v>
      </c>
      <c r="Y134" s="1">
        <v>1.0</v>
      </c>
      <c r="AB134" s="1">
        <v>0.0</v>
      </c>
    </row>
    <row r="135">
      <c r="A135" s="1">
        <v>2.5430558E7</v>
      </c>
      <c r="B135" s="1" t="s">
        <v>635</v>
      </c>
      <c r="C135" s="1" t="s">
        <v>636</v>
      </c>
      <c r="D135" s="1" t="s">
        <v>71</v>
      </c>
      <c r="E135" s="1" t="s">
        <v>65</v>
      </c>
      <c r="F135" s="1" t="s">
        <v>637</v>
      </c>
      <c r="G135" s="1" t="s">
        <v>638</v>
      </c>
      <c r="H135" t="str">
        <f>"0307985679"</f>
        <v>0307985679</v>
      </c>
      <c r="I135" t="str">
        <f>"9780307985675"</f>
        <v>9780307985675</v>
      </c>
      <c r="J135" s="1">
        <v>5.0</v>
      </c>
      <c r="K135" s="1">
        <v>4.32</v>
      </c>
      <c r="L135" s="1" t="s">
        <v>85</v>
      </c>
      <c r="M135" s="1" t="s">
        <v>55</v>
      </c>
      <c r="N135" s="1">
        <v>688.0</v>
      </c>
      <c r="O135" s="1">
        <v>2016.0</v>
      </c>
      <c r="P135" s="1">
        <v>2016.0</v>
      </c>
      <c r="Q135" s="2">
        <v>42463.0</v>
      </c>
      <c r="R135" s="2">
        <v>42440.0</v>
      </c>
      <c r="U135" s="1" t="s">
        <v>41</v>
      </c>
      <c r="Y135" s="1">
        <v>1.0</v>
      </c>
      <c r="AB135" s="1">
        <v>0.0</v>
      </c>
    </row>
    <row r="136">
      <c r="A136" s="1">
        <v>2.5793502E7</v>
      </c>
      <c r="B136" s="1" t="s">
        <v>639</v>
      </c>
      <c r="C136" s="1" t="s">
        <v>640</v>
      </c>
      <c r="D136" s="1" t="s">
        <v>71</v>
      </c>
      <c r="E136" s="1" t="s">
        <v>65</v>
      </c>
      <c r="F136" s="1" t="s">
        <v>641</v>
      </c>
      <c r="G136" s="1" t="s">
        <v>642</v>
      </c>
      <c r="H136" t="str">
        <f t="shared" ref="H136:I136" si="12">""</f>
        <v/>
      </c>
      <c r="I136" t="str">
        <f t="shared" si="12"/>
        <v/>
      </c>
      <c r="J136" s="1">
        <v>3.0</v>
      </c>
      <c r="K136" s="1">
        <v>3.7</v>
      </c>
      <c r="M136" s="1" t="s">
        <v>107</v>
      </c>
      <c r="N136" s="1">
        <v>123.0</v>
      </c>
      <c r="O136" s="1">
        <v>2015.0</v>
      </c>
      <c r="P136" s="1">
        <v>2015.0</v>
      </c>
      <c r="Q136" s="2">
        <v>42454.0</v>
      </c>
      <c r="R136" s="2">
        <v>42454.0</v>
      </c>
      <c r="U136" s="1" t="s">
        <v>41</v>
      </c>
      <c r="Y136" s="1">
        <v>1.0</v>
      </c>
      <c r="AB136" s="1">
        <v>0.0</v>
      </c>
    </row>
    <row r="137">
      <c r="A137" s="1">
        <v>2.5066556E7</v>
      </c>
      <c r="B137" s="1" t="s">
        <v>643</v>
      </c>
      <c r="C137" s="1" t="s">
        <v>644</v>
      </c>
      <c r="D137" s="1" t="s">
        <v>71</v>
      </c>
      <c r="E137" s="1" t="s">
        <v>65</v>
      </c>
      <c r="F137" s="1" t="s">
        <v>645</v>
      </c>
      <c r="H137" t="str">
        <f>"0316256579"</f>
        <v>0316256579</v>
      </c>
      <c r="I137" t="str">
        <f>"9780316256575"</f>
        <v>9780316256575</v>
      </c>
      <c r="J137" s="1">
        <v>5.0</v>
      </c>
      <c r="K137" s="1">
        <v>3.94</v>
      </c>
      <c r="L137" s="1" t="s">
        <v>224</v>
      </c>
      <c r="M137" s="1" t="s">
        <v>55</v>
      </c>
      <c r="N137" s="1">
        <v>352.0</v>
      </c>
      <c r="O137" s="1">
        <v>2015.0</v>
      </c>
      <c r="P137" s="1">
        <v>2015.0</v>
      </c>
      <c r="Q137" s="2">
        <v>42428.0</v>
      </c>
      <c r="R137" s="2">
        <v>42426.0</v>
      </c>
      <c r="U137" s="1" t="s">
        <v>41</v>
      </c>
      <c r="Y137" s="1">
        <v>1.0</v>
      </c>
      <c r="AB137" s="1">
        <v>0.0</v>
      </c>
    </row>
    <row r="138">
      <c r="A138" s="1">
        <v>834713.0</v>
      </c>
      <c r="B138" s="1" t="s">
        <v>646</v>
      </c>
      <c r="C138" s="1" t="s">
        <v>647</v>
      </c>
      <c r="D138" s="1" t="s">
        <v>648</v>
      </c>
      <c r="E138" s="1" t="s">
        <v>65</v>
      </c>
      <c r="F138" s="1" t="s">
        <v>649</v>
      </c>
      <c r="H138" t="str">
        <f>"0747582971"</f>
        <v>0747582971</v>
      </c>
      <c r="I138" t="str">
        <f>"9780747582977"</f>
        <v>9780747582977</v>
      </c>
      <c r="J138" s="1">
        <v>4.0</v>
      </c>
      <c r="K138" s="1">
        <v>4.35</v>
      </c>
      <c r="L138" s="1" t="s">
        <v>650</v>
      </c>
      <c r="M138" s="1" t="s">
        <v>40</v>
      </c>
      <c r="N138" s="1">
        <v>372.0</v>
      </c>
      <c r="O138" s="1">
        <v>2007.0</v>
      </c>
      <c r="P138" s="1">
        <v>2007.0</v>
      </c>
      <c r="Q138" s="2">
        <v>42426.0</v>
      </c>
      <c r="R138" s="2">
        <v>42420.0</v>
      </c>
      <c r="U138" s="1" t="s">
        <v>41</v>
      </c>
      <c r="Y138" s="1">
        <v>1.0</v>
      </c>
      <c r="AB138" s="1">
        <v>0.0</v>
      </c>
    </row>
    <row r="139">
      <c r="A139" s="1">
        <v>6331485.0</v>
      </c>
      <c r="B139" s="1" t="s">
        <v>651</v>
      </c>
      <c r="C139" s="1" t="s">
        <v>652</v>
      </c>
      <c r="D139" s="1" t="s">
        <v>78</v>
      </c>
      <c r="E139" s="1" t="s">
        <v>72</v>
      </c>
      <c r="F139" s="1" t="s">
        <v>653</v>
      </c>
      <c r="H139" t="str">
        <f>"3727457023"</f>
        <v>3727457023</v>
      </c>
      <c r="I139" t="str">
        <f>"9783727457029"</f>
        <v>9783727457029</v>
      </c>
      <c r="J139" s="1">
        <v>3.0</v>
      </c>
      <c r="K139" s="1">
        <v>3.75</v>
      </c>
      <c r="P139" s="1">
        <v>1905.0</v>
      </c>
      <c r="Q139" s="2">
        <v>42420.0</v>
      </c>
      <c r="R139" s="2">
        <v>42420.0</v>
      </c>
      <c r="U139" s="1" t="s">
        <v>41</v>
      </c>
      <c r="Y139" s="1">
        <v>1.0</v>
      </c>
      <c r="AB139" s="1">
        <v>0.0</v>
      </c>
    </row>
    <row r="140">
      <c r="A140" s="1">
        <v>2.7826456E7</v>
      </c>
      <c r="B140" s="1" t="s">
        <v>654</v>
      </c>
      <c r="C140" s="1" t="s">
        <v>655</v>
      </c>
      <c r="D140" s="1" t="s">
        <v>50</v>
      </c>
      <c r="E140" s="1" t="s">
        <v>36</v>
      </c>
      <c r="F140" s="1" t="s">
        <v>656</v>
      </c>
      <c r="H140" t="str">
        <f>"9735050595"</f>
        <v>9735050595</v>
      </c>
      <c r="I140" t="str">
        <f>"9789735050597"</f>
        <v>9789735050597</v>
      </c>
      <c r="J140" s="1">
        <v>3.0</v>
      </c>
      <c r="K140" s="1">
        <v>4.27</v>
      </c>
      <c r="L140" s="1" t="s">
        <v>627</v>
      </c>
      <c r="M140" s="1" t="s">
        <v>40</v>
      </c>
      <c r="N140" s="1">
        <v>840.0</v>
      </c>
      <c r="O140" s="1">
        <v>2015.0</v>
      </c>
      <c r="P140" s="1">
        <v>2015.0</v>
      </c>
      <c r="Q140" s="2">
        <v>42413.0</v>
      </c>
      <c r="R140" s="2">
        <v>42397.0</v>
      </c>
      <c r="U140" s="1" t="s">
        <v>41</v>
      </c>
      <c r="Y140" s="1">
        <v>1.0</v>
      </c>
      <c r="AB140" s="1">
        <v>0.0</v>
      </c>
    </row>
    <row r="141">
      <c r="A141" s="1">
        <v>2.4918836E7</v>
      </c>
      <c r="B141" s="1" t="s">
        <v>657</v>
      </c>
      <c r="C141" s="1" t="s">
        <v>658</v>
      </c>
      <c r="D141" s="1" t="s">
        <v>71</v>
      </c>
      <c r="E141" s="1" t="s">
        <v>65</v>
      </c>
      <c r="F141" s="1" t="s">
        <v>659</v>
      </c>
      <c r="H141" t="str">
        <f>"1846144248"</f>
        <v>1846144248</v>
      </c>
      <c r="I141" t="str">
        <f>"9781846144240"</f>
        <v>9781846144240</v>
      </c>
      <c r="J141" s="1">
        <v>5.0</v>
      </c>
      <c r="K141" s="1">
        <v>4.21</v>
      </c>
      <c r="L141" s="1" t="s">
        <v>660</v>
      </c>
      <c r="M141" s="1" t="s">
        <v>55</v>
      </c>
      <c r="N141" s="1">
        <v>432.0</v>
      </c>
      <c r="O141" s="1">
        <v>2015.0</v>
      </c>
      <c r="P141" s="1">
        <v>2015.0</v>
      </c>
      <c r="Q141" s="2">
        <v>42393.0</v>
      </c>
      <c r="R141" s="2">
        <v>42381.0</v>
      </c>
      <c r="U141" s="1" t="s">
        <v>41</v>
      </c>
      <c r="Y141" s="1">
        <v>1.0</v>
      </c>
      <c r="AB141" s="1">
        <v>0.0</v>
      </c>
    </row>
    <row r="142">
      <c r="A142" s="1">
        <v>2.5513992E7</v>
      </c>
      <c r="B142" s="1" t="s">
        <v>661</v>
      </c>
      <c r="C142" s="1" t="s">
        <v>259</v>
      </c>
      <c r="D142" s="1" t="s">
        <v>35</v>
      </c>
      <c r="E142" s="1" t="s">
        <v>65</v>
      </c>
      <c r="F142" s="1" t="s">
        <v>260</v>
      </c>
      <c r="H142" t="str">
        <f>"1447264053"</f>
        <v>1447264053</v>
      </c>
      <c r="I142" t="str">
        <f>"9781447264057"</f>
        <v>9781447264057</v>
      </c>
      <c r="J142" s="1">
        <v>3.0</v>
      </c>
      <c r="K142" s="1">
        <v>4.05</v>
      </c>
      <c r="L142" s="1" t="s">
        <v>662</v>
      </c>
      <c r="M142" s="1" t="s">
        <v>40</v>
      </c>
      <c r="N142" s="1">
        <v>397.0</v>
      </c>
      <c r="O142" s="1">
        <v>2015.0</v>
      </c>
      <c r="P142" s="1">
        <v>2015.0</v>
      </c>
      <c r="Q142" s="2">
        <v>42285.0</v>
      </c>
      <c r="R142" s="2">
        <v>42317.0</v>
      </c>
      <c r="U142" s="1" t="s">
        <v>41</v>
      </c>
      <c r="Y142" s="1">
        <v>1.0</v>
      </c>
      <c r="AB142" s="1">
        <v>0.0</v>
      </c>
    </row>
    <row r="143">
      <c r="A143" s="1">
        <v>2.480507E7</v>
      </c>
      <c r="B143" s="1" t="s">
        <v>663</v>
      </c>
      <c r="C143" s="1" t="s">
        <v>664</v>
      </c>
      <c r="D143" s="1" t="s">
        <v>35</v>
      </c>
      <c r="E143" s="1" t="s">
        <v>65</v>
      </c>
      <c r="F143" s="1" t="s">
        <v>665</v>
      </c>
      <c r="H143" t="str">
        <f>"1471138860"</f>
        <v>1471138860</v>
      </c>
      <c r="I143" t="str">
        <f>""</f>
        <v/>
      </c>
      <c r="J143" s="1">
        <v>4.0</v>
      </c>
      <c r="K143" s="1">
        <v>3.71</v>
      </c>
      <c r="L143" s="1" t="s">
        <v>666</v>
      </c>
      <c r="M143" s="1" t="s">
        <v>55</v>
      </c>
      <c r="N143" s="1">
        <v>96.0</v>
      </c>
      <c r="O143" s="1">
        <v>2014.0</v>
      </c>
      <c r="P143" s="1">
        <v>2015.0</v>
      </c>
      <c r="Q143" s="2">
        <v>42046.0</v>
      </c>
      <c r="R143" s="2">
        <v>42046.0</v>
      </c>
      <c r="U143" s="1" t="s">
        <v>41</v>
      </c>
      <c r="Y143" s="1">
        <v>1.0</v>
      </c>
      <c r="AB143" s="1">
        <v>0.0</v>
      </c>
    </row>
    <row r="144">
      <c r="A144" s="1">
        <v>7728.0</v>
      </c>
      <c r="B144" s="1" t="s">
        <v>667</v>
      </c>
      <c r="C144" s="1" t="s">
        <v>668</v>
      </c>
      <c r="D144" s="1" t="s">
        <v>125</v>
      </c>
      <c r="E144" s="1" t="s">
        <v>36</v>
      </c>
      <c r="F144" s="1" t="s">
        <v>669</v>
      </c>
      <c r="G144" s="1" t="s">
        <v>670</v>
      </c>
      <c r="H144" t="str">
        <f>"1580493882"</f>
        <v>1580493882</v>
      </c>
      <c r="I144" t="str">
        <f>"9781580493888"</f>
        <v>9781580493888</v>
      </c>
      <c r="J144" s="1">
        <v>5.0</v>
      </c>
      <c r="K144" s="1">
        <v>3.61</v>
      </c>
      <c r="L144" s="1" t="s">
        <v>671</v>
      </c>
      <c r="M144" s="1" t="s">
        <v>40</v>
      </c>
      <c r="N144" s="1">
        <v>80.0</v>
      </c>
      <c r="O144" s="1">
        <v>2005.0</v>
      </c>
      <c r="P144" s="1">
        <v>-441.0</v>
      </c>
      <c r="Q144" s="2">
        <v>42046.0</v>
      </c>
      <c r="R144" s="2">
        <v>42048.0</v>
      </c>
      <c r="U144" s="1" t="s">
        <v>41</v>
      </c>
      <c r="Y144" s="1">
        <v>1.0</v>
      </c>
      <c r="AB144" s="1">
        <v>0.0</v>
      </c>
    </row>
    <row r="145">
      <c r="A145" s="1">
        <v>97009.0</v>
      </c>
      <c r="B145" s="1" t="s">
        <v>672</v>
      </c>
      <c r="C145" s="1" t="s">
        <v>130</v>
      </c>
      <c r="D145" s="1" t="s">
        <v>354</v>
      </c>
      <c r="E145" s="1" t="s">
        <v>72</v>
      </c>
      <c r="F145" s="1" t="s">
        <v>131</v>
      </c>
      <c r="H145" t="str">
        <f>"0312336632"</f>
        <v>0312336632</v>
      </c>
      <c r="I145" t="str">
        <f>"9780312336639"</f>
        <v>9780312336639</v>
      </c>
      <c r="J145" s="1">
        <v>4.0</v>
      </c>
      <c r="K145" s="1">
        <v>4.16</v>
      </c>
      <c r="L145" s="1" t="s">
        <v>132</v>
      </c>
      <c r="M145" s="1" t="s">
        <v>40</v>
      </c>
      <c r="N145" s="1">
        <v>320.0</v>
      </c>
      <c r="O145" s="1">
        <v>2004.0</v>
      </c>
      <c r="P145" s="1">
        <v>2004.0</v>
      </c>
      <c r="Q145" s="2">
        <v>42047.0</v>
      </c>
      <c r="R145" s="2">
        <v>42062.0</v>
      </c>
      <c r="U145" s="1" t="s">
        <v>41</v>
      </c>
      <c r="Y145" s="1">
        <v>1.0</v>
      </c>
      <c r="AB145" s="1">
        <v>0.0</v>
      </c>
    </row>
    <row r="146">
      <c r="A146" s="1">
        <v>2616360.0</v>
      </c>
      <c r="B146" s="1" t="s">
        <v>673</v>
      </c>
      <c r="C146" s="1" t="s">
        <v>457</v>
      </c>
      <c r="D146" s="1" t="s">
        <v>71</v>
      </c>
      <c r="E146" s="1" t="s">
        <v>65</v>
      </c>
      <c r="F146" s="1" t="s">
        <v>458</v>
      </c>
      <c r="G146" s="1" t="s">
        <v>674</v>
      </c>
      <c r="H146" t="str">
        <f>"1883049385"</f>
        <v>1883049385</v>
      </c>
      <c r="I146" t="str">
        <f>"9781883049386"</f>
        <v>9781883049386</v>
      </c>
      <c r="J146" s="1">
        <v>4.0</v>
      </c>
      <c r="K146" s="1">
        <v>3.45</v>
      </c>
      <c r="L146" s="1" t="s">
        <v>675</v>
      </c>
      <c r="M146" s="1" t="s">
        <v>676</v>
      </c>
      <c r="N146" s="1">
        <v>3.0</v>
      </c>
      <c r="O146" s="1">
        <v>1994.0</v>
      </c>
      <c r="P146" s="1">
        <v>2009.0</v>
      </c>
      <c r="Q146" s="2">
        <v>42066.0</v>
      </c>
      <c r="R146" s="2">
        <v>42066.0</v>
      </c>
      <c r="U146" s="1" t="s">
        <v>41</v>
      </c>
      <c r="Y146" s="1">
        <v>1.0</v>
      </c>
      <c r="AB146" s="1">
        <v>0.0</v>
      </c>
    </row>
    <row r="147">
      <c r="A147" s="1">
        <v>1.8519978E7</v>
      </c>
      <c r="B147" s="1" t="s">
        <v>677</v>
      </c>
      <c r="C147" s="1" t="s">
        <v>678</v>
      </c>
      <c r="D147" s="1" t="s">
        <v>50</v>
      </c>
      <c r="E147" s="1" t="s">
        <v>36</v>
      </c>
      <c r="F147" s="1" t="s">
        <v>679</v>
      </c>
      <c r="G147" s="1" t="s">
        <v>680</v>
      </c>
      <c r="H147" t="str">
        <f>""</f>
        <v/>
      </c>
      <c r="I147" t="str">
        <f>"9786068335827"</f>
        <v>9786068335827</v>
      </c>
      <c r="J147" s="1">
        <v>4.0</v>
      </c>
      <c r="K147" s="1">
        <v>4.19</v>
      </c>
      <c r="L147" s="1" t="s">
        <v>681</v>
      </c>
      <c r="M147" s="1" t="s">
        <v>40</v>
      </c>
      <c r="N147" s="1">
        <v>282.0</v>
      </c>
      <c r="O147" s="1">
        <v>2013.0</v>
      </c>
      <c r="P147" s="1">
        <v>2013.0</v>
      </c>
      <c r="R147" s="2">
        <v>42106.0</v>
      </c>
      <c r="U147" s="1" t="s">
        <v>41</v>
      </c>
      <c r="Y147" s="1">
        <v>1.0</v>
      </c>
      <c r="AB147" s="1">
        <v>0.0</v>
      </c>
    </row>
    <row r="148">
      <c r="A148" s="1">
        <v>123675.0</v>
      </c>
      <c r="B148" s="1" t="s">
        <v>682</v>
      </c>
      <c r="C148" s="1" t="s">
        <v>683</v>
      </c>
      <c r="D148" s="1" t="s">
        <v>522</v>
      </c>
      <c r="E148" s="1" t="s">
        <v>65</v>
      </c>
      <c r="F148" s="1" t="s">
        <v>684</v>
      </c>
      <c r="G148" s="1" t="s">
        <v>685</v>
      </c>
      <c r="H148" t="str">
        <f>"0691006768"</f>
        <v>0691006768</v>
      </c>
      <c r="I148" t="str">
        <f>"9780691006765"</f>
        <v>9780691006765</v>
      </c>
      <c r="J148" s="1">
        <v>5.0</v>
      </c>
      <c r="K148" s="1">
        <v>4.06</v>
      </c>
      <c r="L148" s="1" t="s">
        <v>686</v>
      </c>
      <c r="M148" s="1" t="s">
        <v>40</v>
      </c>
      <c r="N148" s="1">
        <v>128.0</v>
      </c>
      <c r="O148" s="1">
        <v>1999.0</v>
      </c>
      <c r="P148" s="1">
        <v>1933.0</v>
      </c>
      <c r="Q148" s="2">
        <v>42217.0</v>
      </c>
      <c r="R148" s="2">
        <v>42271.0</v>
      </c>
      <c r="U148" s="1" t="s">
        <v>41</v>
      </c>
      <c r="Y148" s="1">
        <v>1.0</v>
      </c>
      <c r="AB148" s="1">
        <v>0.0</v>
      </c>
    </row>
    <row r="149">
      <c r="A149" s="1">
        <v>1.8302455E7</v>
      </c>
      <c r="B149" s="1" t="s">
        <v>687</v>
      </c>
      <c r="C149" s="1" t="s">
        <v>688</v>
      </c>
      <c r="D149" s="1" t="s">
        <v>71</v>
      </c>
      <c r="E149" s="1" t="s">
        <v>65</v>
      </c>
      <c r="F149" s="1" t="s">
        <v>689</v>
      </c>
      <c r="H149" t="str">
        <f>"0385351399"</f>
        <v>0385351399</v>
      </c>
      <c r="I149" t="str">
        <f>"9780385351393"</f>
        <v>9780385351393</v>
      </c>
      <c r="J149" s="1">
        <v>4.0</v>
      </c>
      <c r="K149" s="1">
        <v>3.44</v>
      </c>
      <c r="L149" s="1" t="s">
        <v>334</v>
      </c>
      <c r="M149" s="1" t="s">
        <v>55</v>
      </c>
      <c r="N149" s="1">
        <v>493.0</v>
      </c>
      <c r="O149" s="1">
        <v>2013.0</v>
      </c>
      <c r="P149" s="1">
        <v>2013.0</v>
      </c>
      <c r="Q149" s="2">
        <v>42217.0</v>
      </c>
      <c r="R149" s="2">
        <v>42253.0</v>
      </c>
      <c r="U149" s="1" t="s">
        <v>41</v>
      </c>
      <c r="Y149" s="1">
        <v>1.0</v>
      </c>
      <c r="AB149" s="1">
        <v>0.0</v>
      </c>
    </row>
    <row r="150">
      <c r="A150" s="1">
        <v>9413297.0</v>
      </c>
      <c r="B150" s="1" t="s">
        <v>690</v>
      </c>
      <c r="C150" s="1" t="s">
        <v>691</v>
      </c>
      <c r="D150" s="1" t="s">
        <v>404</v>
      </c>
      <c r="E150" s="1" t="s">
        <v>65</v>
      </c>
      <c r="F150" s="1" t="s">
        <v>692</v>
      </c>
      <c r="H150" t="str">
        <f t="shared" ref="H150:I150" si="13">""</f>
        <v/>
      </c>
      <c r="I150" t="str">
        <f t="shared" si="13"/>
        <v/>
      </c>
      <c r="J150" s="1">
        <v>2.0</v>
      </c>
      <c r="K150" s="1">
        <v>4.27</v>
      </c>
      <c r="L150" s="1" t="s">
        <v>693</v>
      </c>
      <c r="M150" s="1" t="s">
        <v>107</v>
      </c>
      <c r="N150" s="1">
        <v>946.0</v>
      </c>
      <c r="O150" s="1">
        <v>2004.0</v>
      </c>
      <c r="P150" s="1">
        <v>2003.0</v>
      </c>
      <c r="Q150" s="4">
        <v>42366.0</v>
      </c>
      <c r="R150" s="4">
        <v>42324.0</v>
      </c>
      <c r="U150" s="1" t="s">
        <v>41</v>
      </c>
      <c r="Y150" s="1">
        <v>1.0</v>
      </c>
      <c r="AB150" s="1">
        <v>0.0</v>
      </c>
    </row>
    <row r="151" hidden="1">
      <c r="A151" s="1">
        <v>2.3333016E7</v>
      </c>
      <c r="B151" s="1" t="s">
        <v>694</v>
      </c>
      <c r="C151" s="1" t="s">
        <v>695</v>
      </c>
      <c r="D151" s="1"/>
      <c r="E151" s="1"/>
      <c r="F151" s="1" t="s">
        <v>696</v>
      </c>
      <c r="H151" t="str">
        <f>"1938912985"</f>
        <v>1938912985</v>
      </c>
      <c r="I151" t="str">
        <f>"9781938912986"</f>
        <v>9781938912986</v>
      </c>
      <c r="J151" s="1">
        <v>0.0</v>
      </c>
      <c r="K151" s="1">
        <v>4.59</v>
      </c>
      <c r="L151" s="1" t="s">
        <v>697</v>
      </c>
      <c r="M151" s="1" t="s">
        <v>40</v>
      </c>
      <c r="N151" s="1">
        <v>120.0</v>
      </c>
      <c r="O151" s="1">
        <v>2015.0</v>
      </c>
      <c r="P151" s="1">
        <v>2015.0</v>
      </c>
      <c r="R151" s="2">
        <v>42340.0</v>
      </c>
      <c r="S151" s="1" t="s">
        <v>56</v>
      </c>
      <c r="T151" s="1" t="s">
        <v>698</v>
      </c>
      <c r="U151" s="1" t="s">
        <v>56</v>
      </c>
      <c r="Y151" s="1">
        <v>0.0</v>
      </c>
      <c r="AB151" s="1">
        <v>0.0</v>
      </c>
    </row>
    <row r="152" hidden="1">
      <c r="A152" s="1">
        <v>2.5052044E7</v>
      </c>
      <c r="B152" s="1" t="s">
        <v>699</v>
      </c>
      <c r="C152" s="1" t="s">
        <v>700</v>
      </c>
      <c r="D152" s="1"/>
      <c r="E152" s="1"/>
      <c r="F152" s="1" t="s">
        <v>701</v>
      </c>
      <c r="H152" t="str">
        <f t="shared" ref="H152:I152" si="14">""</f>
        <v/>
      </c>
      <c r="I152" t="str">
        <f t="shared" si="14"/>
        <v/>
      </c>
      <c r="J152" s="1">
        <v>0.0</v>
      </c>
      <c r="K152" s="1">
        <v>3.84</v>
      </c>
      <c r="L152" s="1" t="s">
        <v>702</v>
      </c>
      <c r="M152" s="1" t="s">
        <v>107</v>
      </c>
      <c r="N152" s="1">
        <v>124.0</v>
      </c>
      <c r="O152" s="1">
        <v>2015.0</v>
      </c>
      <c r="P152" s="1">
        <v>2015.0</v>
      </c>
      <c r="R152" s="2">
        <v>42340.0</v>
      </c>
      <c r="S152" s="1" t="s">
        <v>56</v>
      </c>
      <c r="T152" s="1" t="s">
        <v>703</v>
      </c>
      <c r="U152" s="1" t="s">
        <v>56</v>
      </c>
      <c r="Y152" s="1">
        <v>0.0</v>
      </c>
      <c r="AB152" s="1">
        <v>0.0</v>
      </c>
    </row>
    <row r="153" hidden="1">
      <c r="A153" s="1">
        <v>2.4396853E7</v>
      </c>
      <c r="B153" s="1" t="s">
        <v>704</v>
      </c>
      <c r="C153" s="1" t="s">
        <v>705</v>
      </c>
      <c r="D153" s="1"/>
      <c r="E153" s="1"/>
      <c r="F153" s="1" t="s">
        <v>706</v>
      </c>
      <c r="H153" t="str">
        <f>"0316277800"</f>
        <v>0316277800</v>
      </c>
      <c r="I153" t="str">
        <f>"9780316277808"</f>
        <v>9780316277808</v>
      </c>
      <c r="J153" s="1">
        <v>0.0</v>
      </c>
      <c r="K153" s="1">
        <v>3.69</v>
      </c>
      <c r="L153" s="1" t="s">
        <v>224</v>
      </c>
      <c r="M153" s="1" t="s">
        <v>55</v>
      </c>
      <c r="N153" s="1">
        <v>304.0</v>
      </c>
      <c r="O153" s="1">
        <v>2015.0</v>
      </c>
      <c r="P153" s="1">
        <v>2015.0</v>
      </c>
      <c r="R153" s="4">
        <v>42333.0</v>
      </c>
      <c r="S153" s="1" t="s">
        <v>56</v>
      </c>
      <c r="T153" s="1" t="s">
        <v>707</v>
      </c>
      <c r="U153" s="1" t="s">
        <v>56</v>
      </c>
      <c r="Y153" s="1">
        <v>0.0</v>
      </c>
      <c r="AB153" s="1">
        <v>0.0</v>
      </c>
    </row>
    <row r="154" hidden="1">
      <c r="A154" s="1">
        <v>74121.0</v>
      </c>
      <c r="B154" s="1" t="s">
        <v>708</v>
      </c>
      <c r="C154" s="1" t="s">
        <v>709</v>
      </c>
      <c r="D154" s="1"/>
      <c r="E154" s="1"/>
      <c r="F154" s="1" t="s">
        <v>710</v>
      </c>
      <c r="H154" t="str">
        <f>"0385514743"</f>
        <v>0385514743</v>
      </c>
      <c r="I154" t="str">
        <f>"9780385514743"</f>
        <v>9780385514743</v>
      </c>
      <c r="J154" s="1">
        <v>0.0</v>
      </c>
      <c r="K154" s="1">
        <v>3.84</v>
      </c>
      <c r="L154" s="1" t="s">
        <v>711</v>
      </c>
      <c r="M154" s="1" t="s">
        <v>55</v>
      </c>
      <c r="N154" s="1">
        <v>400.0</v>
      </c>
      <c r="O154" s="1">
        <v>2007.0</v>
      </c>
      <c r="P154" s="1">
        <v>2006.0</v>
      </c>
      <c r="R154" s="4">
        <v>42324.0</v>
      </c>
      <c r="S154" s="1" t="s">
        <v>56</v>
      </c>
      <c r="T154" s="1" t="s">
        <v>712</v>
      </c>
      <c r="U154" s="1" t="s">
        <v>56</v>
      </c>
      <c r="Y154" s="1">
        <v>0.0</v>
      </c>
      <c r="AB154" s="1">
        <v>0.0</v>
      </c>
    </row>
    <row r="155">
      <c r="A155" s="1">
        <v>23970.0</v>
      </c>
      <c r="B155" s="1" t="s">
        <v>713</v>
      </c>
      <c r="C155" s="1" t="s">
        <v>714</v>
      </c>
      <c r="D155" s="1" t="s">
        <v>35</v>
      </c>
      <c r="E155" s="1" t="s">
        <v>65</v>
      </c>
      <c r="F155" s="1" t="s">
        <v>715</v>
      </c>
      <c r="H155" t="str">
        <f>"046500556X"</f>
        <v>046500556X</v>
      </c>
      <c r="I155" t="str">
        <f>"9780465005567"</f>
        <v>9780465005567</v>
      </c>
      <c r="J155" s="1">
        <v>3.0</v>
      </c>
      <c r="K155" s="1">
        <v>3.56</v>
      </c>
      <c r="L155" s="1" t="s">
        <v>716</v>
      </c>
      <c r="M155" s="1" t="s">
        <v>40</v>
      </c>
      <c r="N155" s="1">
        <v>288.0</v>
      </c>
      <c r="O155" s="1">
        <v>2004.0</v>
      </c>
      <c r="P155" s="1">
        <v>2003.0</v>
      </c>
      <c r="Q155" s="4">
        <v>42303.0</v>
      </c>
      <c r="R155" s="4">
        <v>42291.0</v>
      </c>
      <c r="U155" s="1" t="s">
        <v>41</v>
      </c>
      <c r="Y155" s="1">
        <v>1.0</v>
      </c>
      <c r="AB155" s="1">
        <v>0.0</v>
      </c>
    </row>
    <row r="156" hidden="1">
      <c r="A156" s="1">
        <v>23419.0</v>
      </c>
      <c r="B156" s="1" t="s">
        <v>717</v>
      </c>
      <c r="C156" s="1" t="s">
        <v>718</v>
      </c>
      <c r="D156" s="1"/>
      <c r="E156" s="1"/>
      <c r="F156" s="1" t="s">
        <v>719</v>
      </c>
      <c r="H156" t="str">
        <f>"0679779175"</f>
        <v>0679779175</v>
      </c>
      <c r="I156" t="str">
        <f>"9780679779179"</f>
        <v>9780679779179</v>
      </c>
      <c r="J156" s="1">
        <v>0.0</v>
      </c>
      <c r="K156" s="1">
        <v>4.0</v>
      </c>
      <c r="L156" s="1" t="s">
        <v>361</v>
      </c>
      <c r="M156" s="1" t="s">
        <v>40</v>
      </c>
      <c r="N156" s="1">
        <v>265.0</v>
      </c>
      <c r="O156" s="1">
        <v>2001.0</v>
      </c>
      <c r="P156" s="1">
        <v>2000.0</v>
      </c>
      <c r="R156" s="4">
        <v>42297.0</v>
      </c>
      <c r="S156" s="1" t="s">
        <v>56</v>
      </c>
      <c r="T156" s="1" t="s">
        <v>720</v>
      </c>
      <c r="U156" s="1" t="s">
        <v>56</v>
      </c>
      <c r="Y156" s="1">
        <v>0.0</v>
      </c>
      <c r="AB156" s="1">
        <v>0.0</v>
      </c>
    </row>
    <row r="157" hidden="1">
      <c r="A157" s="1">
        <v>1.3369538E7</v>
      </c>
      <c r="B157" s="1" t="s">
        <v>721</v>
      </c>
      <c r="C157" s="1" t="s">
        <v>722</v>
      </c>
      <c r="D157" s="1"/>
      <c r="E157" s="1"/>
      <c r="F157" s="1" t="s">
        <v>723</v>
      </c>
      <c r="H157" t="str">
        <f>"024114387X"</f>
        <v>024114387X</v>
      </c>
      <c r="I157" t="str">
        <f>"9780241143872"</f>
        <v>9780241143872</v>
      </c>
      <c r="J157" s="1">
        <v>0.0</v>
      </c>
      <c r="K157" s="1">
        <v>3.41</v>
      </c>
      <c r="L157" s="1" t="s">
        <v>724</v>
      </c>
      <c r="M157" s="1" t="s">
        <v>55</v>
      </c>
      <c r="N157" s="1">
        <v>224.0</v>
      </c>
      <c r="O157" s="1">
        <v>2012.0</v>
      </c>
      <c r="P157" s="1">
        <v>2012.0</v>
      </c>
      <c r="R157" s="4">
        <v>42297.0</v>
      </c>
      <c r="S157" s="1" t="s">
        <v>56</v>
      </c>
      <c r="T157" s="1" t="s">
        <v>725</v>
      </c>
      <c r="U157" s="1" t="s">
        <v>56</v>
      </c>
      <c r="Y157" s="1">
        <v>0.0</v>
      </c>
      <c r="AB157" s="1">
        <v>0.0</v>
      </c>
    </row>
    <row r="158">
      <c r="A158" s="1">
        <v>2.251402E7</v>
      </c>
      <c r="B158" s="1" t="s">
        <v>726</v>
      </c>
      <c r="C158" s="1" t="s">
        <v>727</v>
      </c>
      <c r="D158" s="1" t="s">
        <v>71</v>
      </c>
      <c r="E158" s="1" t="s">
        <v>65</v>
      </c>
      <c r="F158" s="1" t="s">
        <v>728</v>
      </c>
      <c r="H158" t="str">
        <f>"158333467X"</f>
        <v>158333467X</v>
      </c>
      <c r="I158" t="str">
        <f>"9781583334676"</f>
        <v>9781583334676</v>
      </c>
      <c r="J158" s="1">
        <v>5.0</v>
      </c>
      <c r="K158" s="1">
        <v>4.3</v>
      </c>
      <c r="L158" s="1" t="s">
        <v>729</v>
      </c>
      <c r="M158" s="1" t="s">
        <v>55</v>
      </c>
      <c r="N158" s="1">
        <v>477.0</v>
      </c>
      <c r="O158" s="1">
        <v>2015.0</v>
      </c>
      <c r="P158" s="1">
        <v>2015.0</v>
      </c>
      <c r="Q158" s="4">
        <v>42291.0</v>
      </c>
      <c r="R158" s="2">
        <v>42276.0</v>
      </c>
      <c r="U158" s="1" t="s">
        <v>41</v>
      </c>
      <c r="Y158" s="1">
        <v>1.0</v>
      </c>
      <c r="AB158" s="1">
        <v>0.0</v>
      </c>
    </row>
    <row r="159" hidden="1">
      <c r="A159" s="1">
        <v>27397.0</v>
      </c>
      <c r="B159" s="1" t="s">
        <v>730</v>
      </c>
      <c r="C159" s="1" t="s">
        <v>731</v>
      </c>
      <c r="D159" s="1"/>
      <c r="E159" s="1"/>
      <c r="F159" s="1" t="s">
        <v>732</v>
      </c>
      <c r="H159" t="str">
        <f>"0679772677"</f>
        <v>0679772677</v>
      </c>
      <c r="I159" t="str">
        <f>"9780679772675"</f>
        <v>9780679772675</v>
      </c>
      <c r="J159" s="1">
        <v>0.0</v>
      </c>
      <c r="K159" s="1">
        <v>3.96</v>
      </c>
      <c r="L159" s="1" t="s">
        <v>361</v>
      </c>
      <c r="M159" s="1" t="s">
        <v>40</v>
      </c>
      <c r="N159" s="1">
        <v>512.0</v>
      </c>
      <c r="O159" s="1">
        <v>1996.0</v>
      </c>
      <c r="P159" s="1">
        <v>1995.0</v>
      </c>
      <c r="R159" s="4">
        <v>42290.0</v>
      </c>
      <c r="S159" s="1" t="s">
        <v>56</v>
      </c>
      <c r="T159" s="1" t="s">
        <v>733</v>
      </c>
      <c r="U159" s="1" t="s">
        <v>56</v>
      </c>
      <c r="Y159" s="1">
        <v>0.0</v>
      </c>
      <c r="AB159" s="1">
        <v>0.0</v>
      </c>
    </row>
    <row r="160" hidden="1">
      <c r="A160" s="1">
        <v>108381.0</v>
      </c>
      <c r="B160" s="1" t="s">
        <v>734</v>
      </c>
      <c r="C160" s="1" t="s">
        <v>735</v>
      </c>
      <c r="D160" s="1"/>
      <c r="E160" s="1"/>
      <c r="F160" s="1" t="s">
        <v>736</v>
      </c>
      <c r="H160" t="str">
        <f>"0465027636"</f>
        <v>0465027636</v>
      </c>
      <c r="I160" t="str">
        <f>"9780465027637"</f>
        <v>9780465027637</v>
      </c>
      <c r="J160" s="1">
        <v>0.0</v>
      </c>
      <c r="K160" s="1">
        <v>3.96</v>
      </c>
      <c r="L160" s="1" t="s">
        <v>716</v>
      </c>
      <c r="M160" s="1" t="s">
        <v>55</v>
      </c>
      <c r="N160" s="1">
        <v>352.0</v>
      </c>
      <c r="O160" s="1">
        <v>2007.0</v>
      </c>
      <c r="P160" s="1">
        <v>2007.0</v>
      </c>
      <c r="R160" s="4">
        <v>42290.0</v>
      </c>
      <c r="S160" s="1" t="s">
        <v>56</v>
      </c>
      <c r="T160" s="1" t="s">
        <v>737</v>
      </c>
      <c r="U160" s="1" t="s">
        <v>56</v>
      </c>
      <c r="Y160" s="1">
        <v>0.0</v>
      </c>
      <c r="AB160" s="1">
        <v>0.0</v>
      </c>
    </row>
    <row r="161">
      <c r="A161" s="1">
        <v>1.7344096E7</v>
      </c>
      <c r="B161" s="1" t="s">
        <v>738</v>
      </c>
      <c r="C161" s="1" t="s">
        <v>739</v>
      </c>
      <c r="D161" s="1" t="s">
        <v>71</v>
      </c>
      <c r="E161" s="1" t="s">
        <v>72</v>
      </c>
      <c r="F161" s="1" t="s">
        <v>740</v>
      </c>
      <c r="H161" t="str">
        <f>""</f>
        <v/>
      </c>
      <c r="I161" t="str">
        <f>"9783593188857"</f>
        <v>9783593188857</v>
      </c>
      <c r="J161" s="1">
        <v>5.0</v>
      </c>
      <c r="K161" s="1">
        <v>4.13</v>
      </c>
      <c r="L161" s="1" t="s">
        <v>741</v>
      </c>
      <c r="M161" s="1" t="s">
        <v>40</v>
      </c>
      <c r="N161" s="1">
        <v>330.0</v>
      </c>
      <c r="O161" s="1">
        <v>2012.0</v>
      </c>
      <c r="P161" s="1">
        <v>2010.0</v>
      </c>
      <c r="Q161" s="2">
        <v>41723.0</v>
      </c>
      <c r="R161" s="2">
        <v>41712.0</v>
      </c>
      <c r="U161" s="1" t="s">
        <v>41</v>
      </c>
      <c r="Y161" s="1">
        <v>1.0</v>
      </c>
      <c r="AB161" s="1">
        <v>0.0</v>
      </c>
    </row>
    <row r="162">
      <c r="A162" s="1">
        <v>769080.0</v>
      </c>
      <c r="B162" s="1" t="s">
        <v>742</v>
      </c>
      <c r="C162" s="1" t="s">
        <v>130</v>
      </c>
      <c r="D162" s="1" t="s">
        <v>354</v>
      </c>
      <c r="E162" s="1" t="s">
        <v>36</v>
      </c>
      <c r="F162" s="1" t="s">
        <v>131</v>
      </c>
      <c r="H162" t="str">
        <f>"0007181175"</f>
        <v>0007181175</v>
      </c>
      <c r="I162" t="str">
        <f>"9780007181179"</f>
        <v>9780007181179</v>
      </c>
      <c r="J162" s="1">
        <v>3.0</v>
      </c>
      <c r="K162" s="1">
        <v>4.45</v>
      </c>
      <c r="L162" s="1" t="s">
        <v>743</v>
      </c>
      <c r="M162" s="1" t="s">
        <v>40</v>
      </c>
      <c r="N162" s="1">
        <v>512.0</v>
      </c>
      <c r="O162" s="1">
        <v>2004.0</v>
      </c>
      <c r="P162" s="1">
        <v>1978.0</v>
      </c>
      <c r="Q162" s="2">
        <v>41765.0</v>
      </c>
      <c r="R162" s="2">
        <v>41759.0</v>
      </c>
      <c r="U162" s="1" t="s">
        <v>41</v>
      </c>
      <c r="Y162" s="1">
        <v>1.0</v>
      </c>
      <c r="AB162" s="1">
        <v>0.0</v>
      </c>
    </row>
    <row r="163">
      <c r="A163" s="1">
        <v>1.7851885E7</v>
      </c>
      <c r="B163" s="1" t="s">
        <v>744</v>
      </c>
      <c r="C163" s="1" t="s">
        <v>745</v>
      </c>
      <c r="D163" s="1" t="s">
        <v>746</v>
      </c>
      <c r="E163" s="1" t="s">
        <v>65</v>
      </c>
      <c r="F163" s="1" t="s">
        <v>747</v>
      </c>
      <c r="G163" s="1" t="s">
        <v>748</v>
      </c>
      <c r="H163" t="str">
        <f>"0316322407"</f>
        <v>0316322407</v>
      </c>
      <c r="I163" t="str">
        <f>"9780316322409"</f>
        <v>9780316322409</v>
      </c>
      <c r="J163" s="1">
        <v>4.0</v>
      </c>
      <c r="K163" s="1">
        <v>4.09</v>
      </c>
      <c r="L163" s="1" t="s">
        <v>224</v>
      </c>
      <c r="M163" s="1" t="s">
        <v>55</v>
      </c>
      <c r="N163" s="1">
        <v>327.0</v>
      </c>
      <c r="O163" s="1">
        <v>2013.0</v>
      </c>
      <c r="P163" s="1">
        <v>2012.0</v>
      </c>
      <c r="Q163" s="2">
        <v>41975.0</v>
      </c>
      <c r="R163" s="2">
        <v>41949.0</v>
      </c>
      <c r="U163" s="1" t="s">
        <v>41</v>
      </c>
      <c r="Y163" s="1">
        <v>1.0</v>
      </c>
      <c r="AB163" s="1">
        <v>0.0</v>
      </c>
    </row>
    <row r="164">
      <c r="A164" s="1">
        <v>752900.0</v>
      </c>
      <c r="B164" s="1" t="s">
        <v>749</v>
      </c>
      <c r="C164" s="1" t="s">
        <v>750</v>
      </c>
      <c r="D164" s="1" t="s">
        <v>125</v>
      </c>
      <c r="E164" s="1" t="s">
        <v>36</v>
      </c>
      <c r="F164" s="1" t="s">
        <v>751</v>
      </c>
      <c r="G164" s="1" t="s">
        <v>752</v>
      </c>
      <c r="H164" t="str">
        <f>"0486275485"</f>
        <v>0486275485</v>
      </c>
      <c r="I164" t="str">
        <f>"9780486275482"</f>
        <v>9780486275482</v>
      </c>
      <c r="J164" s="1">
        <v>5.0</v>
      </c>
      <c r="K164" s="1">
        <v>3.84</v>
      </c>
      <c r="L164" s="1" t="s">
        <v>753</v>
      </c>
      <c r="M164" s="1" t="s">
        <v>40</v>
      </c>
      <c r="N164" s="1">
        <v>59.0</v>
      </c>
      <c r="O164" s="1">
        <v>1993.0</v>
      </c>
      <c r="P164" s="1">
        <v>-431.0</v>
      </c>
      <c r="R164" s="2">
        <v>42104.0</v>
      </c>
      <c r="U164" s="1" t="s">
        <v>41</v>
      </c>
      <c r="Y164" s="1">
        <v>1.0</v>
      </c>
      <c r="AB164" s="1">
        <v>0.0</v>
      </c>
    </row>
    <row r="165">
      <c r="A165" s="1">
        <v>1171954.0</v>
      </c>
      <c r="B165" s="1" t="s">
        <v>754</v>
      </c>
      <c r="C165" s="1" t="s">
        <v>750</v>
      </c>
      <c r="D165" s="1" t="s">
        <v>125</v>
      </c>
      <c r="E165" s="1" t="s">
        <v>36</v>
      </c>
      <c r="F165" s="1" t="s">
        <v>751</v>
      </c>
      <c r="G165" s="1" t="s">
        <v>755</v>
      </c>
      <c r="H165" t="str">
        <f>"0195085760"</f>
        <v>0195085760</v>
      </c>
      <c r="I165" t="str">
        <f>"9780195085761"</f>
        <v>9780195085761</v>
      </c>
      <c r="J165" s="1">
        <v>5.0</v>
      </c>
      <c r="K165" s="1">
        <v>3.93</v>
      </c>
      <c r="L165" s="1" t="s">
        <v>431</v>
      </c>
      <c r="M165" s="1" t="s">
        <v>40</v>
      </c>
      <c r="N165" s="1">
        <v>98.0</v>
      </c>
      <c r="O165" s="1">
        <v>1994.0</v>
      </c>
      <c r="P165" s="1">
        <v>-420.0</v>
      </c>
      <c r="R165" s="2">
        <v>42104.0</v>
      </c>
      <c r="U165" s="1" t="s">
        <v>41</v>
      </c>
      <c r="Y165" s="1">
        <v>1.0</v>
      </c>
      <c r="AB165" s="1">
        <v>0.0</v>
      </c>
    </row>
    <row r="166">
      <c r="A166" s="1">
        <v>205196.0</v>
      </c>
      <c r="B166" s="1" t="s">
        <v>754</v>
      </c>
      <c r="C166" s="1" t="s">
        <v>668</v>
      </c>
      <c r="D166" s="1" t="s">
        <v>125</v>
      </c>
      <c r="E166" s="1" t="s">
        <v>36</v>
      </c>
      <c r="F166" s="1" t="s">
        <v>669</v>
      </c>
      <c r="G166" s="1" t="s">
        <v>756</v>
      </c>
      <c r="H166" t="str">
        <f>"1854597566"</f>
        <v>1854597566</v>
      </c>
      <c r="I166" t="str">
        <f>"9781854597564"</f>
        <v>9781854597564</v>
      </c>
      <c r="J166" s="1">
        <v>5.0</v>
      </c>
      <c r="K166" s="1">
        <v>3.81</v>
      </c>
      <c r="L166" s="1" t="s">
        <v>757</v>
      </c>
      <c r="M166" s="1" t="s">
        <v>40</v>
      </c>
      <c r="N166" s="1">
        <v>128.0</v>
      </c>
      <c r="O166" s="1">
        <v>2004.0</v>
      </c>
      <c r="P166" s="1">
        <v>-410.0</v>
      </c>
      <c r="R166" s="2">
        <v>42104.0</v>
      </c>
      <c r="U166" s="1" t="s">
        <v>41</v>
      </c>
      <c r="Y166" s="1">
        <v>1.0</v>
      </c>
      <c r="AB166" s="1">
        <v>0.0</v>
      </c>
    </row>
    <row r="167" hidden="1">
      <c r="A167" s="1">
        <v>2.3398718E7</v>
      </c>
      <c r="B167" s="1" t="s">
        <v>758</v>
      </c>
      <c r="C167" s="1" t="s">
        <v>759</v>
      </c>
      <c r="D167" s="1"/>
      <c r="E167" s="1"/>
      <c r="F167" s="1" t="s">
        <v>760</v>
      </c>
      <c r="H167" t="str">
        <f>"0525954198"</f>
        <v>0525954198</v>
      </c>
      <c r="I167" t="str">
        <f>"9780525954194"</f>
        <v>9780525954194</v>
      </c>
      <c r="J167" s="1">
        <v>0.0</v>
      </c>
      <c r="K167" s="1">
        <v>3.68</v>
      </c>
      <c r="L167" s="1" t="s">
        <v>761</v>
      </c>
      <c r="M167" s="1" t="s">
        <v>55</v>
      </c>
      <c r="N167" s="1">
        <v>320.0</v>
      </c>
      <c r="O167" s="1">
        <v>2015.0</v>
      </c>
      <c r="P167" s="1">
        <v>2015.0</v>
      </c>
      <c r="R167" s="2">
        <v>42281.0</v>
      </c>
      <c r="S167" s="1" t="s">
        <v>56</v>
      </c>
      <c r="T167" s="1" t="s">
        <v>762</v>
      </c>
      <c r="U167" s="1" t="s">
        <v>56</v>
      </c>
      <c r="Y167" s="1">
        <v>0.0</v>
      </c>
      <c r="AB167" s="1">
        <v>0.0</v>
      </c>
    </row>
    <row r="168" hidden="1">
      <c r="A168" s="1">
        <v>2.6179467E7</v>
      </c>
      <c r="B168" s="1" t="s">
        <v>763</v>
      </c>
      <c r="C168" s="1" t="s">
        <v>764</v>
      </c>
      <c r="D168" s="1"/>
      <c r="E168" s="1"/>
      <c r="F168" s="1" t="s">
        <v>765</v>
      </c>
      <c r="H168" t="str">
        <f t="shared" ref="H168:I168" si="15">""</f>
        <v/>
      </c>
      <c r="I168" t="str">
        <f t="shared" si="15"/>
        <v/>
      </c>
      <c r="J168" s="1">
        <v>0.0</v>
      </c>
      <c r="K168" s="1">
        <v>3.79</v>
      </c>
      <c r="O168" s="1">
        <v>2015.0</v>
      </c>
      <c r="P168" s="1">
        <v>2015.0</v>
      </c>
      <c r="R168" s="2">
        <v>42254.0</v>
      </c>
      <c r="S168" s="1" t="s">
        <v>56</v>
      </c>
      <c r="T168" s="1" t="s">
        <v>766</v>
      </c>
      <c r="U168" s="1" t="s">
        <v>56</v>
      </c>
      <c r="Y168" s="1">
        <v>0.0</v>
      </c>
      <c r="AB168" s="1">
        <v>0.0</v>
      </c>
    </row>
    <row r="169">
      <c r="A169" s="1">
        <v>2.1853758E7</v>
      </c>
      <c r="B169" s="1" t="s">
        <v>767</v>
      </c>
      <c r="C169" s="1" t="s">
        <v>768</v>
      </c>
      <c r="D169" s="1" t="s">
        <v>95</v>
      </c>
      <c r="E169" s="1" t="s">
        <v>65</v>
      </c>
      <c r="F169" s="1" t="s">
        <v>769</v>
      </c>
      <c r="G169" s="1" t="s">
        <v>770</v>
      </c>
      <c r="H169" t="str">
        <f>"1250064120"</f>
        <v>1250064120</v>
      </c>
      <c r="I169" t="str">
        <f>"9781250064127"</f>
        <v>9781250064127</v>
      </c>
      <c r="J169" s="1">
        <v>3.0</v>
      </c>
      <c r="K169" s="1">
        <v>3.61</v>
      </c>
      <c r="L169" s="1" t="s">
        <v>771</v>
      </c>
      <c r="M169" s="1" t="s">
        <v>55</v>
      </c>
      <c r="N169" s="1">
        <v>240.0</v>
      </c>
      <c r="O169" s="1">
        <v>2015.0</v>
      </c>
      <c r="P169" s="1">
        <v>2015.0</v>
      </c>
      <c r="Q169" s="2">
        <v>42248.0</v>
      </c>
      <c r="R169" s="2">
        <v>42246.0</v>
      </c>
      <c r="U169" s="1" t="s">
        <v>41</v>
      </c>
      <c r="Y169" s="1">
        <v>1.0</v>
      </c>
      <c r="AB169" s="1">
        <v>0.0</v>
      </c>
    </row>
    <row r="170">
      <c r="A170" s="1">
        <v>2.1902921E7</v>
      </c>
      <c r="B170" s="1" t="s">
        <v>772</v>
      </c>
      <c r="C170" s="1" t="s">
        <v>773</v>
      </c>
      <c r="D170" s="1" t="s">
        <v>95</v>
      </c>
      <c r="E170" s="1" t="s">
        <v>65</v>
      </c>
      <c r="F170" s="1" t="s">
        <v>774</v>
      </c>
      <c r="G170" s="1" t="s">
        <v>775</v>
      </c>
      <c r="H170" t="str">
        <f>"0857052934"</f>
        <v>0857052934</v>
      </c>
      <c r="I170" t="str">
        <f>"9780857052933"</f>
        <v>9780857052933</v>
      </c>
      <c r="J170" s="1">
        <v>4.0</v>
      </c>
      <c r="K170" s="1">
        <v>3.43</v>
      </c>
      <c r="L170" s="1" t="s">
        <v>776</v>
      </c>
      <c r="M170" s="1" t="s">
        <v>40</v>
      </c>
      <c r="N170" s="1">
        <v>375.0</v>
      </c>
      <c r="O170" s="1">
        <v>2014.0</v>
      </c>
      <c r="P170" s="1">
        <v>2012.0</v>
      </c>
      <c r="Q170" s="2">
        <v>42241.0</v>
      </c>
      <c r="R170" s="2">
        <v>42240.0</v>
      </c>
      <c r="U170" s="1" t="s">
        <v>41</v>
      </c>
      <c r="Y170" s="1">
        <v>1.0</v>
      </c>
      <c r="AB170" s="1">
        <v>0.0</v>
      </c>
    </row>
    <row r="171">
      <c r="A171" s="1">
        <v>1.8554708E7</v>
      </c>
      <c r="B171" s="1" t="s">
        <v>777</v>
      </c>
      <c r="C171" s="1" t="s">
        <v>778</v>
      </c>
      <c r="D171" s="1" t="s">
        <v>354</v>
      </c>
      <c r="E171" s="1" t="s">
        <v>65</v>
      </c>
      <c r="F171" s="1" t="s">
        <v>779</v>
      </c>
      <c r="H171" t="str">
        <f>"0876122381"</f>
        <v>0876122381</v>
      </c>
      <c r="I171" t="str">
        <f>"9780876122389"</f>
        <v>9780876122389</v>
      </c>
      <c r="J171" s="1">
        <v>2.0</v>
      </c>
      <c r="K171" s="1">
        <v>4.22</v>
      </c>
      <c r="L171" s="1" t="s">
        <v>780</v>
      </c>
      <c r="M171" s="1" t="s">
        <v>40</v>
      </c>
      <c r="N171" s="1">
        <v>758.0</v>
      </c>
      <c r="O171" s="1">
        <v>2013.0</v>
      </c>
      <c r="P171" s="1">
        <v>1946.0</v>
      </c>
      <c r="Q171" s="2">
        <v>42240.0</v>
      </c>
      <c r="R171" s="2">
        <v>42232.0</v>
      </c>
      <c r="U171" s="1" t="s">
        <v>41</v>
      </c>
      <c r="Y171" s="1">
        <v>1.0</v>
      </c>
      <c r="AB171" s="1">
        <v>0.0</v>
      </c>
    </row>
    <row r="172">
      <c r="A172" s="1">
        <v>56301.0</v>
      </c>
      <c r="B172" s="1" t="s">
        <v>781</v>
      </c>
      <c r="C172" s="1" t="s">
        <v>782</v>
      </c>
      <c r="D172" s="1" t="s">
        <v>354</v>
      </c>
      <c r="E172" s="1" t="s">
        <v>65</v>
      </c>
      <c r="F172" s="1" t="s">
        <v>783</v>
      </c>
      <c r="G172" s="1" t="s">
        <v>784</v>
      </c>
      <c r="H172" t="str">
        <f>"0805210318"</f>
        <v>0805210318</v>
      </c>
      <c r="I172" t="str">
        <f>"9780805210316"</f>
        <v>9780805210316</v>
      </c>
      <c r="J172" s="1">
        <v>5.0</v>
      </c>
      <c r="K172" s="1">
        <v>4.33</v>
      </c>
      <c r="L172" s="1" t="s">
        <v>785</v>
      </c>
      <c r="M172" s="1" t="s">
        <v>40</v>
      </c>
      <c r="N172" s="1">
        <v>544.0</v>
      </c>
      <c r="O172" s="1">
        <v>1995.0</v>
      </c>
      <c r="P172" s="1">
        <v>1966.0</v>
      </c>
      <c r="R172" s="2">
        <v>42232.0</v>
      </c>
      <c r="U172" s="1" t="s">
        <v>41</v>
      </c>
      <c r="Y172" s="1">
        <v>1.0</v>
      </c>
      <c r="AB172" s="1">
        <v>0.0</v>
      </c>
    </row>
    <row r="173">
      <c r="A173" s="1">
        <v>2030225.0</v>
      </c>
      <c r="B173" s="1" t="s">
        <v>786</v>
      </c>
      <c r="C173" s="1" t="s">
        <v>787</v>
      </c>
      <c r="D173" s="1" t="s">
        <v>354</v>
      </c>
      <c r="E173" s="1" t="s">
        <v>65</v>
      </c>
      <c r="F173" s="1" t="s">
        <v>788</v>
      </c>
      <c r="G173" s="1" t="s">
        <v>789</v>
      </c>
      <c r="H173" t="str">
        <f>"8185378096"</f>
        <v>8185378096</v>
      </c>
      <c r="I173" t="str">
        <f>"9788185378091"</f>
        <v>9788185378091</v>
      </c>
      <c r="J173" s="1">
        <v>5.0</v>
      </c>
      <c r="K173" s="1">
        <v>4.5</v>
      </c>
      <c r="L173" s="1" t="s">
        <v>790</v>
      </c>
      <c r="N173" s="1">
        <v>261.0</v>
      </c>
      <c r="O173" s="1">
        <v>1992.0</v>
      </c>
      <c r="P173" s="1">
        <v>1992.0</v>
      </c>
      <c r="R173" s="2">
        <v>42224.0</v>
      </c>
      <c r="U173" s="1" t="s">
        <v>41</v>
      </c>
      <c r="Y173" s="1">
        <v>1.0</v>
      </c>
      <c r="AB173" s="1">
        <v>0.0</v>
      </c>
    </row>
    <row r="174">
      <c r="A174" s="1">
        <v>1713426.0</v>
      </c>
      <c r="B174" s="1" t="s">
        <v>791</v>
      </c>
      <c r="C174" s="1" t="s">
        <v>792</v>
      </c>
      <c r="D174" s="1" t="s">
        <v>71</v>
      </c>
      <c r="E174" s="1" t="s">
        <v>65</v>
      </c>
      <c r="F174" s="1" t="s">
        <v>793</v>
      </c>
      <c r="H174" t="str">
        <f>"006135323X"</f>
        <v>006135323X</v>
      </c>
      <c r="I174" t="str">
        <f>"9780061353239"</f>
        <v>9780061353239</v>
      </c>
      <c r="J174" s="1">
        <v>5.0</v>
      </c>
      <c r="K174" s="1">
        <v>4.11</v>
      </c>
      <c r="L174" s="1" t="s">
        <v>794</v>
      </c>
      <c r="M174" s="1" t="s">
        <v>55</v>
      </c>
      <c r="N174" s="1">
        <v>400.0</v>
      </c>
      <c r="O174" s="1">
        <v>2008.0</v>
      </c>
      <c r="P174" s="1">
        <v>2007.0</v>
      </c>
      <c r="R174" s="2">
        <v>42215.0</v>
      </c>
      <c r="U174" s="1" t="s">
        <v>41</v>
      </c>
      <c r="Y174" s="1">
        <v>1.0</v>
      </c>
      <c r="AB174" s="1">
        <v>0.0</v>
      </c>
    </row>
    <row r="175">
      <c r="A175" s="1">
        <v>1.1468377E7</v>
      </c>
      <c r="B175" s="1" t="s">
        <v>795</v>
      </c>
      <c r="C175" s="1" t="s">
        <v>796</v>
      </c>
      <c r="D175" s="1" t="s">
        <v>419</v>
      </c>
      <c r="E175" s="1" t="s">
        <v>65</v>
      </c>
      <c r="F175" s="1" t="s">
        <v>797</v>
      </c>
      <c r="H175" t="str">
        <f>"0374275637"</f>
        <v>0374275637</v>
      </c>
      <c r="I175" t="str">
        <f>"9780374275631"</f>
        <v>9780374275631</v>
      </c>
      <c r="J175" s="1">
        <v>5.0</v>
      </c>
      <c r="K175" s="1">
        <v>4.12</v>
      </c>
      <c r="L175" s="1" t="s">
        <v>164</v>
      </c>
      <c r="M175" s="1" t="s">
        <v>55</v>
      </c>
      <c r="N175" s="1">
        <v>499.0</v>
      </c>
      <c r="O175" s="1">
        <v>2011.0</v>
      </c>
      <c r="P175" s="1">
        <v>2011.0</v>
      </c>
      <c r="R175" s="2">
        <v>42215.0</v>
      </c>
      <c r="U175" s="1" t="s">
        <v>41</v>
      </c>
      <c r="Y175" s="1">
        <v>1.0</v>
      </c>
      <c r="AB175" s="1">
        <v>0.0</v>
      </c>
    </row>
    <row r="176">
      <c r="A176" s="1">
        <v>1.4995032E7</v>
      </c>
      <c r="B176" s="1" t="s">
        <v>798</v>
      </c>
      <c r="C176" s="1" t="s">
        <v>799</v>
      </c>
      <c r="D176" s="1" t="s">
        <v>71</v>
      </c>
      <c r="E176" s="1" t="s">
        <v>65</v>
      </c>
      <c r="F176" s="1" t="s">
        <v>800</v>
      </c>
      <c r="H176" t="str">
        <f>"1439237964"</f>
        <v>1439237964</v>
      </c>
      <c r="I176" t="str">
        <f>"9781439237960"</f>
        <v>9781439237960</v>
      </c>
      <c r="J176" s="1">
        <v>5.0</v>
      </c>
      <c r="K176" s="1">
        <v>5.0</v>
      </c>
      <c r="L176" s="1" t="s">
        <v>801</v>
      </c>
      <c r="M176" s="1" t="s">
        <v>40</v>
      </c>
      <c r="N176" s="1">
        <v>262.0</v>
      </c>
      <c r="O176" s="1">
        <v>2010.0</v>
      </c>
      <c r="P176" s="1">
        <v>2010.0</v>
      </c>
      <c r="R176" s="2">
        <v>42215.0</v>
      </c>
      <c r="U176" s="1" t="s">
        <v>41</v>
      </c>
      <c r="Y176" s="1">
        <v>1.0</v>
      </c>
      <c r="AB176" s="1">
        <v>0.0</v>
      </c>
    </row>
    <row r="177">
      <c r="A177" s="1">
        <v>6596.0</v>
      </c>
      <c r="B177" s="1" t="s">
        <v>802</v>
      </c>
      <c r="C177" s="1" t="s">
        <v>803</v>
      </c>
      <c r="D177" s="1" t="s">
        <v>804</v>
      </c>
      <c r="E177" s="1" t="s">
        <v>36</v>
      </c>
      <c r="F177" s="1" t="s">
        <v>805</v>
      </c>
      <c r="H177" t="str">
        <f>"1878424505"</f>
        <v>1878424505</v>
      </c>
      <c r="I177" t="str">
        <f>"9781878424501"</f>
        <v>9781878424501</v>
      </c>
      <c r="J177" s="1">
        <v>4.0</v>
      </c>
      <c r="K177" s="1">
        <v>4.14</v>
      </c>
      <c r="L177" s="1" t="s">
        <v>806</v>
      </c>
      <c r="M177" s="1" t="s">
        <v>55</v>
      </c>
      <c r="N177" s="1">
        <v>168.0</v>
      </c>
      <c r="O177" s="1">
        <v>2001.0</v>
      </c>
      <c r="P177" s="1">
        <v>1997.0</v>
      </c>
      <c r="Q177" s="2">
        <v>42213.0</v>
      </c>
      <c r="R177" s="2">
        <v>42210.0</v>
      </c>
      <c r="U177" s="1" t="s">
        <v>41</v>
      </c>
      <c r="Y177" s="1">
        <v>1.0</v>
      </c>
      <c r="AB177" s="1">
        <v>0.0</v>
      </c>
    </row>
    <row r="178">
      <c r="A178" s="1">
        <v>46787.0</v>
      </c>
      <c r="B178" s="1" t="s">
        <v>807</v>
      </c>
      <c r="C178" s="1" t="s">
        <v>808</v>
      </c>
      <c r="D178" s="1" t="s">
        <v>71</v>
      </c>
      <c r="E178" s="1" t="s">
        <v>36</v>
      </c>
      <c r="F178" s="1" t="s">
        <v>809</v>
      </c>
      <c r="H178" t="str">
        <f>"1840224029"</f>
        <v>1840224029</v>
      </c>
      <c r="I178" t="str">
        <f>"9781840224023"</f>
        <v>9781840224023</v>
      </c>
      <c r="J178" s="1">
        <v>3.0</v>
      </c>
      <c r="K178" s="1">
        <v>3.85</v>
      </c>
      <c r="L178" s="1" t="s">
        <v>810</v>
      </c>
      <c r="M178" s="1" t="s">
        <v>40</v>
      </c>
      <c r="N178" s="1">
        <v>438.0</v>
      </c>
      <c r="O178" s="1">
        <v>1999.0</v>
      </c>
      <c r="P178" s="1">
        <v>1852.0</v>
      </c>
      <c r="R178" s="2">
        <v>42210.0</v>
      </c>
      <c r="U178" s="1" t="s">
        <v>41</v>
      </c>
      <c r="Y178" s="1">
        <v>1.0</v>
      </c>
      <c r="AB178" s="1">
        <v>0.0</v>
      </c>
    </row>
    <row r="179">
      <c r="A179" s="1">
        <v>869408.0</v>
      </c>
      <c r="B179" s="1" t="s">
        <v>811</v>
      </c>
      <c r="C179" s="1" t="s">
        <v>812</v>
      </c>
      <c r="D179" s="1" t="s">
        <v>813</v>
      </c>
      <c r="E179" s="1" t="s">
        <v>65</v>
      </c>
      <c r="F179" s="1" t="s">
        <v>814</v>
      </c>
      <c r="H179" t="str">
        <f>"0571222994"</f>
        <v>0571222994</v>
      </c>
      <c r="I179" t="str">
        <f>"9780571222995"</f>
        <v>9780571222995</v>
      </c>
      <c r="J179" s="1">
        <v>5.0</v>
      </c>
      <c r="K179" s="1">
        <v>3.57</v>
      </c>
      <c r="L179" s="1" t="s">
        <v>815</v>
      </c>
      <c r="M179" s="1" t="s">
        <v>40</v>
      </c>
      <c r="N179" s="1">
        <v>436.0</v>
      </c>
      <c r="O179" s="1">
        <v>2004.0</v>
      </c>
      <c r="P179" s="1">
        <v>2002.0</v>
      </c>
      <c r="Q179" s="2">
        <v>42210.0</v>
      </c>
      <c r="R179" s="2">
        <v>42205.0</v>
      </c>
      <c r="U179" s="1" t="s">
        <v>41</v>
      </c>
      <c r="Y179" s="1">
        <v>1.0</v>
      </c>
      <c r="AB179" s="1">
        <v>0.0</v>
      </c>
    </row>
    <row r="180">
      <c r="A180" s="1">
        <v>12781.0</v>
      </c>
      <c r="B180" s="1" t="s">
        <v>816</v>
      </c>
      <c r="C180" s="1" t="s">
        <v>817</v>
      </c>
      <c r="D180" s="1" t="s">
        <v>354</v>
      </c>
      <c r="E180" s="1" t="s">
        <v>65</v>
      </c>
      <c r="F180" s="1" t="s">
        <v>818</v>
      </c>
      <c r="H180" t="str">
        <f>"0312270828"</f>
        <v>0312270828</v>
      </c>
      <c r="I180" t="str">
        <f>"9780312270827"</f>
        <v>9780312270827</v>
      </c>
      <c r="J180" s="1">
        <v>4.0</v>
      </c>
      <c r="K180" s="1">
        <v>3.71</v>
      </c>
      <c r="L180" s="1" t="s">
        <v>819</v>
      </c>
      <c r="M180" s="1" t="s">
        <v>40</v>
      </c>
      <c r="N180" s="1">
        <v>561.0</v>
      </c>
      <c r="O180" s="1">
        <v>1997.0</v>
      </c>
      <c r="P180" s="1">
        <v>1988.0</v>
      </c>
      <c r="Q180" s="2">
        <v>42205.0</v>
      </c>
      <c r="R180" s="2">
        <v>42191.0</v>
      </c>
      <c r="U180" s="1" t="s">
        <v>41</v>
      </c>
      <c r="Y180" s="1">
        <v>1.0</v>
      </c>
      <c r="AB180" s="1">
        <v>0.0</v>
      </c>
    </row>
    <row r="181">
      <c r="A181" s="1">
        <v>9336619.0</v>
      </c>
      <c r="B181" s="1" t="s">
        <v>820</v>
      </c>
      <c r="C181" s="1" t="s">
        <v>821</v>
      </c>
      <c r="D181" s="1" t="s">
        <v>95</v>
      </c>
      <c r="E181" s="1" t="s">
        <v>72</v>
      </c>
      <c r="F181" s="1" t="s">
        <v>822</v>
      </c>
      <c r="H181" t="str">
        <f>"3462042637"</f>
        <v>3462042637</v>
      </c>
      <c r="I181" t="str">
        <f>"9783462042634"</f>
        <v>9783462042634</v>
      </c>
      <c r="J181" s="1">
        <v>2.0</v>
      </c>
      <c r="K181" s="1">
        <v>3.29</v>
      </c>
      <c r="M181" s="1" t="s">
        <v>40</v>
      </c>
      <c r="N181" s="1">
        <v>272.0</v>
      </c>
      <c r="O181" s="1">
        <v>2010.0</v>
      </c>
      <c r="P181" s="1">
        <v>2010.0</v>
      </c>
      <c r="Q181" s="2">
        <v>42191.0</v>
      </c>
      <c r="R181" s="2">
        <v>42188.0</v>
      </c>
      <c r="U181" s="1" t="s">
        <v>41</v>
      </c>
      <c r="Y181" s="1">
        <v>1.0</v>
      </c>
      <c r="AB181" s="1">
        <v>0.0</v>
      </c>
    </row>
    <row r="182">
      <c r="A182" s="1">
        <v>9215548.0</v>
      </c>
      <c r="B182" s="1" t="s">
        <v>823</v>
      </c>
      <c r="C182" s="1" t="s">
        <v>824</v>
      </c>
      <c r="D182" s="1" t="s">
        <v>71</v>
      </c>
      <c r="E182" s="1" t="s">
        <v>65</v>
      </c>
      <c r="F182" s="1" t="s">
        <v>825</v>
      </c>
      <c r="H182" t="str">
        <f>"0440214041"</f>
        <v>0440214041</v>
      </c>
      <c r="I182" t="str">
        <f>"9780440214045"</f>
        <v>9780440214045</v>
      </c>
      <c r="J182" s="1">
        <v>4.0</v>
      </c>
      <c r="K182" s="1">
        <v>3.97</v>
      </c>
      <c r="L182" s="1" t="s">
        <v>826</v>
      </c>
      <c r="M182" s="1" t="s">
        <v>238</v>
      </c>
      <c r="N182" s="1">
        <v>436.0</v>
      </c>
      <c r="O182" s="1">
        <v>1993.0</v>
      </c>
      <c r="P182" s="1">
        <v>1992.0</v>
      </c>
      <c r="R182" s="4">
        <v>41230.0</v>
      </c>
      <c r="U182" s="1" t="s">
        <v>41</v>
      </c>
      <c r="Y182" s="1">
        <v>1.0</v>
      </c>
      <c r="AB182" s="1">
        <v>0.0</v>
      </c>
    </row>
    <row r="183">
      <c r="A183" s="1">
        <v>581113.0</v>
      </c>
      <c r="B183" s="1" t="s">
        <v>827</v>
      </c>
      <c r="C183" s="1" t="s">
        <v>828</v>
      </c>
      <c r="D183" s="1" t="s">
        <v>71</v>
      </c>
      <c r="E183" s="1" t="s">
        <v>65</v>
      </c>
      <c r="F183" s="1" t="s">
        <v>829</v>
      </c>
      <c r="H183" t="str">
        <f>"0312420129"</f>
        <v>0312420129</v>
      </c>
      <c r="I183" t="str">
        <f>"9780312420123"</f>
        <v>9780312420123</v>
      </c>
      <c r="J183" s="1">
        <v>3.0</v>
      </c>
      <c r="K183" s="1">
        <v>3.63</v>
      </c>
      <c r="L183" s="1" t="s">
        <v>771</v>
      </c>
      <c r="M183" s="1" t="s">
        <v>40</v>
      </c>
      <c r="N183" s="1">
        <v>288.0</v>
      </c>
      <c r="O183" s="1">
        <v>2002.0</v>
      </c>
      <c r="P183" s="1">
        <v>1963.0</v>
      </c>
      <c r="Q183" s="2">
        <v>42184.0</v>
      </c>
      <c r="R183" s="2">
        <v>42156.0</v>
      </c>
      <c r="U183" s="1" t="s">
        <v>41</v>
      </c>
      <c r="Y183" s="1">
        <v>1.0</v>
      </c>
      <c r="AB183" s="1">
        <v>0.0</v>
      </c>
    </row>
    <row r="184">
      <c r="A184" s="1">
        <v>1.7616169E7</v>
      </c>
      <c r="B184" s="1" t="s">
        <v>830</v>
      </c>
      <c r="C184" s="1" t="s">
        <v>831</v>
      </c>
      <c r="D184" s="1" t="s">
        <v>120</v>
      </c>
      <c r="E184" s="1" t="s">
        <v>36</v>
      </c>
      <c r="F184" s="1" t="s">
        <v>832</v>
      </c>
      <c r="H184" t="str">
        <f t="shared" ref="H184:H185" si="16">""</f>
        <v/>
      </c>
      <c r="I184" t="str">
        <f>"9789735022174"</f>
        <v>9789735022174</v>
      </c>
      <c r="J184" s="1">
        <v>4.0</v>
      </c>
      <c r="K184" s="1">
        <v>3.0</v>
      </c>
      <c r="L184" s="1" t="s">
        <v>627</v>
      </c>
      <c r="M184" s="1" t="s">
        <v>40</v>
      </c>
      <c r="N184" s="1">
        <v>120.0</v>
      </c>
      <c r="O184" s="1">
        <v>2009.0</v>
      </c>
      <c r="P184" s="1">
        <v>2005.0</v>
      </c>
      <c r="R184" s="2">
        <v>41829.0</v>
      </c>
      <c r="U184" s="1" t="s">
        <v>41</v>
      </c>
      <c r="Y184" s="1">
        <v>1.0</v>
      </c>
      <c r="AB184" s="1">
        <v>0.0</v>
      </c>
    </row>
    <row r="185">
      <c r="A185" s="1">
        <v>2.4636114E7</v>
      </c>
      <c r="B185" s="1" t="s">
        <v>833</v>
      </c>
      <c r="C185" s="1" t="s">
        <v>834</v>
      </c>
      <c r="D185" s="1" t="s">
        <v>50</v>
      </c>
      <c r="E185" s="1" t="s">
        <v>36</v>
      </c>
      <c r="F185" s="1" t="s">
        <v>835</v>
      </c>
      <c r="G185" s="1" t="s">
        <v>836</v>
      </c>
      <c r="H185" t="str">
        <f t="shared" si="16"/>
        <v/>
      </c>
      <c r="I185" t="str">
        <f>"9789734651122"</f>
        <v>9789734651122</v>
      </c>
      <c r="J185" s="1">
        <v>3.0</v>
      </c>
      <c r="K185" s="1">
        <v>4.48</v>
      </c>
      <c r="L185" s="1" t="s">
        <v>448</v>
      </c>
      <c r="M185" s="1" t="s">
        <v>40</v>
      </c>
      <c r="N185" s="1">
        <v>168.0</v>
      </c>
      <c r="O185" s="1">
        <v>2015.0</v>
      </c>
      <c r="P185" s="1">
        <v>2015.0</v>
      </c>
      <c r="Q185" s="2">
        <v>42104.0</v>
      </c>
      <c r="R185" s="2">
        <v>42102.0</v>
      </c>
      <c r="U185" s="1" t="s">
        <v>41</v>
      </c>
      <c r="Y185" s="1">
        <v>1.0</v>
      </c>
      <c r="AB185" s="1">
        <v>0.0</v>
      </c>
    </row>
    <row r="186">
      <c r="A186" s="1">
        <v>1.8222775E7</v>
      </c>
      <c r="B186" s="1" t="s">
        <v>837</v>
      </c>
      <c r="C186" s="1" t="s">
        <v>838</v>
      </c>
      <c r="D186" s="1" t="s">
        <v>141</v>
      </c>
      <c r="E186" s="1" t="s">
        <v>65</v>
      </c>
      <c r="F186" s="1" t="s">
        <v>839</v>
      </c>
      <c r="H186" t="str">
        <f>"0544176561"</f>
        <v>0544176561</v>
      </c>
      <c r="I186" t="str">
        <f>"9780544176560"</f>
        <v>9780544176560</v>
      </c>
      <c r="J186" s="1">
        <v>4.0</v>
      </c>
      <c r="K186" s="1">
        <v>4.12</v>
      </c>
      <c r="L186" s="1" t="s">
        <v>840</v>
      </c>
      <c r="M186" s="1" t="s">
        <v>40</v>
      </c>
      <c r="N186" s="1">
        <v>579.0</v>
      </c>
      <c r="O186" s="1">
        <v>2014.0</v>
      </c>
      <c r="P186" s="1">
        <v>1980.0</v>
      </c>
      <c r="Q186" s="2">
        <v>42136.0</v>
      </c>
      <c r="R186" s="2">
        <v>42115.0</v>
      </c>
      <c r="U186" s="1" t="s">
        <v>41</v>
      </c>
      <c r="Y186" s="1">
        <v>1.0</v>
      </c>
      <c r="AB186" s="1">
        <v>0.0</v>
      </c>
    </row>
    <row r="187">
      <c r="A187" s="1">
        <v>1.5980639E7</v>
      </c>
      <c r="B187" s="1" t="s">
        <v>841</v>
      </c>
      <c r="C187" s="1" t="s">
        <v>842</v>
      </c>
      <c r="D187" s="1" t="s">
        <v>120</v>
      </c>
      <c r="E187" s="1" t="s">
        <v>36</v>
      </c>
      <c r="F187" s="1" t="s">
        <v>843</v>
      </c>
      <c r="H187" t="str">
        <f>"9736813231"</f>
        <v>9736813231</v>
      </c>
      <c r="I187" t="str">
        <f>""</f>
        <v/>
      </c>
      <c r="J187" s="1">
        <v>4.0</v>
      </c>
      <c r="K187" s="1">
        <v>3.55</v>
      </c>
      <c r="L187" s="1" t="s">
        <v>844</v>
      </c>
      <c r="M187" s="1" t="s">
        <v>40</v>
      </c>
      <c r="N187" s="1">
        <v>180.0</v>
      </c>
      <c r="O187" s="1">
        <v>2003.0</v>
      </c>
      <c r="P187" s="1">
        <v>2002.0</v>
      </c>
      <c r="R187" s="2">
        <v>41170.0</v>
      </c>
      <c r="U187" s="1" t="s">
        <v>41</v>
      </c>
      <c r="Y187" s="1">
        <v>1.0</v>
      </c>
      <c r="AB187" s="1">
        <v>0.0</v>
      </c>
    </row>
    <row r="188">
      <c r="A188" s="1">
        <v>1519.0</v>
      </c>
      <c r="B188" s="1" t="s">
        <v>845</v>
      </c>
      <c r="C188" s="1" t="s">
        <v>846</v>
      </c>
      <c r="D188" s="1" t="s">
        <v>125</v>
      </c>
      <c r="E188" s="1" t="s">
        <v>36</v>
      </c>
      <c r="F188" s="1" t="s">
        <v>847</v>
      </c>
      <c r="G188" s="1" t="s">
        <v>848</v>
      </c>
      <c r="H188" t="str">
        <f>"0140443339"</f>
        <v>0140443339</v>
      </c>
      <c r="I188" t="str">
        <f>"9780140443332"</f>
        <v>9780140443332</v>
      </c>
      <c r="J188" s="1">
        <v>5.0</v>
      </c>
      <c r="K188" s="1">
        <v>4.0</v>
      </c>
      <c r="L188" s="1" t="s">
        <v>849</v>
      </c>
      <c r="M188" s="1" t="s">
        <v>40</v>
      </c>
      <c r="N188" s="1">
        <v>335.0</v>
      </c>
      <c r="O188" s="1">
        <v>1984.0</v>
      </c>
      <c r="P188" s="1">
        <v>1984.0</v>
      </c>
      <c r="R188" s="2">
        <v>42098.0</v>
      </c>
      <c r="U188" s="1" t="s">
        <v>41</v>
      </c>
      <c r="Y188" s="1">
        <v>1.0</v>
      </c>
      <c r="AB188" s="1">
        <v>0.0</v>
      </c>
    </row>
    <row r="189">
      <c r="A189" s="1">
        <v>2.0974603E7</v>
      </c>
      <c r="B189" s="1" t="s">
        <v>850</v>
      </c>
      <c r="C189" s="1" t="s">
        <v>668</v>
      </c>
      <c r="D189" s="1" t="s">
        <v>125</v>
      </c>
      <c r="E189" s="1" t="s">
        <v>36</v>
      </c>
      <c r="F189" s="1" t="s">
        <v>669</v>
      </c>
      <c r="G189" s="1" t="s">
        <v>851</v>
      </c>
      <c r="H189" t="str">
        <f>""</f>
        <v/>
      </c>
      <c r="I189" t="str">
        <f>"9786061503957"</f>
        <v>9786061503957</v>
      </c>
      <c r="J189" s="1">
        <v>5.0</v>
      </c>
      <c r="K189" s="1">
        <v>3.69</v>
      </c>
      <c r="L189" s="1" t="s">
        <v>852</v>
      </c>
      <c r="M189" s="1" t="s">
        <v>40</v>
      </c>
      <c r="N189" s="1">
        <v>128.0</v>
      </c>
      <c r="O189" s="1">
        <v>2013.0</v>
      </c>
      <c r="P189" s="1">
        <v>-450.0</v>
      </c>
      <c r="R189" s="2">
        <v>42100.0</v>
      </c>
      <c r="U189" s="1" t="s">
        <v>41</v>
      </c>
      <c r="Y189" s="1">
        <v>1.0</v>
      </c>
      <c r="AB189" s="1">
        <v>0.0</v>
      </c>
    </row>
    <row r="190">
      <c r="A190" s="1">
        <v>436982.0</v>
      </c>
      <c r="B190" s="1" t="s">
        <v>853</v>
      </c>
      <c r="C190" s="1" t="s">
        <v>161</v>
      </c>
      <c r="D190" s="1" t="s">
        <v>64</v>
      </c>
      <c r="E190" s="1" t="s">
        <v>65</v>
      </c>
      <c r="F190" s="1" t="s">
        <v>162</v>
      </c>
      <c r="G190" s="1" t="s">
        <v>854</v>
      </c>
      <c r="H190" t="str">
        <f>"048627053X"</f>
        <v>048627053X</v>
      </c>
      <c r="I190" t="str">
        <f>"9780486270531"</f>
        <v>9780486270531</v>
      </c>
      <c r="J190" s="1">
        <v>5.0</v>
      </c>
      <c r="K190" s="1">
        <v>4.17</v>
      </c>
      <c r="L190" s="1" t="s">
        <v>753</v>
      </c>
      <c r="M190" s="1" t="s">
        <v>40</v>
      </c>
      <c r="N190" s="1">
        <v>96.0</v>
      </c>
      <c r="O190" s="1">
        <v>1992.0</v>
      </c>
      <c r="P190" s="1">
        <v>1864.0</v>
      </c>
      <c r="R190" s="4">
        <v>41594.0</v>
      </c>
      <c r="U190" s="1" t="s">
        <v>41</v>
      </c>
      <c r="Y190" s="1">
        <v>1.0</v>
      </c>
      <c r="AB190" s="1">
        <v>0.0</v>
      </c>
    </row>
    <row r="191">
      <c r="A191" s="1">
        <v>823680.0</v>
      </c>
      <c r="B191" s="1" t="s">
        <v>855</v>
      </c>
      <c r="C191" s="1" t="s">
        <v>856</v>
      </c>
      <c r="D191" s="1" t="s">
        <v>120</v>
      </c>
      <c r="E191" s="1" t="s">
        <v>65</v>
      </c>
      <c r="F191" s="1" t="s">
        <v>857</v>
      </c>
      <c r="H191" t="str">
        <f>"1843545586"</f>
        <v>1843545586</v>
      </c>
      <c r="I191" t="str">
        <f>"9781843545583"</f>
        <v>9781843545583</v>
      </c>
      <c r="J191" s="1">
        <v>3.0</v>
      </c>
      <c r="K191" s="1">
        <v>4.14</v>
      </c>
      <c r="L191" s="1" t="s">
        <v>858</v>
      </c>
      <c r="M191" s="1" t="s">
        <v>40</v>
      </c>
      <c r="N191" s="1">
        <v>281.0</v>
      </c>
      <c r="O191" s="1">
        <v>2007.0</v>
      </c>
      <c r="P191" s="1">
        <v>2003.0</v>
      </c>
      <c r="R191" s="2">
        <v>42094.0</v>
      </c>
      <c r="U191" s="1" t="s">
        <v>41</v>
      </c>
      <c r="Y191" s="1">
        <v>1.0</v>
      </c>
      <c r="AB191" s="1">
        <v>0.0</v>
      </c>
    </row>
    <row r="192">
      <c r="A192" s="1">
        <v>9638101.0</v>
      </c>
      <c r="B192" s="1" t="s">
        <v>859</v>
      </c>
      <c r="C192" s="1" t="s">
        <v>860</v>
      </c>
      <c r="D192" s="1" t="s">
        <v>120</v>
      </c>
      <c r="E192" s="1" t="s">
        <v>278</v>
      </c>
      <c r="F192" s="1" t="s">
        <v>861</v>
      </c>
      <c r="H192" t="str">
        <f>"291193976X"</f>
        <v>291193976X</v>
      </c>
      <c r="I192" t="str">
        <f>"9782911939761"</f>
        <v>9782911939761</v>
      </c>
      <c r="J192" s="1">
        <v>3.0</v>
      </c>
      <c r="K192" s="1">
        <v>3.59</v>
      </c>
      <c r="L192" s="1" t="s">
        <v>862</v>
      </c>
      <c r="M192" s="1" t="s">
        <v>40</v>
      </c>
      <c r="N192" s="1">
        <v>28.0</v>
      </c>
      <c r="O192" s="1">
        <v>2010.0</v>
      </c>
      <c r="P192" s="1">
        <v>2010.0</v>
      </c>
      <c r="R192" s="2">
        <v>41392.0</v>
      </c>
      <c r="U192" s="1" t="s">
        <v>41</v>
      </c>
      <c r="Y192" s="1">
        <v>1.0</v>
      </c>
      <c r="AB192" s="1">
        <v>0.0</v>
      </c>
    </row>
    <row r="193">
      <c r="A193" s="1">
        <v>9361886.0</v>
      </c>
      <c r="B193" s="1" t="s">
        <v>863</v>
      </c>
      <c r="C193" s="1" t="s">
        <v>49</v>
      </c>
      <c r="D193" s="1" t="s">
        <v>50</v>
      </c>
      <c r="E193" s="1" t="s">
        <v>36</v>
      </c>
      <c r="F193" s="1" t="s">
        <v>51</v>
      </c>
      <c r="H193" t="str">
        <f>"9739501257"</f>
        <v>9739501257</v>
      </c>
      <c r="I193" t="str">
        <f>"9789739501255"</f>
        <v>9789739501255</v>
      </c>
      <c r="J193" s="1">
        <v>4.0</v>
      </c>
      <c r="K193" s="1">
        <v>4.18</v>
      </c>
      <c r="L193" s="1" t="s">
        <v>864</v>
      </c>
      <c r="N193" s="1">
        <v>230.0</v>
      </c>
      <c r="O193" s="1">
        <v>1992.0</v>
      </c>
      <c r="P193" s="1">
        <v>1934.0</v>
      </c>
      <c r="Q193" s="2">
        <v>42084.0</v>
      </c>
      <c r="R193" s="2">
        <v>42080.0</v>
      </c>
      <c r="U193" s="1" t="s">
        <v>41</v>
      </c>
      <c r="Y193" s="1">
        <v>1.0</v>
      </c>
      <c r="AB193" s="1">
        <v>0.0</v>
      </c>
    </row>
    <row r="194">
      <c r="A194" s="1">
        <v>1.1220581E7</v>
      </c>
      <c r="B194" s="1" t="s">
        <v>865</v>
      </c>
      <c r="C194" s="1" t="s">
        <v>866</v>
      </c>
      <c r="D194" s="1" t="s">
        <v>71</v>
      </c>
      <c r="E194" s="1" t="s">
        <v>65</v>
      </c>
      <c r="F194" s="1" t="s">
        <v>867</v>
      </c>
      <c r="H194" t="str">
        <f>""</f>
        <v/>
      </c>
      <c r="I194" t="str">
        <f>"9789734613663"</f>
        <v>9789734613663</v>
      </c>
      <c r="J194" s="1">
        <v>4.0</v>
      </c>
      <c r="K194" s="1">
        <v>3.94</v>
      </c>
      <c r="L194" s="1" t="s">
        <v>448</v>
      </c>
      <c r="M194" s="1" t="s">
        <v>40</v>
      </c>
      <c r="N194" s="1">
        <v>280.0</v>
      </c>
      <c r="O194" s="1">
        <v>2009.0</v>
      </c>
      <c r="P194" s="1">
        <v>1958.0</v>
      </c>
      <c r="Q194" s="2">
        <v>42080.0</v>
      </c>
      <c r="R194" s="2">
        <v>42077.0</v>
      </c>
      <c r="U194" s="1" t="s">
        <v>41</v>
      </c>
      <c r="Y194" s="1">
        <v>1.0</v>
      </c>
      <c r="AB194" s="1">
        <v>0.0</v>
      </c>
    </row>
    <row r="195">
      <c r="A195" s="1">
        <v>1.2104438E7</v>
      </c>
      <c r="B195" s="1" t="s">
        <v>868</v>
      </c>
      <c r="C195" s="1" t="s">
        <v>869</v>
      </c>
      <c r="D195" s="1" t="s">
        <v>870</v>
      </c>
      <c r="E195" s="1" t="s">
        <v>36</v>
      </c>
      <c r="F195" s="1" t="s">
        <v>871</v>
      </c>
      <c r="G195" s="1" t="s">
        <v>872</v>
      </c>
      <c r="H195" t="str">
        <f>"9734600605"</f>
        <v>9734600605</v>
      </c>
      <c r="I195" t="str">
        <f>""</f>
        <v/>
      </c>
      <c r="J195" s="1">
        <v>2.0</v>
      </c>
      <c r="K195" s="1">
        <v>3.81</v>
      </c>
      <c r="L195" s="1" t="s">
        <v>448</v>
      </c>
      <c r="M195" s="1" t="s">
        <v>40</v>
      </c>
      <c r="N195" s="1">
        <v>528.0</v>
      </c>
      <c r="O195" s="1">
        <v>2005.0</v>
      </c>
      <c r="P195" s="1">
        <v>1980.0</v>
      </c>
      <c r="Q195" s="2">
        <v>42077.0</v>
      </c>
      <c r="R195" s="2">
        <v>42069.0</v>
      </c>
      <c r="U195" s="1" t="s">
        <v>41</v>
      </c>
      <c r="Y195" s="1">
        <v>1.0</v>
      </c>
      <c r="AB195" s="1">
        <v>0.0</v>
      </c>
    </row>
    <row r="196">
      <c r="A196" s="1">
        <v>166997.0</v>
      </c>
      <c r="B196" s="1" t="s">
        <v>873</v>
      </c>
      <c r="C196" s="1" t="s">
        <v>874</v>
      </c>
      <c r="D196" s="1" t="s">
        <v>71</v>
      </c>
      <c r="E196" s="1" t="s">
        <v>36</v>
      </c>
      <c r="F196" s="1" t="s">
        <v>875</v>
      </c>
      <c r="G196" s="1" t="s">
        <v>876</v>
      </c>
      <c r="H196" t="str">
        <f>"1590171993"</f>
        <v>1590171993</v>
      </c>
      <c r="I196" t="str">
        <f>"9781590171998"</f>
        <v>9781590171998</v>
      </c>
      <c r="J196" s="1">
        <v>4.0</v>
      </c>
      <c r="K196" s="1">
        <v>4.29</v>
      </c>
      <c r="L196" s="1" t="s">
        <v>877</v>
      </c>
      <c r="M196" s="1" t="s">
        <v>40</v>
      </c>
      <c r="N196" s="1">
        <v>278.0</v>
      </c>
      <c r="O196" s="1">
        <v>2006.0</v>
      </c>
      <c r="P196" s="1">
        <v>1965.0</v>
      </c>
      <c r="Q196" s="2">
        <v>42069.0</v>
      </c>
      <c r="R196" s="2">
        <v>42066.0</v>
      </c>
      <c r="U196" s="1" t="s">
        <v>41</v>
      </c>
      <c r="Y196" s="1">
        <v>1.0</v>
      </c>
      <c r="AB196" s="1">
        <v>0.0</v>
      </c>
    </row>
    <row r="197">
      <c r="A197" s="1">
        <v>1.8900884E7</v>
      </c>
      <c r="B197" s="1" t="s">
        <v>878</v>
      </c>
      <c r="C197" s="1" t="s">
        <v>879</v>
      </c>
      <c r="D197" s="1" t="s">
        <v>120</v>
      </c>
      <c r="E197" s="1" t="s">
        <v>65</v>
      </c>
      <c r="F197" s="1" t="s">
        <v>880</v>
      </c>
      <c r="G197" s="1" t="s">
        <v>856</v>
      </c>
      <c r="H197" t="str">
        <f t="shared" ref="H197:I197" si="17">""</f>
        <v/>
      </c>
      <c r="I197" t="str">
        <f t="shared" si="17"/>
        <v/>
      </c>
      <c r="J197" s="1">
        <v>5.0</v>
      </c>
      <c r="K197" s="1">
        <v>4.13</v>
      </c>
      <c r="L197" s="1" t="s">
        <v>881</v>
      </c>
      <c r="M197" s="1" t="s">
        <v>107</v>
      </c>
      <c r="N197" s="1">
        <v>384.0</v>
      </c>
      <c r="O197" s="1">
        <v>2011.0</v>
      </c>
      <c r="P197" s="1">
        <v>1997.0</v>
      </c>
      <c r="Q197" s="2">
        <v>42065.0</v>
      </c>
      <c r="R197" s="2">
        <v>42050.0</v>
      </c>
      <c r="U197" s="1" t="s">
        <v>41</v>
      </c>
      <c r="Y197" s="1">
        <v>1.0</v>
      </c>
      <c r="AB197" s="1">
        <v>0.0</v>
      </c>
    </row>
    <row r="198" hidden="1">
      <c r="A198" s="1">
        <v>261030.0</v>
      </c>
      <c r="B198" s="1" t="s">
        <v>882</v>
      </c>
      <c r="C198" s="1" t="s">
        <v>883</v>
      </c>
      <c r="D198" s="1"/>
      <c r="E198" s="1"/>
      <c r="F198" s="1" t="s">
        <v>884</v>
      </c>
      <c r="G198" s="1" t="s">
        <v>885</v>
      </c>
      <c r="H198" t="str">
        <f>"0835605876"</f>
        <v>0835605876</v>
      </c>
      <c r="I198" t="str">
        <f>"9780835605878"</f>
        <v>9780835605878</v>
      </c>
      <c r="J198" s="1">
        <v>0.0</v>
      </c>
      <c r="K198" s="1">
        <v>4.27</v>
      </c>
      <c r="L198" s="1" t="s">
        <v>886</v>
      </c>
      <c r="M198" s="1" t="s">
        <v>40</v>
      </c>
      <c r="N198" s="1">
        <v>207.0</v>
      </c>
      <c r="O198" s="1">
        <v>1984.0</v>
      </c>
      <c r="P198" s="1">
        <v>1948.0</v>
      </c>
      <c r="R198" s="2">
        <v>42060.0</v>
      </c>
      <c r="S198" s="1" t="s">
        <v>56</v>
      </c>
      <c r="T198" s="1" t="s">
        <v>887</v>
      </c>
      <c r="U198" s="1" t="s">
        <v>56</v>
      </c>
      <c r="Y198" s="1">
        <v>0.0</v>
      </c>
      <c r="AB198" s="1">
        <v>0.0</v>
      </c>
    </row>
    <row r="199" hidden="1">
      <c r="A199" s="1">
        <v>409890.0</v>
      </c>
      <c r="B199" s="1" t="s">
        <v>888</v>
      </c>
      <c r="C199" s="1" t="s">
        <v>889</v>
      </c>
      <c r="D199" s="1"/>
      <c r="E199" s="1"/>
      <c r="F199" s="1" t="s">
        <v>890</v>
      </c>
      <c r="H199" t="str">
        <f>"1590304063"</f>
        <v>1590304063</v>
      </c>
      <c r="I199" t="str">
        <f>"9781590304068"</f>
        <v>9781590304068</v>
      </c>
      <c r="J199" s="1">
        <v>0.0</v>
      </c>
      <c r="K199" s="1">
        <v>4.08</v>
      </c>
      <c r="L199" s="1" t="s">
        <v>201</v>
      </c>
      <c r="M199" s="1" t="s">
        <v>55</v>
      </c>
      <c r="N199" s="1">
        <v>128.0</v>
      </c>
      <c r="O199" s="1">
        <v>2006.0</v>
      </c>
      <c r="P199" s="1">
        <v>2006.0</v>
      </c>
      <c r="R199" s="2">
        <v>42060.0</v>
      </c>
      <c r="S199" s="1" t="s">
        <v>56</v>
      </c>
      <c r="T199" s="1" t="s">
        <v>891</v>
      </c>
      <c r="U199" s="1" t="s">
        <v>56</v>
      </c>
      <c r="Y199" s="1">
        <v>0.0</v>
      </c>
      <c r="AB199" s="1">
        <v>0.0</v>
      </c>
    </row>
    <row r="200">
      <c r="A200" s="1">
        <v>50428.0</v>
      </c>
      <c r="B200" s="1" t="s">
        <v>892</v>
      </c>
      <c r="C200" s="1" t="s">
        <v>119</v>
      </c>
      <c r="D200" s="1" t="s">
        <v>120</v>
      </c>
      <c r="E200" s="1" t="s">
        <v>278</v>
      </c>
      <c r="F200" s="1" t="s">
        <v>121</v>
      </c>
      <c r="H200" t="str">
        <f>"2070323021"</f>
        <v>2070323021</v>
      </c>
      <c r="I200" t="str">
        <f>"9782070323029"</f>
        <v>9782070323029</v>
      </c>
      <c r="J200" s="1">
        <v>5.0</v>
      </c>
      <c r="K200" s="1">
        <v>4.14</v>
      </c>
      <c r="L200" s="1" t="s">
        <v>893</v>
      </c>
      <c r="M200" s="1" t="s">
        <v>238</v>
      </c>
      <c r="N200" s="1">
        <v>384.0</v>
      </c>
      <c r="O200" s="1">
        <v>1985.0</v>
      </c>
      <c r="P200" s="1">
        <v>1951.0</v>
      </c>
      <c r="Q200" s="2">
        <v>42060.0</v>
      </c>
      <c r="R200" s="2">
        <v>42045.0</v>
      </c>
      <c r="U200" s="1" t="s">
        <v>41</v>
      </c>
      <c r="Y200" s="1">
        <v>1.0</v>
      </c>
      <c r="AB200" s="1">
        <v>0.0</v>
      </c>
    </row>
    <row r="201" hidden="1">
      <c r="A201" s="1">
        <v>381122.0</v>
      </c>
      <c r="B201" s="1" t="s">
        <v>894</v>
      </c>
      <c r="C201" s="1" t="s">
        <v>895</v>
      </c>
      <c r="D201" s="1"/>
      <c r="E201" s="1"/>
      <c r="F201" s="1" t="s">
        <v>896</v>
      </c>
      <c r="G201" s="1" t="s">
        <v>897</v>
      </c>
      <c r="H201" t="str">
        <f>"193178888X"</f>
        <v>193178888X</v>
      </c>
      <c r="I201" t="str">
        <f>"9781931788885"</f>
        <v>9781931788885</v>
      </c>
      <c r="J201" s="1">
        <v>0.0</v>
      </c>
      <c r="K201" s="1">
        <v>4.16</v>
      </c>
      <c r="L201" s="1" t="s">
        <v>898</v>
      </c>
      <c r="M201" s="1" t="s">
        <v>40</v>
      </c>
      <c r="N201" s="1">
        <v>208.0</v>
      </c>
      <c r="O201" s="1">
        <v>2005.0</v>
      </c>
      <c r="P201" s="1">
        <v>2003.0</v>
      </c>
      <c r="R201" s="2">
        <v>42047.0</v>
      </c>
      <c r="S201" s="1" t="s">
        <v>56</v>
      </c>
      <c r="T201" s="1" t="s">
        <v>891</v>
      </c>
      <c r="U201" s="1" t="s">
        <v>56</v>
      </c>
      <c r="Y201" s="1">
        <v>0.0</v>
      </c>
      <c r="AB201" s="1">
        <v>0.0</v>
      </c>
    </row>
    <row r="202" hidden="1">
      <c r="A202" s="1">
        <v>72335.0</v>
      </c>
      <c r="B202" s="1" t="s">
        <v>899</v>
      </c>
      <c r="C202" s="1" t="s">
        <v>900</v>
      </c>
      <c r="D202" s="1"/>
      <c r="E202" s="1"/>
      <c r="F202" s="1" t="s">
        <v>901</v>
      </c>
      <c r="H202" t="str">
        <f>"0893818755"</f>
        <v>0893818755</v>
      </c>
      <c r="I202" t="str">
        <f>"9780893818753"</f>
        <v>9780893818753</v>
      </c>
      <c r="J202" s="1">
        <v>0.0</v>
      </c>
      <c r="K202" s="1">
        <v>4.19</v>
      </c>
      <c r="L202" s="1" t="s">
        <v>898</v>
      </c>
      <c r="M202" s="1" t="s">
        <v>55</v>
      </c>
      <c r="N202" s="1">
        <v>112.0</v>
      </c>
      <c r="O202" s="1">
        <v>2005.0</v>
      </c>
      <c r="P202" s="1">
        <v>1999.0</v>
      </c>
      <c r="R202" s="2">
        <v>42047.0</v>
      </c>
      <c r="S202" s="1" t="s">
        <v>56</v>
      </c>
      <c r="T202" s="1" t="s">
        <v>891</v>
      </c>
      <c r="U202" s="1" t="s">
        <v>56</v>
      </c>
      <c r="Y202" s="1">
        <v>0.0</v>
      </c>
      <c r="AB202" s="1">
        <v>0.0</v>
      </c>
    </row>
    <row r="203">
      <c r="A203" s="1">
        <v>2.4314047E7</v>
      </c>
      <c r="B203" s="1" t="s">
        <v>902</v>
      </c>
      <c r="C203" s="1" t="s">
        <v>903</v>
      </c>
      <c r="D203" s="1" t="s">
        <v>120</v>
      </c>
      <c r="E203" s="1" t="s">
        <v>278</v>
      </c>
      <c r="F203" s="1" t="s">
        <v>904</v>
      </c>
      <c r="H203" t="str">
        <f t="shared" ref="H203:I203" si="18">""</f>
        <v/>
      </c>
      <c r="I203" t="str">
        <f t="shared" si="18"/>
        <v/>
      </c>
      <c r="J203" s="1">
        <v>3.0</v>
      </c>
      <c r="K203" s="1">
        <v>3.64</v>
      </c>
      <c r="L203" s="1" t="s">
        <v>905</v>
      </c>
      <c r="M203" s="1" t="s">
        <v>107</v>
      </c>
      <c r="N203" s="1">
        <v>334.0</v>
      </c>
      <c r="O203" s="1">
        <v>2015.0</v>
      </c>
      <c r="P203" s="1">
        <v>2015.0</v>
      </c>
      <c r="Q203" s="2">
        <v>42044.0</v>
      </c>
      <c r="R203" s="2">
        <v>42027.0</v>
      </c>
      <c r="U203" s="1" t="s">
        <v>41</v>
      </c>
      <c r="Y203" s="1">
        <v>1.0</v>
      </c>
      <c r="AB203" s="1">
        <v>0.0</v>
      </c>
    </row>
    <row r="204">
      <c r="A204" s="1">
        <v>52374.0</v>
      </c>
      <c r="B204" s="1" t="s">
        <v>906</v>
      </c>
      <c r="C204" s="1" t="s">
        <v>828</v>
      </c>
      <c r="D204" s="1" t="s">
        <v>71</v>
      </c>
      <c r="E204" s="1" t="s">
        <v>65</v>
      </c>
      <c r="F204" s="1" t="s">
        <v>829</v>
      </c>
      <c r="H204" t="str">
        <f>"0312280866"</f>
        <v>0312280866</v>
      </c>
      <c r="I204" t="str">
        <f>"9780312280864"</f>
        <v>9780312280864</v>
      </c>
      <c r="J204" s="1">
        <v>5.0</v>
      </c>
      <c r="K204" s="1">
        <v>4.12</v>
      </c>
      <c r="L204" s="1" t="s">
        <v>771</v>
      </c>
      <c r="M204" s="1" t="s">
        <v>40</v>
      </c>
      <c r="N204" s="1">
        <v>312.0</v>
      </c>
      <c r="O204" s="1">
        <v>2001.0</v>
      </c>
      <c r="P204" s="1">
        <v>1966.0</v>
      </c>
      <c r="R204" s="2">
        <v>42022.0</v>
      </c>
      <c r="U204" s="1" t="s">
        <v>41</v>
      </c>
      <c r="Y204" s="1">
        <v>1.0</v>
      </c>
      <c r="AB204" s="1">
        <v>0.0</v>
      </c>
    </row>
    <row r="205" hidden="1">
      <c r="A205" s="1">
        <v>21121.0</v>
      </c>
      <c r="B205" s="1" t="s">
        <v>907</v>
      </c>
      <c r="C205" s="1" t="s">
        <v>908</v>
      </c>
      <c r="D205" s="1"/>
      <c r="E205" s="1"/>
      <c r="F205" s="1" t="s">
        <v>909</v>
      </c>
      <c r="H205" t="str">
        <f>"0006540805"</f>
        <v>0006540805</v>
      </c>
      <c r="I205" t="str">
        <f>"9780006540809"</f>
        <v>9780006540809</v>
      </c>
      <c r="J205" s="1">
        <v>0.0</v>
      </c>
      <c r="K205" s="1">
        <v>3.9</v>
      </c>
      <c r="L205" s="1" t="s">
        <v>910</v>
      </c>
      <c r="M205" s="1" t="s">
        <v>60</v>
      </c>
      <c r="N205" s="1">
        <v>416.0</v>
      </c>
      <c r="O205" s="1">
        <v>1995.0</v>
      </c>
      <c r="P205" s="1">
        <v>1943.0</v>
      </c>
      <c r="R205" s="2">
        <v>42022.0</v>
      </c>
      <c r="S205" s="1" t="s">
        <v>56</v>
      </c>
      <c r="T205" s="1" t="s">
        <v>911</v>
      </c>
      <c r="U205" s="1" t="s">
        <v>56</v>
      </c>
      <c r="Y205" s="1">
        <v>0.0</v>
      </c>
      <c r="AB205" s="1">
        <v>0.0</v>
      </c>
    </row>
    <row r="206">
      <c r="A206" s="1">
        <v>2517.0</v>
      </c>
      <c r="B206" s="1" t="s">
        <v>912</v>
      </c>
      <c r="C206" s="1" t="s">
        <v>812</v>
      </c>
      <c r="D206" s="1" t="s">
        <v>813</v>
      </c>
      <c r="E206" s="1" t="s">
        <v>65</v>
      </c>
      <c r="F206" s="1" t="s">
        <v>814</v>
      </c>
      <c r="G206" s="1" t="s">
        <v>913</v>
      </c>
      <c r="H206" t="str">
        <f>"0375706852"</f>
        <v>0375706852</v>
      </c>
      <c r="I206" t="str">
        <f>"9780375706851"</f>
        <v>9780375706851</v>
      </c>
      <c r="J206" s="1">
        <v>3.0</v>
      </c>
      <c r="K206" s="1">
        <v>3.84</v>
      </c>
      <c r="L206" s="1" t="s">
        <v>361</v>
      </c>
      <c r="M206" s="1" t="s">
        <v>40</v>
      </c>
      <c r="N206" s="1">
        <v>417.0</v>
      </c>
      <c r="O206" s="1">
        <v>2002.0</v>
      </c>
      <c r="P206" s="1">
        <v>1998.0</v>
      </c>
      <c r="Q206" s="2">
        <v>42007.0</v>
      </c>
      <c r="R206" s="2">
        <v>41975.0</v>
      </c>
      <c r="U206" s="1" t="s">
        <v>41</v>
      </c>
      <c r="Y206" s="1">
        <v>1.0</v>
      </c>
      <c r="AB206" s="1">
        <v>0.0</v>
      </c>
    </row>
    <row r="207" hidden="1">
      <c r="A207" s="1">
        <v>431726.0</v>
      </c>
      <c r="B207" s="1" t="s">
        <v>914</v>
      </c>
      <c r="C207" s="1" t="s">
        <v>915</v>
      </c>
      <c r="D207" s="1"/>
      <c r="E207" s="1"/>
      <c r="F207" s="1" t="s">
        <v>916</v>
      </c>
      <c r="G207" s="1" t="s">
        <v>917</v>
      </c>
      <c r="H207" t="str">
        <f>"0822316676"</f>
        <v>0822316676</v>
      </c>
      <c r="I207" t="str">
        <f>"9780822316671"</f>
        <v>9780822316671</v>
      </c>
      <c r="J207" s="1">
        <v>0.0</v>
      </c>
      <c r="K207" s="1">
        <v>3.98</v>
      </c>
      <c r="L207" s="1" t="s">
        <v>918</v>
      </c>
      <c r="M207" s="1" t="s">
        <v>40</v>
      </c>
      <c r="N207" s="1">
        <v>392.0</v>
      </c>
      <c r="O207" s="1">
        <v>1995.0</v>
      </c>
      <c r="P207" s="1">
        <v>1995.0</v>
      </c>
      <c r="R207" s="4">
        <v>41997.0</v>
      </c>
      <c r="S207" s="1" t="s">
        <v>56</v>
      </c>
      <c r="T207" s="1" t="s">
        <v>919</v>
      </c>
      <c r="U207" s="1" t="s">
        <v>56</v>
      </c>
      <c r="Y207" s="1">
        <v>0.0</v>
      </c>
      <c r="AB207" s="1">
        <v>0.0</v>
      </c>
    </row>
    <row r="208">
      <c r="A208" s="1">
        <v>2.0786007E7</v>
      </c>
      <c r="B208" s="1" t="s">
        <v>920</v>
      </c>
      <c r="C208" s="1" t="s">
        <v>921</v>
      </c>
      <c r="D208" s="1" t="s">
        <v>71</v>
      </c>
      <c r="E208" s="1" t="s">
        <v>36</v>
      </c>
      <c r="F208" s="1" t="s">
        <v>922</v>
      </c>
      <c r="H208" t="str">
        <f t="shared" ref="H208:I208" si="19">""</f>
        <v/>
      </c>
      <c r="I208" t="str">
        <f t="shared" si="19"/>
        <v/>
      </c>
      <c r="J208" s="1">
        <v>1.0</v>
      </c>
      <c r="K208" s="1">
        <v>4.13</v>
      </c>
      <c r="L208" s="1" t="s">
        <v>923</v>
      </c>
      <c r="M208" s="1" t="s">
        <v>40</v>
      </c>
      <c r="N208" s="1">
        <v>348.0</v>
      </c>
      <c r="O208" s="1">
        <v>2014.0</v>
      </c>
      <c r="P208" s="1">
        <v>2013.0</v>
      </c>
      <c r="Q208" s="2">
        <v>41777.0</v>
      </c>
      <c r="R208" s="2">
        <v>41777.0</v>
      </c>
      <c r="U208" s="1" t="s">
        <v>41</v>
      </c>
      <c r="Y208" s="1">
        <v>1.0</v>
      </c>
      <c r="AB208" s="1">
        <v>0.0</v>
      </c>
    </row>
    <row r="209">
      <c r="A209" s="1">
        <v>2.2317623E7</v>
      </c>
      <c r="B209" s="1" t="s">
        <v>924</v>
      </c>
      <c r="C209" s="1" t="s">
        <v>678</v>
      </c>
      <c r="D209" s="1" t="s">
        <v>50</v>
      </c>
      <c r="E209" s="1" t="s">
        <v>36</v>
      </c>
      <c r="F209" s="1" t="s">
        <v>679</v>
      </c>
      <c r="G209" s="1" t="s">
        <v>925</v>
      </c>
      <c r="H209" t="str">
        <f>""</f>
        <v/>
      </c>
      <c r="I209" t="str">
        <f>"9786068530253"</f>
        <v>9786068530253</v>
      </c>
      <c r="J209" s="1">
        <v>5.0</v>
      </c>
      <c r="K209" s="1">
        <v>4.03</v>
      </c>
      <c r="L209" s="1" t="s">
        <v>681</v>
      </c>
      <c r="M209" s="1" t="s">
        <v>40</v>
      </c>
      <c r="N209" s="1">
        <v>168.0</v>
      </c>
      <c r="O209" s="1">
        <v>2014.0</v>
      </c>
      <c r="P209" s="1">
        <v>2012.0</v>
      </c>
      <c r="R209" s="4">
        <v>41969.0</v>
      </c>
      <c r="U209" s="1" t="s">
        <v>41</v>
      </c>
      <c r="Y209" s="1">
        <v>1.0</v>
      </c>
      <c r="AB209" s="1">
        <v>0.0</v>
      </c>
    </row>
    <row r="210" hidden="1">
      <c r="A210" s="1">
        <v>63689.0</v>
      </c>
      <c r="B210" s="1" t="s">
        <v>926</v>
      </c>
      <c r="C210" s="1" t="s">
        <v>927</v>
      </c>
      <c r="D210" s="1"/>
      <c r="E210" s="1"/>
      <c r="F210" s="1" t="s">
        <v>928</v>
      </c>
      <c r="H210" t="str">
        <f>"0618658947"</f>
        <v>0618658947</v>
      </c>
      <c r="I210" t="str">
        <f>"9780618658947"</f>
        <v>9780618658947</v>
      </c>
      <c r="J210" s="1">
        <v>0.0</v>
      </c>
      <c r="K210" s="1">
        <v>3.91</v>
      </c>
      <c r="L210" s="1" t="s">
        <v>840</v>
      </c>
      <c r="M210" s="1" t="s">
        <v>40</v>
      </c>
      <c r="N210" s="1">
        <v>342.0</v>
      </c>
      <c r="O210" s="1">
        <v>2006.0</v>
      </c>
      <c r="P210" s="1">
        <v>1975.0</v>
      </c>
      <c r="R210" s="4">
        <v>41968.0</v>
      </c>
      <c r="S210" s="1" t="s">
        <v>56</v>
      </c>
      <c r="T210" s="1" t="s">
        <v>929</v>
      </c>
      <c r="U210" s="1" t="s">
        <v>56</v>
      </c>
      <c r="Y210" s="1">
        <v>0.0</v>
      </c>
      <c r="AB210" s="1">
        <v>0.0</v>
      </c>
    </row>
    <row r="211">
      <c r="A211" s="1">
        <v>3741488.0</v>
      </c>
      <c r="B211" s="1" t="s">
        <v>930</v>
      </c>
      <c r="C211" s="1" t="s">
        <v>298</v>
      </c>
      <c r="D211" s="1" t="s">
        <v>299</v>
      </c>
      <c r="E211" s="1" t="s">
        <v>45</v>
      </c>
      <c r="F211" s="1" t="s">
        <v>300</v>
      </c>
      <c r="G211" s="1" t="s">
        <v>931</v>
      </c>
      <c r="H211" t="str">
        <f>"2831080657"</f>
        <v>2831080657</v>
      </c>
      <c r="I211" t="str">
        <f>"5602831080654"</f>
        <v>5602831080654</v>
      </c>
      <c r="J211" s="1">
        <v>4.0</v>
      </c>
      <c r="K211" s="1">
        <v>3.96</v>
      </c>
      <c r="L211" s="1" t="s">
        <v>932</v>
      </c>
      <c r="M211" s="1" t="s">
        <v>40</v>
      </c>
      <c r="N211" s="1">
        <v>178.0</v>
      </c>
      <c r="O211" s="1">
        <v>2008.0</v>
      </c>
      <c r="P211" s="1">
        <v>1981.0</v>
      </c>
      <c r="R211" s="4">
        <v>41963.0</v>
      </c>
      <c r="U211" s="1" t="s">
        <v>41</v>
      </c>
      <c r="Y211" s="1">
        <v>1.0</v>
      </c>
      <c r="AB211" s="1">
        <v>0.0</v>
      </c>
    </row>
    <row r="212">
      <c r="A212" s="1">
        <v>53639.0</v>
      </c>
      <c r="B212" s="1" t="s">
        <v>933</v>
      </c>
      <c r="C212" s="1" t="s">
        <v>934</v>
      </c>
      <c r="D212" s="1" t="s">
        <v>125</v>
      </c>
      <c r="E212" s="1" t="s">
        <v>65</v>
      </c>
      <c r="F212" s="1" t="s">
        <v>935</v>
      </c>
      <c r="G212" s="1" t="s">
        <v>936</v>
      </c>
      <c r="H212" t="str">
        <f>"0571203132"</f>
        <v>0571203132</v>
      </c>
      <c r="I212" t="str">
        <f>"9780571203130"</f>
        <v>9780571203130</v>
      </c>
      <c r="J212" s="1">
        <v>2.0</v>
      </c>
      <c r="K212" s="1">
        <v>4.09</v>
      </c>
      <c r="L212" s="1" t="s">
        <v>815</v>
      </c>
      <c r="M212" s="1" t="s">
        <v>40</v>
      </c>
      <c r="N212" s="1">
        <v>335.0</v>
      </c>
      <c r="O212" s="1">
        <v>2000.0</v>
      </c>
      <c r="P212" s="1">
        <v>1946.0</v>
      </c>
      <c r="Q212" s="2">
        <v>41949.0</v>
      </c>
      <c r="R212" s="4">
        <v>41936.0</v>
      </c>
      <c r="U212" s="1" t="s">
        <v>41</v>
      </c>
      <c r="Y212" s="1">
        <v>1.0</v>
      </c>
      <c r="AB212" s="1">
        <v>0.0</v>
      </c>
    </row>
    <row r="213">
      <c r="A213" s="1">
        <v>199953.0</v>
      </c>
      <c r="B213" s="1" t="s">
        <v>937</v>
      </c>
      <c r="C213" s="1" t="s">
        <v>938</v>
      </c>
      <c r="D213" s="1" t="s">
        <v>64</v>
      </c>
      <c r="E213" s="1" t="s">
        <v>72</v>
      </c>
      <c r="F213" s="1" t="s">
        <v>939</v>
      </c>
      <c r="H213" t="str">
        <f>"3442545196"</f>
        <v>3442545196</v>
      </c>
      <c r="I213" t="str">
        <f>"9783442545193"</f>
        <v>9783442545193</v>
      </c>
      <c r="J213" s="1">
        <v>4.0</v>
      </c>
      <c r="K213" s="1">
        <v>3.34</v>
      </c>
      <c r="L213" s="1" t="s">
        <v>940</v>
      </c>
      <c r="M213" s="1" t="s">
        <v>55</v>
      </c>
      <c r="N213" s="1">
        <v>192.0</v>
      </c>
      <c r="O213" s="1">
        <v>2000.0</v>
      </c>
      <c r="P213" s="1">
        <v>2000.0</v>
      </c>
      <c r="R213" s="4">
        <v>41936.0</v>
      </c>
      <c r="U213" s="1" t="s">
        <v>41</v>
      </c>
      <c r="Y213" s="1">
        <v>1.0</v>
      </c>
      <c r="AB213" s="1">
        <v>0.0</v>
      </c>
    </row>
    <row r="214">
      <c r="A214" s="1">
        <v>3533059.0</v>
      </c>
      <c r="B214" s="1" t="s">
        <v>941</v>
      </c>
      <c r="C214" s="1" t="s">
        <v>942</v>
      </c>
      <c r="D214" s="1" t="s">
        <v>120</v>
      </c>
      <c r="E214" s="1" t="s">
        <v>278</v>
      </c>
      <c r="F214" s="1" t="s">
        <v>943</v>
      </c>
      <c r="H214" t="str">
        <f>"2266157183"</f>
        <v>2266157183</v>
      </c>
      <c r="I214" t="str">
        <f>"9782266157186"</f>
        <v>9782266157186</v>
      </c>
      <c r="J214" s="1">
        <v>2.0</v>
      </c>
      <c r="K214" s="1">
        <v>4.16</v>
      </c>
      <c r="L214" s="1" t="s">
        <v>944</v>
      </c>
      <c r="M214" s="1" t="s">
        <v>238</v>
      </c>
      <c r="N214" s="1">
        <v>279.0</v>
      </c>
      <c r="O214" s="1">
        <v>2007.0</v>
      </c>
      <c r="P214" s="1">
        <v>2007.0</v>
      </c>
      <c r="R214" s="4">
        <v>41932.0</v>
      </c>
      <c r="U214" s="1" t="s">
        <v>41</v>
      </c>
      <c r="Y214" s="1">
        <v>1.0</v>
      </c>
      <c r="AB214" s="1">
        <v>0.0</v>
      </c>
    </row>
    <row r="215">
      <c r="A215" s="1">
        <v>117837.0</v>
      </c>
      <c r="B215" s="1" t="s">
        <v>945</v>
      </c>
      <c r="C215" s="1" t="s">
        <v>946</v>
      </c>
      <c r="D215" s="1" t="s">
        <v>35</v>
      </c>
      <c r="E215" s="1" t="s">
        <v>65</v>
      </c>
      <c r="F215" s="1" t="s">
        <v>947</v>
      </c>
      <c r="H215" t="str">
        <f>"0486264645"</f>
        <v>0486264645</v>
      </c>
      <c r="I215" t="str">
        <f>"9780486264646"</f>
        <v>9780486264646</v>
      </c>
      <c r="J215" s="1">
        <v>1.0</v>
      </c>
      <c r="K215" s="1">
        <v>3.42</v>
      </c>
      <c r="L215" s="1" t="s">
        <v>753</v>
      </c>
      <c r="M215" s="1" t="s">
        <v>40</v>
      </c>
      <c r="N215" s="1">
        <v>72.0</v>
      </c>
      <c r="O215" s="1">
        <v>1990.0</v>
      </c>
      <c r="P215" s="1">
        <v>1899.0</v>
      </c>
      <c r="R215" s="2">
        <v>41679.0</v>
      </c>
      <c r="U215" s="1" t="s">
        <v>41</v>
      </c>
      <c r="Y215" s="1">
        <v>1.0</v>
      </c>
      <c r="AB215" s="1">
        <v>0.0</v>
      </c>
    </row>
    <row r="216">
      <c r="A216" s="1">
        <v>9687941.0</v>
      </c>
      <c r="B216" s="1" t="s">
        <v>948</v>
      </c>
      <c r="C216" s="1" t="s">
        <v>718</v>
      </c>
      <c r="D216" s="1" t="s">
        <v>120</v>
      </c>
      <c r="E216" s="1" t="s">
        <v>278</v>
      </c>
      <c r="F216" s="1" t="s">
        <v>719</v>
      </c>
      <c r="G216" s="1" t="s">
        <v>949</v>
      </c>
      <c r="H216" t="str">
        <f>"2290028045"</f>
        <v>2290028045</v>
      </c>
      <c r="I216" t="str">
        <f>"9782290028049"</f>
        <v>9782290028049</v>
      </c>
      <c r="J216" s="1">
        <v>4.0</v>
      </c>
      <c r="K216" s="1">
        <v>3.77</v>
      </c>
      <c r="L216" s="1" t="s">
        <v>950</v>
      </c>
      <c r="M216" s="1" t="s">
        <v>238</v>
      </c>
      <c r="N216" s="1">
        <v>218.0</v>
      </c>
      <c r="O216" s="1">
        <v>2010.0</v>
      </c>
      <c r="P216" s="1">
        <v>1997.0</v>
      </c>
      <c r="Q216" s="2">
        <v>41899.0</v>
      </c>
      <c r="R216" s="2">
        <v>41892.0</v>
      </c>
      <c r="U216" s="1" t="s">
        <v>41</v>
      </c>
      <c r="Y216" s="1">
        <v>1.0</v>
      </c>
      <c r="AB216" s="1">
        <v>0.0</v>
      </c>
    </row>
    <row r="217" hidden="1">
      <c r="A217" s="1">
        <v>206228.0</v>
      </c>
      <c r="B217" s="1" t="s">
        <v>951</v>
      </c>
      <c r="C217" s="1" t="s">
        <v>952</v>
      </c>
      <c r="D217" s="1"/>
      <c r="E217" s="1"/>
      <c r="F217" s="1" t="s">
        <v>953</v>
      </c>
      <c r="G217" s="5" t="s">
        <v>954</v>
      </c>
      <c r="H217" t="str">
        <f>"0435909126"</f>
        <v>0435909126</v>
      </c>
      <c r="I217" t="str">
        <f>"9780435909123"</f>
        <v>9780435909123</v>
      </c>
      <c r="J217" s="1">
        <v>0.0</v>
      </c>
      <c r="K217" s="1">
        <v>3.89</v>
      </c>
      <c r="L217" s="1" t="s">
        <v>955</v>
      </c>
      <c r="M217" s="1" t="s">
        <v>40</v>
      </c>
      <c r="N217" s="1">
        <v>116.0</v>
      </c>
      <c r="O217" s="1">
        <v>1987.0</v>
      </c>
      <c r="P217" s="1">
        <v>1983.0</v>
      </c>
      <c r="R217" s="2">
        <v>41888.0</v>
      </c>
      <c r="S217" s="1" t="s">
        <v>56</v>
      </c>
      <c r="T217" s="1" t="s">
        <v>956</v>
      </c>
      <c r="U217" s="1" t="s">
        <v>56</v>
      </c>
      <c r="Y217" s="1">
        <v>0.0</v>
      </c>
      <c r="AB217" s="1">
        <v>0.0</v>
      </c>
    </row>
    <row r="218">
      <c r="A218" s="1">
        <v>488135.0</v>
      </c>
      <c r="B218" s="1" t="s">
        <v>957</v>
      </c>
      <c r="C218" s="1" t="s">
        <v>958</v>
      </c>
      <c r="D218" s="1" t="s">
        <v>71</v>
      </c>
      <c r="E218" s="1" t="s">
        <v>65</v>
      </c>
      <c r="F218" s="1" t="s">
        <v>959</v>
      </c>
      <c r="H218" t="str">
        <f>"0586073744"</f>
        <v>0586073744</v>
      </c>
      <c r="I218" t="str">
        <f>"9780586073742"</f>
        <v>9780586073742</v>
      </c>
      <c r="J218" s="1">
        <v>5.0</v>
      </c>
      <c r="K218" s="1">
        <v>3.74</v>
      </c>
      <c r="L218" s="1" t="s">
        <v>960</v>
      </c>
      <c r="M218" s="1" t="s">
        <v>40</v>
      </c>
      <c r="N218" s="1">
        <v>267.0</v>
      </c>
      <c r="O218" s="1">
        <v>1987.0</v>
      </c>
      <c r="P218" s="1">
        <v>1986.0</v>
      </c>
      <c r="R218" s="2">
        <v>41888.0</v>
      </c>
      <c r="U218" s="1" t="s">
        <v>41</v>
      </c>
      <c r="Y218" s="1">
        <v>1.0</v>
      </c>
      <c r="AB218" s="1">
        <v>0.0</v>
      </c>
    </row>
    <row r="219">
      <c r="A219" s="1">
        <v>818109.0</v>
      </c>
      <c r="B219" s="1" t="s">
        <v>961</v>
      </c>
      <c r="C219" s="1" t="s">
        <v>962</v>
      </c>
      <c r="D219" s="1" t="s">
        <v>870</v>
      </c>
      <c r="E219" s="1" t="s">
        <v>65</v>
      </c>
      <c r="F219" s="1" t="s">
        <v>963</v>
      </c>
      <c r="G219" s="1" t="s">
        <v>964</v>
      </c>
      <c r="H219" t="str">
        <f>"0099458322"</f>
        <v>0099458322</v>
      </c>
      <c r="I219" t="str">
        <f>"9780099458326"</f>
        <v>9780099458326</v>
      </c>
      <c r="J219" s="1">
        <v>3.0</v>
      </c>
      <c r="K219" s="1">
        <v>4.13</v>
      </c>
      <c r="L219" s="1" t="s">
        <v>361</v>
      </c>
      <c r="M219" s="1" t="s">
        <v>40</v>
      </c>
      <c r="N219" s="1">
        <v>505.0</v>
      </c>
      <c r="O219" s="1">
        <v>2005.0</v>
      </c>
      <c r="P219" s="1">
        <v>2002.0</v>
      </c>
      <c r="Q219" s="2">
        <v>41882.0</v>
      </c>
      <c r="R219" s="2">
        <v>41877.0</v>
      </c>
      <c r="U219" s="1" t="s">
        <v>41</v>
      </c>
      <c r="Y219" s="1">
        <v>1.0</v>
      </c>
      <c r="AB219" s="1">
        <v>0.0</v>
      </c>
    </row>
    <row r="220">
      <c r="A220" s="1">
        <v>9181970.0</v>
      </c>
      <c r="B220" s="1" t="s">
        <v>965</v>
      </c>
      <c r="C220" s="1" t="s">
        <v>966</v>
      </c>
      <c r="D220" s="1" t="s">
        <v>419</v>
      </c>
      <c r="E220" s="1" t="s">
        <v>65</v>
      </c>
      <c r="F220" s="1" t="s">
        <v>967</v>
      </c>
      <c r="H220" t="str">
        <f>"0099505576"</f>
        <v>0099505576</v>
      </c>
      <c r="I220" t="str">
        <f>"9780099505570"</f>
        <v>9780099505570</v>
      </c>
      <c r="J220" s="1">
        <v>5.0</v>
      </c>
      <c r="K220" s="1">
        <v>3.88</v>
      </c>
      <c r="L220" s="1" t="s">
        <v>968</v>
      </c>
      <c r="M220" s="1" t="s">
        <v>40</v>
      </c>
      <c r="N220" s="1">
        <v>310.0</v>
      </c>
      <c r="O220" s="1">
        <v>2011.0</v>
      </c>
      <c r="P220" s="1">
        <v>2010.0</v>
      </c>
      <c r="Q220" s="2">
        <v>41877.0</v>
      </c>
      <c r="R220" s="2">
        <v>41865.0</v>
      </c>
      <c r="U220" s="1" t="s">
        <v>41</v>
      </c>
      <c r="Y220" s="1">
        <v>1.0</v>
      </c>
      <c r="AB220" s="1">
        <v>0.0</v>
      </c>
    </row>
    <row r="221">
      <c r="A221" s="1">
        <v>1.3542968E7</v>
      </c>
      <c r="B221" s="1" t="s">
        <v>969</v>
      </c>
      <c r="C221" s="1" t="s">
        <v>970</v>
      </c>
      <c r="D221" s="1" t="s">
        <v>71</v>
      </c>
      <c r="E221" s="1" t="s">
        <v>65</v>
      </c>
      <c r="F221" s="1" t="s">
        <v>971</v>
      </c>
      <c r="G221" s="1" t="s">
        <v>972</v>
      </c>
      <c r="H221" t="str">
        <f>"039953797X"</f>
        <v>039953797X</v>
      </c>
      <c r="I221" t="str">
        <f>"9780399537974"</f>
        <v>9780399537974</v>
      </c>
      <c r="J221" s="1">
        <v>3.0</v>
      </c>
      <c r="K221" s="1">
        <v>3.84</v>
      </c>
      <c r="L221" s="1" t="s">
        <v>973</v>
      </c>
      <c r="M221" s="1" t="s">
        <v>40</v>
      </c>
      <c r="N221" s="1">
        <v>270.0</v>
      </c>
      <c r="O221" s="1">
        <v>2012.0</v>
      </c>
      <c r="P221" s="1">
        <v>2012.0</v>
      </c>
      <c r="R221" s="2">
        <v>41865.0</v>
      </c>
      <c r="U221" s="1" t="s">
        <v>41</v>
      </c>
      <c r="Y221" s="1">
        <v>1.0</v>
      </c>
      <c r="AB221" s="1">
        <v>0.0</v>
      </c>
    </row>
    <row r="222" hidden="1">
      <c r="A222" s="1">
        <v>2129959.0</v>
      </c>
      <c r="B222" s="1" t="s">
        <v>974</v>
      </c>
      <c r="C222" s="1" t="s">
        <v>975</v>
      </c>
      <c r="D222" s="1"/>
      <c r="E222" s="1"/>
      <c r="F222" s="1" t="s">
        <v>976</v>
      </c>
      <c r="H222" t="str">
        <f>"089621382X"</f>
        <v>089621382X</v>
      </c>
      <c r="I222" t="str">
        <f>"9780896213821"</f>
        <v>9780896213821</v>
      </c>
      <c r="J222" s="1">
        <v>0.0</v>
      </c>
      <c r="K222" s="1">
        <v>4.07</v>
      </c>
      <c r="L222" s="1" t="s">
        <v>977</v>
      </c>
      <c r="M222" s="1" t="s">
        <v>40</v>
      </c>
      <c r="N222" s="1">
        <v>134.0</v>
      </c>
      <c r="O222" s="1">
        <v>1982.0</v>
      </c>
      <c r="P222" s="1">
        <v>1978.0</v>
      </c>
      <c r="R222" s="2">
        <v>41858.0</v>
      </c>
      <c r="S222" s="1" t="s">
        <v>56</v>
      </c>
      <c r="T222" s="1" t="s">
        <v>956</v>
      </c>
      <c r="U222" s="1" t="s">
        <v>56</v>
      </c>
      <c r="Y222" s="1">
        <v>0.0</v>
      </c>
      <c r="AB222" s="1">
        <v>0.0</v>
      </c>
    </row>
    <row r="223">
      <c r="A223" s="1">
        <v>1.5720336E7</v>
      </c>
      <c r="B223" s="1" t="s">
        <v>978</v>
      </c>
      <c r="C223" s="1" t="s">
        <v>975</v>
      </c>
      <c r="D223" s="1" t="s">
        <v>120</v>
      </c>
      <c r="E223" s="1" t="s">
        <v>36</v>
      </c>
      <c r="F223" s="1" t="s">
        <v>976</v>
      </c>
      <c r="H223" t="str">
        <f t="shared" ref="H223:H224" si="20">""</f>
        <v/>
      </c>
      <c r="I223" t="str">
        <f>"9782228898607"</f>
        <v>9782228898607</v>
      </c>
      <c r="J223" s="1">
        <v>2.0</v>
      </c>
      <c r="K223" s="1">
        <v>3.62</v>
      </c>
      <c r="L223" s="1" t="s">
        <v>979</v>
      </c>
      <c r="M223" s="1" t="s">
        <v>40</v>
      </c>
      <c r="N223" s="1">
        <v>193.0</v>
      </c>
      <c r="O223" s="1">
        <v>2004.0</v>
      </c>
      <c r="P223" s="1">
        <v>1978.0</v>
      </c>
      <c r="R223" s="2">
        <v>41858.0</v>
      </c>
      <c r="U223" s="1" t="s">
        <v>41</v>
      </c>
      <c r="Y223" s="1">
        <v>1.0</v>
      </c>
      <c r="AB223" s="1">
        <v>0.0</v>
      </c>
    </row>
    <row r="224">
      <c r="A224" s="1">
        <v>1.3498349E7</v>
      </c>
      <c r="B224" s="1" t="s">
        <v>980</v>
      </c>
      <c r="C224" s="1" t="s">
        <v>981</v>
      </c>
      <c r="D224" s="1" t="s">
        <v>120</v>
      </c>
      <c r="E224" s="1" t="s">
        <v>278</v>
      </c>
      <c r="F224" s="1" t="s">
        <v>982</v>
      </c>
      <c r="H224" t="str">
        <f t="shared" si="20"/>
        <v/>
      </c>
      <c r="I224" t="str">
        <f>""</f>
        <v/>
      </c>
      <c r="J224" s="1">
        <v>4.0</v>
      </c>
      <c r="K224" s="1">
        <v>4.07</v>
      </c>
      <c r="L224" s="1" t="s">
        <v>983</v>
      </c>
      <c r="N224" s="1">
        <v>480.0</v>
      </c>
      <c r="O224" s="1">
        <v>2011.0</v>
      </c>
      <c r="P224" s="1">
        <v>1782.0</v>
      </c>
      <c r="Q224" s="2">
        <v>41855.0</v>
      </c>
      <c r="R224" s="2">
        <v>41847.0</v>
      </c>
      <c r="U224" s="1" t="s">
        <v>41</v>
      </c>
      <c r="Y224" s="1">
        <v>1.0</v>
      </c>
      <c r="AB224" s="1">
        <v>0.0</v>
      </c>
    </row>
    <row r="225">
      <c r="A225" s="1">
        <v>2638036.0</v>
      </c>
      <c r="B225" s="1" t="s">
        <v>984</v>
      </c>
      <c r="C225" s="1" t="s">
        <v>985</v>
      </c>
      <c r="D225" s="1" t="s">
        <v>95</v>
      </c>
      <c r="E225" s="1" t="s">
        <v>72</v>
      </c>
      <c r="F225" s="1" t="s">
        <v>986</v>
      </c>
      <c r="H225" t="str">
        <f>"342312248X"</f>
        <v>342312248X</v>
      </c>
      <c r="I225" t="str">
        <f>"9783423122481"</f>
        <v>9783423122481</v>
      </c>
      <c r="J225" s="1">
        <v>2.0</v>
      </c>
      <c r="K225" s="1">
        <v>3.95</v>
      </c>
      <c r="L225" s="1" t="s">
        <v>987</v>
      </c>
      <c r="M225" s="1" t="s">
        <v>40</v>
      </c>
      <c r="N225" s="1">
        <v>466.0</v>
      </c>
      <c r="O225" s="1">
        <v>1996.0</v>
      </c>
      <c r="P225" s="1">
        <v>1971.0</v>
      </c>
      <c r="Q225" s="2">
        <v>41814.0</v>
      </c>
      <c r="R225" s="2">
        <v>41810.0</v>
      </c>
      <c r="U225" s="1" t="s">
        <v>41</v>
      </c>
      <c r="Y225" s="1">
        <v>1.0</v>
      </c>
      <c r="AB225" s="1">
        <v>0.0</v>
      </c>
    </row>
    <row r="226">
      <c r="A226" s="1">
        <v>87302.0</v>
      </c>
      <c r="B226" s="1" t="s">
        <v>988</v>
      </c>
      <c r="C226" s="1" t="s">
        <v>989</v>
      </c>
      <c r="D226" s="1" t="s">
        <v>120</v>
      </c>
      <c r="E226" s="1" t="s">
        <v>278</v>
      </c>
      <c r="F226" s="1" t="s">
        <v>990</v>
      </c>
      <c r="H226" t="str">
        <f>"207036805X"</f>
        <v>207036805X</v>
      </c>
      <c r="I226" t="str">
        <f>"9782070368051"</f>
        <v>9782070368051</v>
      </c>
      <c r="J226" s="1">
        <v>5.0</v>
      </c>
      <c r="K226" s="1">
        <v>3.92</v>
      </c>
      <c r="L226" s="1" t="s">
        <v>991</v>
      </c>
      <c r="M226" s="1" t="s">
        <v>40</v>
      </c>
      <c r="N226" s="1">
        <v>250.0</v>
      </c>
      <c r="O226" s="1">
        <v>1972.0</v>
      </c>
      <c r="P226" s="1">
        <v>1938.0</v>
      </c>
      <c r="Q226" s="2">
        <v>41827.0</v>
      </c>
      <c r="R226" s="2">
        <v>41820.0</v>
      </c>
      <c r="U226" s="1" t="s">
        <v>41</v>
      </c>
      <c r="Y226" s="1">
        <v>1.0</v>
      </c>
      <c r="AB226" s="1">
        <v>0.0</v>
      </c>
    </row>
    <row r="227" hidden="1">
      <c r="A227" s="1">
        <v>7100277.0</v>
      </c>
      <c r="B227" s="1" t="s">
        <v>992</v>
      </c>
      <c r="C227" s="1" t="s">
        <v>993</v>
      </c>
      <c r="D227" s="1"/>
      <c r="E227" s="1"/>
      <c r="F227" s="1" t="s">
        <v>994</v>
      </c>
      <c r="H227" t="str">
        <f t="shared" ref="H227:I227" si="21">""</f>
        <v/>
      </c>
      <c r="I227" t="str">
        <f t="shared" si="21"/>
        <v/>
      </c>
      <c r="J227" s="1">
        <v>0.0</v>
      </c>
      <c r="K227" s="1">
        <v>4.2</v>
      </c>
      <c r="M227" s="1" t="s">
        <v>489</v>
      </c>
      <c r="N227" s="1">
        <v>204.0</v>
      </c>
      <c r="P227" s="1">
        <v>1438.0</v>
      </c>
      <c r="R227" s="2">
        <v>41820.0</v>
      </c>
      <c r="S227" s="1" t="s">
        <v>56</v>
      </c>
      <c r="T227" s="1" t="s">
        <v>995</v>
      </c>
      <c r="U227" s="1" t="s">
        <v>56</v>
      </c>
      <c r="Y227" s="1">
        <v>0.0</v>
      </c>
      <c r="AB227" s="1">
        <v>0.0</v>
      </c>
    </row>
    <row r="228">
      <c r="A228" s="1">
        <v>1.6247938E7</v>
      </c>
      <c r="B228" s="1" t="s">
        <v>996</v>
      </c>
      <c r="C228" s="1" t="s">
        <v>997</v>
      </c>
      <c r="D228" s="1" t="s">
        <v>35</v>
      </c>
      <c r="E228" s="1" t="s">
        <v>65</v>
      </c>
      <c r="F228" s="1" t="s">
        <v>998</v>
      </c>
      <c r="H228" t="str">
        <f>"0099540088"</f>
        <v>0099540088</v>
      </c>
      <c r="I228" t="str">
        <f>"9780099540083"</f>
        <v>9780099540083</v>
      </c>
      <c r="J228" s="1">
        <v>5.0</v>
      </c>
      <c r="K228" s="1">
        <v>3.66</v>
      </c>
      <c r="L228" s="1" t="s">
        <v>999</v>
      </c>
      <c r="M228" s="1" t="s">
        <v>40</v>
      </c>
      <c r="N228" s="1">
        <v>192.0</v>
      </c>
      <c r="O228" s="1">
        <v>2012.0</v>
      </c>
      <c r="P228" s="1">
        <v>1984.0</v>
      </c>
      <c r="R228" s="2">
        <v>41816.0</v>
      </c>
      <c r="U228" s="1" t="s">
        <v>41</v>
      </c>
      <c r="Y228" s="1">
        <v>1.0</v>
      </c>
      <c r="AB228" s="1">
        <v>0.0</v>
      </c>
    </row>
    <row r="229">
      <c r="A229" s="1">
        <v>6238672.0</v>
      </c>
      <c r="B229" s="1" t="s">
        <v>1000</v>
      </c>
      <c r="C229" s="1" t="s">
        <v>1001</v>
      </c>
      <c r="D229" s="1" t="s">
        <v>71</v>
      </c>
      <c r="E229" s="1" t="s">
        <v>65</v>
      </c>
      <c r="F229" s="1" t="s">
        <v>1002</v>
      </c>
      <c r="G229" s="1" t="s">
        <v>1003</v>
      </c>
      <c r="H229" t="str">
        <f>"0571238106"</f>
        <v>0571238106</v>
      </c>
      <c r="I229" t="str">
        <f>"9780571238101"</f>
        <v>9780571238101</v>
      </c>
      <c r="J229" s="1">
        <v>4.0</v>
      </c>
      <c r="K229" s="1">
        <v>4.21</v>
      </c>
      <c r="L229" s="1" t="s">
        <v>1004</v>
      </c>
      <c r="M229" s="1" t="s">
        <v>40</v>
      </c>
      <c r="N229" s="1">
        <v>142.0</v>
      </c>
      <c r="O229" s="1">
        <v>2008.0</v>
      </c>
      <c r="P229" s="1">
        <v>2008.0</v>
      </c>
      <c r="Q229" s="2">
        <v>41810.0</v>
      </c>
      <c r="R229" s="2">
        <v>41794.0</v>
      </c>
      <c r="U229" s="1" t="s">
        <v>41</v>
      </c>
      <c r="Y229" s="1">
        <v>1.0</v>
      </c>
      <c r="AB229" s="1">
        <v>0.0</v>
      </c>
    </row>
    <row r="230">
      <c r="A230" s="1">
        <v>1.8522833E7</v>
      </c>
      <c r="B230" s="1" t="s">
        <v>1005</v>
      </c>
      <c r="C230" s="1" t="s">
        <v>1006</v>
      </c>
      <c r="D230" s="1" t="s">
        <v>71</v>
      </c>
      <c r="E230" s="1" t="s">
        <v>65</v>
      </c>
      <c r="F230" s="1" t="s">
        <v>1007</v>
      </c>
      <c r="H230" t="str">
        <f>"0571311695"</f>
        <v>0571311695</v>
      </c>
      <c r="I230" t="str">
        <f>"9780571311699"</f>
        <v>9780571311699</v>
      </c>
      <c r="J230" s="1">
        <v>1.0</v>
      </c>
      <c r="K230" s="1">
        <v>2.6</v>
      </c>
      <c r="L230" s="1" t="s">
        <v>1008</v>
      </c>
      <c r="M230" s="1" t="s">
        <v>40</v>
      </c>
      <c r="N230" s="1">
        <v>304.0</v>
      </c>
      <c r="O230" s="1">
        <v>2013.0</v>
      </c>
      <c r="P230" s="1">
        <v>2013.0</v>
      </c>
      <c r="Q230" s="2">
        <v>41810.0</v>
      </c>
      <c r="R230" s="2">
        <v>41794.0</v>
      </c>
      <c r="U230" s="1" t="s">
        <v>41</v>
      </c>
      <c r="Y230" s="1">
        <v>1.0</v>
      </c>
      <c r="AB230" s="1">
        <v>0.0</v>
      </c>
    </row>
    <row r="231">
      <c r="A231" s="1">
        <v>3188964.0</v>
      </c>
      <c r="B231" s="1" t="s">
        <v>1009</v>
      </c>
      <c r="C231" s="1" t="s">
        <v>1010</v>
      </c>
      <c r="D231" s="1" t="s">
        <v>35</v>
      </c>
      <c r="E231" s="1" t="s">
        <v>65</v>
      </c>
      <c r="F231" s="1" t="s">
        <v>1011</v>
      </c>
      <c r="H231" t="str">
        <f t="shared" ref="H231:I231" si="22">""</f>
        <v/>
      </c>
      <c r="I231" t="str">
        <f t="shared" si="22"/>
        <v/>
      </c>
      <c r="J231" s="1">
        <v>5.0</v>
      </c>
      <c r="K231" s="1">
        <v>3.94</v>
      </c>
      <c r="L231" s="1" t="s">
        <v>1012</v>
      </c>
      <c r="M231" s="1" t="s">
        <v>55</v>
      </c>
      <c r="N231" s="1">
        <v>63.0</v>
      </c>
      <c r="O231" s="1">
        <v>1954.0</v>
      </c>
      <c r="P231" s="1">
        <v>1954.0</v>
      </c>
      <c r="Q231" s="2">
        <v>41794.0</v>
      </c>
      <c r="R231" s="2">
        <v>41790.0</v>
      </c>
      <c r="U231" s="1" t="s">
        <v>41</v>
      </c>
      <c r="Y231" s="1">
        <v>1.0</v>
      </c>
      <c r="AB231" s="1">
        <v>0.0</v>
      </c>
    </row>
    <row r="232">
      <c r="A232" s="1">
        <v>1.5992693E7</v>
      </c>
      <c r="B232" s="1" t="s">
        <v>1013</v>
      </c>
      <c r="C232" s="1" t="s">
        <v>1014</v>
      </c>
      <c r="D232" s="1" t="s">
        <v>50</v>
      </c>
      <c r="E232" s="1" t="s">
        <v>36</v>
      </c>
      <c r="F232" s="1" t="s">
        <v>1015</v>
      </c>
      <c r="H232" t="str">
        <f>""</f>
        <v/>
      </c>
      <c r="I232" t="str">
        <f>"9789734627967"</f>
        <v>9789734627967</v>
      </c>
      <c r="J232" s="1">
        <v>4.0</v>
      </c>
      <c r="K232" s="1">
        <v>4.14</v>
      </c>
      <c r="L232" s="1" t="s">
        <v>448</v>
      </c>
      <c r="M232" s="1" t="s">
        <v>40</v>
      </c>
      <c r="N232" s="1">
        <v>324.0</v>
      </c>
      <c r="O232" s="1">
        <v>2012.0</v>
      </c>
      <c r="P232" s="1">
        <v>2009.0</v>
      </c>
      <c r="Q232" s="2">
        <v>41794.0</v>
      </c>
      <c r="R232" s="2">
        <v>41792.0</v>
      </c>
      <c r="U232" s="1" t="s">
        <v>41</v>
      </c>
      <c r="Y232" s="1">
        <v>1.0</v>
      </c>
      <c r="AB232" s="1">
        <v>0.0</v>
      </c>
    </row>
    <row r="233">
      <c r="A233" s="1">
        <v>7144.0</v>
      </c>
      <c r="B233" s="1" t="s">
        <v>1016</v>
      </c>
      <c r="C233" s="1" t="s">
        <v>161</v>
      </c>
      <c r="D233" s="1" t="s">
        <v>64</v>
      </c>
      <c r="E233" s="1" t="s">
        <v>65</v>
      </c>
      <c r="F233" s="1" t="s">
        <v>162</v>
      </c>
      <c r="G233" s="1" t="s">
        <v>1017</v>
      </c>
      <c r="H233" t="str">
        <f>"0143058142"</f>
        <v>0143058142</v>
      </c>
      <c r="I233" t="str">
        <f>"9780143058144"</f>
        <v>9780143058144</v>
      </c>
      <c r="J233" s="1">
        <v>3.0</v>
      </c>
      <c r="K233" s="1">
        <v>4.2</v>
      </c>
      <c r="L233" s="1" t="s">
        <v>1018</v>
      </c>
      <c r="M233" s="1" t="s">
        <v>40</v>
      </c>
      <c r="N233" s="1">
        <v>671.0</v>
      </c>
      <c r="O233" s="1">
        <v>2002.0</v>
      </c>
      <c r="P233" s="1">
        <v>1866.0</v>
      </c>
      <c r="Q233" s="2">
        <v>41789.0</v>
      </c>
      <c r="R233" s="2">
        <v>41777.0</v>
      </c>
      <c r="U233" s="1" t="s">
        <v>41</v>
      </c>
      <c r="Y233" s="1">
        <v>1.0</v>
      </c>
      <c r="AB233" s="1">
        <v>0.0</v>
      </c>
    </row>
    <row r="234">
      <c r="A234" s="1">
        <v>861622.0</v>
      </c>
      <c r="B234" s="1" t="s">
        <v>1019</v>
      </c>
      <c r="C234" s="1" t="s">
        <v>1020</v>
      </c>
      <c r="D234" s="1" t="s">
        <v>120</v>
      </c>
      <c r="E234" s="1" t="s">
        <v>278</v>
      </c>
      <c r="F234" s="1" t="s">
        <v>1021</v>
      </c>
      <c r="H234" t="str">
        <f>"2070409007"</f>
        <v>2070409007</v>
      </c>
      <c r="I234" t="str">
        <f>"9782070409006"</f>
        <v>9782070409006</v>
      </c>
      <c r="J234" s="1">
        <v>4.0</v>
      </c>
      <c r="K234" s="1">
        <v>4.3</v>
      </c>
      <c r="L234" s="1" t="s">
        <v>1022</v>
      </c>
      <c r="M234" s="1" t="s">
        <v>1023</v>
      </c>
      <c r="N234" s="1">
        <v>247.0</v>
      </c>
      <c r="O234" s="1">
        <v>1999.0</v>
      </c>
      <c r="P234" s="1">
        <v>1873.0</v>
      </c>
      <c r="R234" s="2">
        <v>41792.0</v>
      </c>
      <c r="U234" s="1" t="s">
        <v>41</v>
      </c>
      <c r="Y234" s="1">
        <v>1.0</v>
      </c>
      <c r="AB234" s="1">
        <v>0.0</v>
      </c>
    </row>
    <row r="235">
      <c r="A235" s="1">
        <v>2.1491161E7</v>
      </c>
      <c r="B235" s="1" t="s">
        <v>1024</v>
      </c>
      <c r="C235" s="1" t="s">
        <v>1025</v>
      </c>
      <c r="D235" s="1" t="s">
        <v>95</v>
      </c>
      <c r="E235" s="1" t="s">
        <v>72</v>
      </c>
      <c r="F235" s="1" t="s">
        <v>1026</v>
      </c>
      <c r="H235" t="str">
        <f t="shared" ref="H235:H237" si="23">""</f>
        <v/>
      </c>
      <c r="I235" t="str">
        <f>"9783871345869"</f>
        <v>9783871345869</v>
      </c>
      <c r="J235" s="1">
        <v>4.0</v>
      </c>
      <c r="K235" s="1">
        <v>3.33</v>
      </c>
      <c r="L235" s="1" t="s">
        <v>1027</v>
      </c>
      <c r="M235" s="1" t="s">
        <v>55</v>
      </c>
      <c r="N235" s="1">
        <v>272.0</v>
      </c>
      <c r="O235" s="1">
        <v>2014.0</v>
      </c>
      <c r="P235" s="1">
        <v>2014.0</v>
      </c>
      <c r="Q235" s="2">
        <v>41790.0</v>
      </c>
      <c r="R235" s="2">
        <v>41777.0</v>
      </c>
      <c r="U235" s="1" t="s">
        <v>41</v>
      </c>
      <c r="Y235" s="1">
        <v>1.0</v>
      </c>
      <c r="AB235" s="1">
        <v>0.0</v>
      </c>
    </row>
    <row r="236">
      <c r="A236" s="1">
        <v>1.1289919E7</v>
      </c>
      <c r="B236" s="1" t="s">
        <v>1028</v>
      </c>
      <c r="C236" s="1" t="s">
        <v>1029</v>
      </c>
      <c r="D236" s="1" t="s">
        <v>120</v>
      </c>
      <c r="E236" s="1" t="s">
        <v>65</v>
      </c>
      <c r="F236" s="1" t="s">
        <v>1030</v>
      </c>
      <c r="H236" t="str">
        <f t="shared" si="23"/>
        <v/>
      </c>
      <c r="I236" t="str">
        <f t="shared" ref="I236:I237" si="24">""</f>
        <v/>
      </c>
      <c r="J236" s="1">
        <v>4.0</v>
      </c>
      <c r="K236" s="1">
        <v>3.92</v>
      </c>
      <c r="P236" s="1">
        <v>1984.0</v>
      </c>
      <c r="R236" s="2">
        <v>41789.0</v>
      </c>
      <c r="U236" s="1" t="s">
        <v>41</v>
      </c>
      <c r="Y236" s="1">
        <v>1.0</v>
      </c>
      <c r="AB236" s="1">
        <v>0.0</v>
      </c>
    </row>
    <row r="237">
      <c r="A237" s="1">
        <v>3608869.0</v>
      </c>
      <c r="B237" s="1" t="s">
        <v>1031</v>
      </c>
      <c r="C237" s="1" t="s">
        <v>1032</v>
      </c>
      <c r="D237" s="1" t="s">
        <v>1033</v>
      </c>
      <c r="E237" s="1" t="s">
        <v>45</v>
      </c>
      <c r="F237" s="1" t="s">
        <v>1034</v>
      </c>
      <c r="H237" t="str">
        <f t="shared" si="23"/>
        <v/>
      </c>
      <c r="I237" t="str">
        <f t="shared" si="24"/>
        <v/>
      </c>
      <c r="J237" s="1">
        <v>5.0</v>
      </c>
      <c r="K237" s="1">
        <v>4.34</v>
      </c>
      <c r="P237" s="1">
        <v>2007.0</v>
      </c>
      <c r="Q237" s="2">
        <v>41768.0</v>
      </c>
      <c r="R237" s="2">
        <v>41766.0</v>
      </c>
      <c r="U237" s="1" t="s">
        <v>41</v>
      </c>
      <c r="Y237" s="1">
        <v>1.0</v>
      </c>
      <c r="AB237" s="1">
        <v>0.0</v>
      </c>
    </row>
    <row r="238">
      <c r="A238" s="1">
        <v>28862.0</v>
      </c>
      <c r="B238" s="1" t="s">
        <v>1035</v>
      </c>
      <c r="C238" s="1" t="s">
        <v>1036</v>
      </c>
      <c r="D238" s="1" t="s">
        <v>141</v>
      </c>
      <c r="E238" s="1" t="s">
        <v>65</v>
      </c>
      <c r="F238" s="1" t="s">
        <v>1037</v>
      </c>
      <c r="G238" s="1" t="s">
        <v>1038</v>
      </c>
      <c r="H238" t="str">
        <f>"0937832383"</f>
        <v>0937832383</v>
      </c>
      <c r="I238" t="str">
        <f>"9780937832387"</f>
        <v>9780937832387</v>
      </c>
      <c r="J238" s="1">
        <v>3.0</v>
      </c>
      <c r="K238" s="1">
        <v>3.79</v>
      </c>
      <c r="L238" s="1" t="s">
        <v>1039</v>
      </c>
      <c r="M238" s="1" t="s">
        <v>40</v>
      </c>
      <c r="N238" s="1">
        <v>140.0</v>
      </c>
      <c r="O238" s="1">
        <v>2003.0</v>
      </c>
      <c r="P238" s="1">
        <v>1513.0</v>
      </c>
      <c r="R238" s="2">
        <v>41766.0</v>
      </c>
      <c r="U238" s="1" t="s">
        <v>41</v>
      </c>
      <c r="Y238" s="1">
        <v>1.0</v>
      </c>
      <c r="AB238" s="1">
        <v>0.0</v>
      </c>
    </row>
    <row r="239">
      <c r="A239" s="1">
        <v>497164.0</v>
      </c>
      <c r="B239" s="1" t="s">
        <v>1040</v>
      </c>
      <c r="C239" s="1" t="s">
        <v>1029</v>
      </c>
      <c r="D239" s="1" t="s">
        <v>120</v>
      </c>
      <c r="E239" s="1" t="s">
        <v>65</v>
      </c>
      <c r="F239" s="1" t="s">
        <v>1030</v>
      </c>
      <c r="G239" s="1" t="s">
        <v>1041</v>
      </c>
      <c r="H239" t="str">
        <f>"0374521344"</f>
        <v>0374521344</v>
      </c>
      <c r="I239" t="str">
        <f>"9780374521349"</f>
        <v>9780374521349</v>
      </c>
      <c r="J239" s="1">
        <v>5.0</v>
      </c>
      <c r="K239" s="1">
        <v>3.93</v>
      </c>
      <c r="L239" s="1" t="s">
        <v>1042</v>
      </c>
      <c r="M239" s="1" t="s">
        <v>40</v>
      </c>
      <c r="N239" s="1">
        <v>119.0</v>
      </c>
      <c r="O239" s="1">
        <v>1982.0</v>
      </c>
      <c r="P239" s="1">
        <v>1980.0</v>
      </c>
      <c r="Q239" s="2">
        <v>41758.0</v>
      </c>
      <c r="R239" s="2">
        <v>41757.0</v>
      </c>
      <c r="U239" s="1" t="s">
        <v>41</v>
      </c>
      <c r="Y239" s="1">
        <v>1.0</v>
      </c>
      <c r="AB239" s="1">
        <v>0.0</v>
      </c>
    </row>
    <row r="240">
      <c r="A240" s="1">
        <v>24583.0</v>
      </c>
      <c r="B240" s="1" t="s">
        <v>1043</v>
      </c>
      <c r="C240" s="1" t="s">
        <v>1044</v>
      </c>
      <c r="D240" s="1" t="s">
        <v>71</v>
      </c>
      <c r="E240" s="1" t="s">
        <v>36</v>
      </c>
      <c r="F240" s="1" t="s">
        <v>1045</v>
      </c>
      <c r="G240" s="1" t="s">
        <v>1046</v>
      </c>
      <c r="H240" t="str">
        <f>"0143039563"</f>
        <v>0143039563</v>
      </c>
      <c r="I240" t="str">
        <f>"9780143039563"</f>
        <v>9780143039563</v>
      </c>
      <c r="J240" s="1">
        <v>3.0</v>
      </c>
      <c r="K240" s="1">
        <v>3.9</v>
      </c>
      <c r="L240" s="1" t="s">
        <v>68</v>
      </c>
      <c r="M240" s="1" t="s">
        <v>40</v>
      </c>
      <c r="N240" s="1">
        <v>244.0</v>
      </c>
      <c r="O240" s="1">
        <v>2006.0</v>
      </c>
      <c r="P240" s="1">
        <v>1876.0</v>
      </c>
      <c r="R240" s="2">
        <v>41169.0</v>
      </c>
      <c r="U240" s="1" t="s">
        <v>41</v>
      </c>
      <c r="Y240" s="1">
        <v>1.0</v>
      </c>
      <c r="AB240" s="1">
        <v>0.0</v>
      </c>
    </row>
    <row r="241">
      <c r="A241" s="1">
        <v>5135.0</v>
      </c>
      <c r="B241" s="1" t="s">
        <v>1047</v>
      </c>
      <c r="C241" s="1" t="s">
        <v>1010</v>
      </c>
      <c r="D241" s="1" t="s">
        <v>35</v>
      </c>
      <c r="E241" s="1" t="s">
        <v>65</v>
      </c>
      <c r="F241" s="1" t="s">
        <v>1011</v>
      </c>
      <c r="H241" t="str">
        <f>"1564781313"</f>
        <v>1564781313</v>
      </c>
      <c r="I241" t="str">
        <f>"9781564781314"</f>
        <v>9781564781314</v>
      </c>
      <c r="J241" s="1">
        <v>3.0</v>
      </c>
      <c r="K241" s="1">
        <v>3.85</v>
      </c>
      <c r="L241" s="1" t="s">
        <v>1048</v>
      </c>
      <c r="M241" s="1" t="s">
        <v>40</v>
      </c>
      <c r="N241" s="1">
        <v>432.0</v>
      </c>
      <c r="O241" s="1">
        <v>1996.0</v>
      </c>
      <c r="P241" s="1">
        <v>1928.0</v>
      </c>
      <c r="R241" s="2">
        <v>41754.0</v>
      </c>
      <c r="U241" s="1" t="s">
        <v>41</v>
      </c>
      <c r="Y241" s="1">
        <v>1.0</v>
      </c>
      <c r="AB241" s="1">
        <v>0.0</v>
      </c>
    </row>
    <row r="242">
      <c r="A242" s="1">
        <v>320.0</v>
      </c>
      <c r="B242" s="1" t="s">
        <v>1049</v>
      </c>
      <c r="C242" s="1" t="s">
        <v>298</v>
      </c>
      <c r="D242" s="1" t="s">
        <v>299</v>
      </c>
      <c r="E242" s="1" t="s">
        <v>65</v>
      </c>
      <c r="F242" s="1" t="s">
        <v>300</v>
      </c>
      <c r="G242" s="1" t="s">
        <v>301</v>
      </c>
      <c r="H242" t="str">
        <f>"0060531045"</f>
        <v>0060531045</v>
      </c>
      <c r="I242" t="str">
        <f>"9780060531041"</f>
        <v>9780060531041</v>
      </c>
      <c r="J242" s="1">
        <v>4.0</v>
      </c>
      <c r="K242" s="1">
        <v>4.05</v>
      </c>
      <c r="L242" s="1" t="s">
        <v>422</v>
      </c>
      <c r="M242" s="1" t="s">
        <v>55</v>
      </c>
      <c r="N242" s="1">
        <v>417.0</v>
      </c>
      <c r="O242" s="1">
        <v>2003.0</v>
      </c>
      <c r="P242" s="1">
        <v>1967.0</v>
      </c>
      <c r="R242" s="2">
        <v>41752.0</v>
      </c>
      <c r="U242" s="1" t="s">
        <v>41</v>
      </c>
      <c r="Y242" s="1">
        <v>1.0</v>
      </c>
      <c r="AB242" s="1">
        <v>0.0</v>
      </c>
    </row>
    <row r="243">
      <c r="A243" s="1">
        <v>6398634.0</v>
      </c>
      <c r="B243" s="1" t="s">
        <v>1050</v>
      </c>
      <c r="C243" s="1" t="s">
        <v>1051</v>
      </c>
      <c r="D243" s="1" t="s">
        <v>71</v>
      </c>
      <c r="E243" s="1" t="s">
        <v>65</v>
      </c>
      <c r="F243" s="1" t="s">
        <v>1052</v>
      </c>
      <c r="H243" t="str">
        <f>"0061583251"</f>
        <v>0061583251</v>
      </c>
      <c r="I243" t="str">
        <f>"9780061583254"</f>
        <v>9780061583254</v>
      </c>
      <c r="J243" s="1">
        <v>2.0</v>
      </c>
      <c r="K243" s="1">
        <v>3.59</v>
      </c>
      <c r="L243" s="1" t="s">
        <v>422</v>
      </c>
      <c r="M243" s="1" t="s">
        <v>55</v>
      </c>
      <c r="N243" s="1">
        <v>301.0</v>
      </c>
      <c r="O243" s="1">
        <v>2009.0</v>
      </c>
      <c r="P243" s="1">
        <v>2009.0</v>
      </c>
      <c r="R243" s="2">
        <v>41749.0</v>
      </c>
      <c r="U243" s="1" t="s">
        <v>41</v>
      </c>
      <c r="Y243" s="1">
        <v>1.0</v>
      </c>
      <c r="AB243" s="1">
        <v>0.0</v>
      </c>
    </row>
    <row r="244">
      <c r="A244" s="1">
        <v>1.0840272E7</v>
      </c>
      <c r="B244" s="1" t="s">
        <v>1053</v>
      </c>
      <c r="C244" s="1" t="s">
        <v>1054</v>
      </c>
      <c r="D244" s="1" t="s">
        <v>50</v>
      </c>
      <c r="E244" s="1" t="s">
        <v>36</v>
      </c>
      <c r="F244" s="1" t="s">
        <v>1055</v>
      </c>
      <c r="H244" t="str">
        <f>"9736813800"</f>
        <v>9736813800</v>
      </c>
      <c r="I244" t="str">
        <f>""</f>
        <v/>
      </c>
      <c r="J244" s="1">
        <v>5.0</v>
      </c>
      <c r="K244" s="1">
        <v>4.38</v>
      </c>
      <c r="M244" s="1" t="s">
        <v>40</v>
      </c>
      <c r="N244" s="1">
        <v>240.0</v>
      </c>
      <c r="O244" s="1">
        <v>2003.0</v>
      </c>
      <c r="P244" s="1">
        <v>2003.0</v>
      </c>
      <c r="R244" s="2">
        <v>41743.0</v>
      </c>
      <c r="U244" s="1" t="s">
        <v>41</v>
      </c>
      <c r="Y244" s="1">
        <v>1.0</v>
      </c>
      <c r="AB244" s="1">
        <v>0.0</v>
      </c>
    </row>
    <row r="245" hidden="1">
      <c r="A245" s="1">
        <v>4948737.0</v>
      </c>
      <c r="B245" s="1" t="s">
        <v>1056</v>
      </c>
      <c r="C245" s="1" t="s">
        <v>1057</v>
      </c>
      <c r="D245" s="1"/>
      <c r="E245" s="1"/>
      <c r="F245" s="1" t="s">
        <v>1058</v>
      </c>
      <c r="H245" t="str">
        <f>"0199545987"</f>
        <v>0199545987</v>
      </c>
      <c r="I245" t="str">
        <f>"9780199545988"</f>
        <v>9780199545988</v>
      </c>
      <c r="J245" s="1">
        <v>0.0</v>
      </c>
      <c r="K245" s="1">
        <v>4.14</v>
      </c>
      <c r="L245" s="1" t="s">
        <v>431</v>
      </c>
      <c r="M245" s="1" t="s">
        <v>55</v>
      </c>
      <c r="N245" s="1">
        <v>357.0</v>
      </c>
      <c r="O245" s="1">
        <v>2008.0</v>
      </c>
      <c r="P245" s="1">
        <v>2008.0</v>
      </c>
      <c r="R245" s="2">
        <v>41743.0</v>
      </c>
      <c r="S245" s="1" t="s">
        <v>56</v>
      </c>
      <c r="T245" s="1" t="s">
        <v>1059</v>
      </c>
      <c r="U245" s="1" t="s">
        <v>56</v>
      </c>
      <c r="Y245" s="1">
        <v>0.0</v>
      </c>
      <c r="AB245" s="1">
        <v>0.0</v>
      </c>
    </row>
    <row r="246" hidden="1">
      <c r="A246" s="1">
        <v>64276.0</v>
      </c>
      <c r="B246" s="1" t="s">
        <v>1060</v>
      </c>
      <c r="C246" s="1" t="s">
        <v>1061</v>
      </c>
      <c r="D246" s="1"/>
      <c r="E246" s="1"/>
      <c r="F246" s="1" t="s">
        <v>1062</v>
      </c>
      <c r="H246" t="str">
        <f>"0877843899"</f>
        <v>0877843899</v>
      </c>
      <c r="I246" t="str">
        <f>"9780877843894"</f>
        <v>9780877843894</v>
      </c>
      <c r="J246" s="1">
        <v>0.0</v>
      </c>
      <c r="K246" s="1">
        <v>3.92</v>
      </c>
      <c r="L246" s="1" t="s">
        <v>1063</v>
      </c>
      <c r="M246" s="1" t="s">
        <v>40</v>
      </c>
      <c r="N246" s="1">
        <v>114.0</v>
      </c>
      <c r="O246" s="1">
        <v>2005.0</v>
      </c>
      <c r="P246" s="1">
        <v>1982.0</v>
      </c>
      <c r="R246" s="2">
        <v>41724.0</v>
      </c>
      <c r="S246" s="1" t="s">
        <v>56</v>
      </c>
      <c r="T246" s="1" t="s">
        <v>1064</v>
      </c>
      <c r="U246" s="1" t="s">
        <v>56</v>
      </c>
      <c r="Y246" s="1">
        <v>0.0</v>
      </c>
      <c r="AB246" s="1">
        <v>0.0</v>
      </c>
    </row>
    <row r="247">
      <c r="A247" s="1">
        <v>635818.0</v>
      </c>
      <c r="B247" s="1" t="s">
        <v>1065</v>
      </c>
      <c r="C247" s="1" t="s">
        <v>1066</v>
      </c>
      <c r="D247" s="1" t="s">
        <v>95</v>
      </c>
      <c r="E247" s="1" t="s">
        <v>65</v>
      </c>
      <c r="F247" s="1" t="s">
        <v>1067</v>
      </c>
      <c r="H247" t="str">
        <f>"3518366823"</f>
        <v>3518366823</v>
      </c>
      <c r="I247" t="str">
        <f>"9783518366820"</f>
        <v>9783518366820</v>
      </c>
      <c r="J247" s="1">
        <v>3.0</v>
      </c>
      <c r="K247" s="1">
        <v>4.0</v>
      </c>
      <c r="L247" s="1" t="s">
        <v>1068</v>
      </c>
      <c r="M247" s="1" t="s">
        <v>40</v>
      </c>
      <c r="N247" s="1">
        <v>128.0</v>
      </c>
      <c r="O247" s="1">
        <v>1995.0</v>
      </c>
      <c r="P247" s="1">
        <v>1922.0</v>
      </c>
      <c r="Q247" s="2">
        <v>41712.0</v>
      </c>
      <c r="R247" s="2">
        <v>41703.0</v>
      </c>
      <c r="U247" s="1" t="s">
        <v>41</v>
      </c>
      <c r="Y247" s="1">
        <v>1.0</v>
      </c>
      <c r="AB247" s="1">
        <v>0.0</v>
      </c>
    </row>
    <row r="248">
      <c r="A248" s="1">
        <v>857213.0</v>
      </c>
      <c r="B248" s="1" t="s">
        <v>1069</v>
      </c>
      <c r="C248" s="1" t="s">
        <v>1070</v>
      </c>
      <c r="D248" s="1" t="s">
        <v>120</v>
      </c>
      <c r="E248" s="1" t="s">
        <v>278</v>
      </c>
      <c r="F248" s="1" t="s">
        <v>1071</v>
      </c>
      <c r="H248" t="str">
        <f>"2038716668"</f>
        <v>2038716668</v>
      </c>
      <c r="I248" t="str">
        <f>"9782038716665"</f>
        <v>9782038716665</v>
      </c>
      <c r="J248" s="1">
        <v>3.0</v>
      </c>
      <c r="K248" s="1">
        <v>3.74</v>
      </c>
      <c r="L248" s="1" t="s">
        <v>1072</v>
      </c>
      <c r="M248" s="1" t="s">
        <v>238</v>
      </c>
      <c r="N248" s="1">
        <v>255.0</v>
      </c>
      <c r="O248" s="1">
        <v>1998.0</v>
      </c>
      <c r="P248" s="1">
        <v>1673.0</v>
      </c>
      <c r="R248" s="2">
        <v>41710.0</v>
      </c>
      <c r="U248" s="1" t="s">
        <v>41</v>
      </c>
      <c r="Y248" s="1">
        <v>1.0</v>
      </c>
      <c r="AB248" s="1">
        <v>0.0</v>
      </c>
    </row>
    <row r="249">
      <c r="A249" s="1">
        <v>1.6134097E7</v>
      </c>
      <c r="B249" s="1" t="s">
        <v>1073</v>
      </c>
      <c r="C249" s="1" t="s">
        <v>1074</v>
      </c>
      <c r="D249" s="1" t="s">
        <v>95</v>
      </c>
      <c r="E249" s="1" t="s">
        <v>72</v>
      </c>
      <c r="F249" s="1" t="s">
        <v>1075</v>
      </c>
      <c r="H249" t="str">
        <f>"3866471807"</f>
        <v>3866471807</v>
      </c>
      <c r="I249" t="str">
        <f>"9783866471801"</f>
        <v>9783866471801</v>
      </c>
      <c r="J249" s="1">
        <v>4.0</v>
      </c>
      <c r="K249" s="1">
        <v>3.83</v>
      </c>
      <c r="L249" s="1" t="s">
        <v>1076</v>
      </c>
      <c r="M249" s="1" t="s">
        <v>55</v>
      </c>
      <c r="N249" s="1">
        <v>127.0</v>
      </c>
      <c r="O249" s="1">
        <v>2007.0</v>
      </c>
      <c r="P249" s="1">
        <v>1888.0</v>
      </c>
      <c r="R249" s="2">
        <v>41705.0</v>
      </c>
      <c r="U249" s="1" t="s">
        <v>41</v>
      </c>
      <c r="Y249" s="1">
        <v>1.0</v>
      </c>
      <c r="AB249" s="1">
        <v>0.0</v>
      </c>
    </row>
    <row r="250">
      <c r="A250" s="1">
        <v>1165628.0</v>
      </c>
      <c r="B250" s="1" t="s">
        <v>1077</v>
      </c>
      <c r="C250" s="1" t="s">
        <v>161</v>
      </c>
      <c r="D250" s="1" t="s">
        <v>64</v>
      </c>
      <c r="E250" s="1" t="s">
        <v>65</v>
      </c>
      <c r="F250" s="1" t="s">
        <v>162</v>
      </c>
      <c r="G250" s="1" t="s">
        <v>1078</v>
      </c>
      <c r="H250" t="str">
        <f>"3938484497"</f>
        <v>3938484497</v>
      </c>
      <c r="I250" t="str">
        <f>"9783938484494"</f>
        <v>9783938484494</v>
      </c>
      <c r="J250" s="1">
        <v>3.0</v>
      </c>
      <c r="K250" s="1">
        <v>3.88</v>
      </c>
      <c r="L250" s="1" t="s">
        <v>1076</v>
      </c>
      <c r="M250" s="1" t="s">
        <v>55</v>
      </c>
      <c r="N250" s="1">
        <v>256.0</v>
      </c>
      <c r="O250" s="1">
        <v>2005.0</v>
      </c>
      <c r="P250" s="1">
        <v>1866.0</v>
      </c>
      <c r="Q250" s="2">
        <v>41702.0</v>
      </c>
      <c r="R250" s="2">
        <v>41698.0</v>
      </c>
      <c r="U250" s="1" t="s">
        <v>41</v>
      </c>
      <c r="Y250" s="1">
        <v>1.0</v>
      </c>
      <c r="AB250" s="1">
        <v>0.0</v>
      </c>
    </row>
    <row r="251">
      <c r="A251" s="1">
        <v>1381.0</v>
      </c>
      <c r="B251" s="1" t="s">
        <v>1079</v>
      </c>
      <c r="C251" s="1" t="s">
        <v>1080</v>
      </c>
      <c r="D251" s="1" t="s">
        <v>125</v>
      </c>
      <c r="E251" s="1" t="s">
        <v>36</v>
      </c>
      <c r="F251" s="1" t="s">
        <v>1081</v>
      </c>
      <c r="G251" s="1" t="s">
        <v>1082</v>
      </c>
      <c r="H251" t="str">
        <f>"0143039954"</f>
        <v>0143039954</v>
      </c>
      <c r="I251" t="str">
        <f>"9780143039952"</f>
        <v>9780143039952</v>
      </c>
      <c r="J251" s="1">
        <v>5.0</v>
      </c>
      <c r="K251" s="1">
        <v>3.74</v>
      </c>
      <c r="L251" s="1" t="s">
        <v>68</v>
      </c>
      <c r="M251" s="1" t="s">
        <v>40</v>
      </c>
      <c r="N251" s="1">
        <v>541.0</v>
      </c>
      <c r="O251" s="1">
        <v>2006.0</v>
      </c>
      <c r="P251" s="1">
        <v>-720.0</v>
      </c>
      <c r="Q251" s="2">
        <v>41698.0</v>
      </c>
      <c r="R251" s="2">
        <v>41690.0</v>
      </c>
      <c r="U251" s="1" t="s">
        <v>41</v>
      </c>
      <c r="Y251" s="1">
        <v>1.0</v>
      </c>
      <c r="AB251" s="1">
        <v>0.0</v>
      </c>
    </row>
    <row r="252">
      <c r="A252" s="1">
        <v>1.1436526E7</v>
      </c>
      <c r="B252" s="1" t="s">
        <v>1083</v>
      </c>
      <c r="C252" s="1" t="s">
        <v>1084</v>
      </c>
      <c r="D252" s="1" t="s">
        <v>78</v>
      </c>
      <c r="E252" s="1" t="s">
        <v>72</v>
      </c>
      <c r="F252" s="1" t="s">
        <v>1085</v>
      </c>
      <c r="H252" t="str">
        <f>"3100590333"</f>
        <v>3100590333</v>
      </c>
      <c r="I252" t="str">
        <f>"9783100590336"</f>
        <v>9783100590336</v>
      </c>
      <c r="J252" s="1">
        <v>5.0</v>
      </c>
      <c r="K252" s="1">
        <v>3.95</v>
      </c>
      <c r="L252" s="1" t="s">
        <v>1086</v>
      </c>
      <c r="M252" s="1" t="s">
        <v>55</v>
      </c>
      <c r="N252" s="1">
        <v>320.0</v>
      </c>
      <c r="O252" s="1">
        <v>2011.0</v>
      </c>
      <c r="P252" s="1">
        <v>2011.0</v>
      </c>
      <c r="Q252" s="2">
        <v>41686.0</v>
      </c>
      <c r="R252" s="2">
        <v>41674.0</v>
      </c>
      <c r="U252" s="1" t="s">
        <v>41</v>
      </c>
      <c r="Y252" s="1">
        <v>1.0</v>
      </c>
      <c r="AB252" s="1">
        <v>0.0</v>
      </c>
    </row>
    <row r="253">
      <c r="A253" s="1">
        <v>24600.0</v>
      </c>
      <c r="B253" s="1" t="s">
        <v>1087</v>
      </c>
      <c r="C253" s="1" t="s">
        <v>1088</v>
      </c>
      <c r="D253" s="1" t="s">
        <v>120</v>
      </c>
      <c r="E253" s="1" t="s">
        <v>278</v>
      </c>
      <c r="F253" s="1" t="s">
        <v>1089</v>
      </c>
      <c r="G253" s="1" t="s">
        <v>1090</v>
      </c>
      <c r="H253" t="str">
        <f>"081956799X"</f>
        <v>081956799X</v>
      </c>
      <c r="I253" t="str">
        <f>"9780819567994"</f>
        <v>9780819567994</v>
      </c>
      <c r="J253" s="1">
        <v>4.0</v>
      </c>
      <c r="K253" s="1">
        <v>4.26</v>
      </c>
      <c r="L253" s="1" t="s">
        <v>1091</v>
      </c>
      <c r="M253" s="1" t="s">
        <v>55</v>
      </c>
      <c r="N253" s="1">
        <v>194.0</v>
      </c>
      <c r="O253" s="1">
        <v>2006.0</v>
      </c>
      <c r="P253" s="1">
        <v>1857.0</v>
      </c>
      <c r="R253" s="2">
        <v>41686.0</v>
      </c>
      <c r="U253" s="1" t="s">
        <v>41</v>
      </c>
      <c r="Y253" s="1">
        <v>1.0</v>
      </c>
      <c r="AB253" s="1">
        <v>0.0</v>
      </c>
    </row>
    <row r="254">
      <c r="A254" s="1">
        <v>1590984.0</v>
      </c>
      <c r="B254" s="1" t="s">
        <v>1092</v>
      </c>
      <c r="C254" s="1" t="s">
        <v>1093</v>
      </c>
      <c r="D254" s="1" t="s">
        <v>71</v>
      </c>
      <c r="E254" s="1" t="s">
        <v>65</v>
      </c>
      <c r="F254" s="1" t="s">
        <v>1094</v>
      </c>
      <c r="H254" t="str">
        <f>"014062192X"</f>
        <v>014062192X</v>
      </c>
      <c r="I254" t="str">
        <f>"9780140621921"</f>
        <v>9780140621921</v>
      </c>
      <c r="J254" s="1">
        <v>3.0</v>
      </c>
      <c r="K254" s="1">
        <v>3.67</v>
      </c>
      <c r="L254" s="1" t="s">
        <v>269</v>
      </c>
      <c r="M254" s="1" t="s">
        <v>107</v>
      </c>
      <c r="N254" s="1">
        <v>155.0</v>
      </c>
      <c r="P254" s="1">
        <v>1880.0</v>
      </c>
      <c r="R254" s="2">
        <v>41679.0</v>
      </c>
      <c r="U254" s="1" t="s">
        <v>41</v>
      </c>
      <c r="Y254" s="1">
        <v>1.0</v>
      </c>
      <c r="AB254" s="1">
        <v>0.0</v>
      </c>
    </row>
    <row r="255">
      <c r="A255" s="1">
        <v>753001.0</v>
      </c>
      <c r="B255" s="1" t="s">
        <v>1095</v>
      </c>
      <c r="C255" s="1" t="s">
        <v>1093</v>
      </c>
      <c r="D255" s="1" t="s">
        <v>71</v>
      </c>
      <c r="E255" s="1" t="s">
        <v>65</v>
      </c>
      <c r="F255" s="1" t="s">
        <v>1094</v>
      </c>
      <c r="H255" t="str">
        <f>"0486287734"</f>
        <v>0486287734</v>
      </c>
      <c r="I255" t="str">
        <f>"9780486287737"</f>
        <v>9780486287737</v>
      </c>
      <c r="J255" s="1">
        <v>2.0</v>
      </c>
      <c r="K255" s="1">
        <v>3.37</v>
      </c>
      <c r="L255" s="1" t="s">
        <v>753</v>
      </c>
      <c r="M255" s="1" t="s">
        <v>40</v>
      </c>
      <c r="N255" s="1">
        <v>59.0</v>
      </c>
      <c r="O255" s="1">
        <v>1995.0</v>
      </c>
      <c r="P255" s="1">
        <v>1878.0</v>
      </c>
      <c r="R255" s="2">
        <v>41679.0</v>
      </c>
      <c r="U255" s="1" t="s">
        <v>41</v>
      </c>
      <c r="Y255" s="1">
        <v>1.0</v>
      </c>
      <c r="AB255" s="1">
        <v>0.0</v>
      </c>
    </row>
    <row r="256">
      <c r="A256" s="1">
        <v>1366856.0</v>
      </c>
      <c r="B256" s="1" t="s">
        <v>1096</v>
      </c>
      <c r="C256" s="1" t="s">
        <v>457</v>
      </c>
      <c r="D256" s="1" t="s">
        <v>71</v>
      </c>
      <c r="E256" s="1" t="s">
        <v>65</v>
      </c>
      <c r="F256" s="1" t="s">
        <v>458</v>
      </c>
      <c r="H256" t="str">
        <f>"0146001915"</f>
        <v>0146001915</v>
      </c>
      <c r="I256" t="str">
        <f>"9780146001918"</f>
        <v>9780146001918</v>
      </c>
      <c r="J256" s="1">
        <v>3.0</v>
      </c>
      <c r="K256" s="1">
        <v>3.91</v>
      </c>
      <c r="L256" s="1" t="s">
        <v>1018</v>
      </c>
      <c r="M256" s="1" t="s">
        <v>40</v>
      </c>
      <c r="N256" s="1">
        <v>64.0</v>
      </c>
      <c r="O256" s="1">
        <v>1996.0</v>
      </c>
      <c r="P256" s="1">
        <v>1841.0</v>
      </c>
      <c r="R256" s="2">
        <v>41679.0</v>
      </c>
      <c r="U256" s="1" t="s">
        <v>41</v>
      </c>
      <c r="Y256" s="1">
        <v>1.0</v>
      </c>
      <c r="AB256" s="1">
        <v>0.0</v>
      </c>
    </row>
    <row r="257">
      <c r="A257" s="1">
        <v>30474.0</v>
      </c>
      <c r="B257" s="1" t="s">
        <v>1097</v>
      </c>
      <c r="C257" s="1" t="s">
        <v>1098</v>
      </c>
      <c r="D257" s="1" t="s">
        <v>95</v>
      </c>
      <c r="E257" s="1" t="s">
        <v>65</v>
      </c>
      <c r="F257" s="1" t="s">
        <v>1099</v>
      </c>
      <c r="G257" s="1" t="s">
        <v>1100</v>
      </c>
      <c r="H257" t="str">
        <f>"0140447571"</f>
        <v>0140447571</v>
      </c>
      <c r="I257" t="str">
        <f>"9780140447576"</f>
        <v>9780140447576</v>
      </c>
      <c r="J257" s="1">
        <v>3.0</v>
      </c>
      <c r="K257" s="1">
        <v>3.53</v>
      </c>
      <c r="L257" s="1" t="s">
        <v>68</v>
      </c>
      <c r="M257" s="1" t="s">
        <v>40</v>
      </c>
      <c r="N257" s="1">
        <v>288.0</v>
      </c>
      <c r="O257" s="1">
        <v>2002.0</v>
      </c>
      <c r="P257" s="1">
        <v>1848.0</v>
      </c>
      <c r="R257" s="2">
        <v>41679.0</v>
      </c>
      <c r="U257" s="1" t="s">
        <v>41</v>
      </c>
      <c r="Y257" s="1">
        <v>1.0</v>
      </c>
      <c r="AB257" s="1">
        <v>0.0</v>
      </c>
    </row>
    <row r="258">
      <c r="A258" s="1">
        <v>2920664.0</v>
      </c>
      <c r="B258" s="1" t="s">
        <v>1101</v>
      </c>
      <c r="C258" s="1" t="s">
        <v>1102</v>
      </c>
      <c r="D258" s="1" t="s">
        <v>50</v>
      </c>
      <c r="E258" s="1" t="s">
        <v>36</v>
      </c>
      <c r="F258" s="1" t="s">
        <v>1103</v>
      </c>
      <c r="H258" t="str">
        <f t="shared" ref="H258:I258" si="25">""</f>
        <v/>
      </c>
      <c r="I258" t="str">
        <f t="shared" si="25"/>
        <v/>
      </c>
      <c r="J258" s="1">
        <v>4.0</v>
      </c>
      <c r="K258" s="1">
        <v>3.82</v>
      </c>
      <c r="L258" s="1" t="s">
        <v>1104</v>
      </c>
      <c r="M258" s="1" t="s">
        <v>40</v>
      </c>
      <c r="N258" s="1">
        <v>70.0</v>
      </c>
      <c r="O258" s="1">
        <v>2003.0</v>
      </c>
      <c r="P258" s="1">
        <v>1968.0</v>
      </c>
      <c r="R258" s="2">
        <v>41674.0</v>
      </c>
      <c r="U258" s="1" t="s">
        <v>41</v>
      </c>
      <c r="Y258" s="1">
        <v>1.0</v>
      </c>
      <c r="AB258" s="1">
        <v>0.0</v>
      </c>
    </row>
    <row r="259">
      <c r="A259" s="1">
        <v>1.1049569E7</v>
      </c>
      <c r="B259" s="1" t="s">
        <v>1105</v>
      </c>
      <c r="C259" s="1" t="s">
        <v>1106</v>
      </c>
      <c r="D259" s="1" t="s">
        <v>50</v>
      </c>
      <c r="E259" s="1" t="s">
        <v>36</v>
      </c>
      <c r="F259" s="1" t="s">
        <v>1107</v>
      </c>
      <c r="G259" s="1" t="s">
        <v>1108</v>
      </c>
      <c r="H259" t="str">
        <f>"9735025094"</f>
        <v>9735025094</v>
      </c>
      <c r="I259" t="str">
        <f>"9789735025090"</f>
        <v>9789735025090</v>
      </c>
      <c r="J259" s="1">
        <v>5.0</v>
      </c>
      <c r="K259" s="1">
        <v>4.02</v>
      </c>
      <c r="L259" s="1" t="s">
        <v>627</v>
      </c>
      <c r="M259" s="1" t="s">
        <v>40</v>
      </c>
      <c r="N259" s="1">
        <v>48.0</v>
      </c>
      <c r="O259" s="1">
        <v>2009.0</v>
      </c>
      <c r="P259" s="1">
        <v>1862.0</v>
      </c>
      <c r="R259" s="2">
        <v>41674.0</v>
      </c>
      <c r="U259" s="1" t="s">
        <v>41</v>
      </c>
      <c r="Y259" s="1">
        <v>1.0</v>
      </c>
      <c r="AB259" s="1">
        <v>0.0</v>
      </c>
    </row>
    <row r="260">
      <c r="A260" s="1">
        <v>3151509.0</v>
      </c>
      <c r="B260" s="1" t="s">
        <v>1109</v>
      </c>
      <c r="C260" s="1" t="s">
        <v>1110</v>
      </c>
      <c r="D260" s="1" t="s">
        <v>95</v>
      </c>
      <c r="E260" s="1" t="s">
        <v>65</v>
      </c>
      <c r="F260" s="1" t="s">
        <v>1111</v>
      </c>
      <c r="H260" t="str">
        <f>"1855385058"</f>
        <v>1855385058</v>
      </c>
      <c r="I260" t="str">
        <f>"9781855385054"</f>
        <v>9781855385054</v>
      </c>
      <c r="J260" s="1">
        <v>3.0</v>
      </c>
      <c r="K260" s="1">
        <v>4.03</v>
      </c>
      <c r="L260" s="1" t="s">
        <v>1112</v>
      </c>
      <c r="M260" s="1" t="s">
        <v>40</v>
      </c>
      <c r="N260" s="1">
        <v>104.0</v>
      </c>
      <c r="O260" s="1">
        <v>1995.0</v>
      </c>
      <c r="P260" s="1">
        <v>1956.0</v>
      </c>
      <c r="R260" s="2">
        <v>41673.0</v>
      </c>
      <c r="U260" s="1" t="s">
        <v>41</v>
      </c>
      <c r="Y260" s="1">
        <v>1.0</v>
      </c>
      <c r="AB260" s="1">
        <v>0.0</v>
      </c>
    </row>
    <row r="261">
      <c r="A261" s="1">
        <v>770661.0</v>
      </c>
      <c r="B261" s="1" t="s">
        <v>1113</v>
      </c>
      <c r="C261" s="1" t="s">
        <v>989</v>
      </c>
      <c r="D261" s="1" t="s">
        <v>120</v>
      </c>
      <c r="E261" s="1" t="s">
        <v>278</v>
      </c>
      <c r="F261" s="1" t="s">
        <v>990</v>
      </c>
      <c r="H261" t="str">
        <f>"2070368785"</f>
        <v>2070368785</v>
      </c>
      <c r="I261" t="str">
        <f>"9782070368785"</f>
        <v>9782070368785</v>
      </c>
      <c r="J261" s="1">
        <v>5.0</v>
      </c>
      <c r="K261" s="1">
        <v>4.07</v>
      </c>
      <c r="L261" s="1" t="s">
        <v>1114</v>
      </c>
      <c r="M261" s="1" t="s">
        <v>238</v>
      </c>
      <c r="N261" s="1">
        <v>245.0</v>
      </c>
      <c r="O261" s="1">
        <v>1972.0</v>
      </c>
      <c r="P261" s="1">
        <v>1939.0</v>
      </c>
      <c r="Q261" s="2">
        <v>41668.0</v>
      </c>
      <c r="R261" s="2">
        <v>41664.0</v>
      </c>
      <c r="U261" s="1" t="s">
        <v>41</v>
      </c>
      <c r="Y261" s="1">
        <v>1.0</v>
      </c>
      <c r="AB261" s="1">
        <v>0.0</v>
      </c>
    </row>
    <row r="262">
      <c r="A262" s="1">
        <v>1.3550094E7</v>
      </c>
      <c r="B262" s="1" t="s">
        <v>1115</v>
      </c>
      <c r="C262" s="1" t="s">
        <v>1116</v>
      </c>
      <c r="D262" s="1" t="s">
        <v>71</v>
      </c>
      <c r="E262" s="1" t="s">
        <v>72</v>
      </c>
      <c r="F262" s="1" t="s">
        <v>1117</v>
      </c>
      <c r="H262" t="str">
        <f>"3596188792"</f>
        <v>3596188792</v>
      </c>
      <c r="I262" t="str">
        <f>"9783596188796"</f>
        <v>9783596188796</v>
      </c>
      <c r="J262" s="1">
        <v>4.0</v>
      </c>
      <c r="K262" s="1">
        <v>4.19</v>
      </c>
      <c r="L262" s="1" t="s">
        <v>1118</v>
      </c>
      <c r="M262" s="1" t="s">
        <v>40</v>
      </c>
      <c r="N262" s="1">
        <v>399.0</v>
      </c>
      <c r="O262" s="1">
        <v>2012.0</v>
      </c>
      <c r="P262" s="1">
        <v>2009.0</v>
      </c>
      <c r="Q262" s="2">
        <v>41664.0</v>
      </c>
      <c r="R262" s="4">
        <v>41630.0</v>
      </c>
      <c r="U262" s="1" t="s">
        <v>41</v>
      </c>
      <c r="Y262" s="1">
        <v>1.0</v>
      </c>
      <c r="AB262" s="1">
        <v>0.0</v>
      </c>
    </row>
    <row r="263">
      <c r="A263" s="1">
        <v>1.3637253E7</v>
      </c>
      <c r="B263" s="1" t="s">
        <v>1119</v>
      </c>
      <c r="C263" s="1" t="s">
        <v>989</v>
      </c>
      <c r="D263" s="1" t="s">
        <v>120</v>
      </c>
      <c r="E263" s="1" t="s">
        <v>278</v>
      </c>
      <c r="F263" s="1" t="s">
        <v>990</v>
      </c>
      <c r="H263" t="str">
        <f t="shared" ref="H263:I263" si="26">""</f>
        <v/>
      </c>
      <c r="I263" t="str">
        <f t="shared" si="26"/>
        <v/>
      </c>
      <c r="J263" s="1">
        <v>3.0</v>
      </c>
      <c r="K263" s="1">
        <v>3.53</v>
      </c>
      <c r="N263" s="1">
        <v>33.0</v>
      </c>
      <c r="P263" s="1">
        <v>1946.0</v>
      </c>
      <c r="R263" s="2">
        <v>41654.0</v>
      </c>
      <c r="U263" s="1" t="s">
        <v>41</v>
      </c>
      <c r="Y263" s="1">
        <v>1.0</v>
      </c>
      <c r="AB263" s="1">
        <v>0.0</v>
      </c>
    </row>
    <row r="264">
      <c r="A264" s="1">
        <v>6064051.0</v>
      </c>
      <c r="B264" s="1" t="s">
        <v>1120</v>
      </c>
      <c r="C264" s="1" t="s">
        <v>1121</v>
      </c>
      <c r="D264" s="1" t="s">
        <v>35</v>
      </c>
      <c r="E264" s="1" t="s">
        <v>65</v>
      </c>
      <c r="F264" s="1" t="s">
        <v>1122</v>
      </c>
      <c r="H264" t="str">
        <f>"0809022818"</f>
        <v>0809022818</v>
      </c>
      <c r="I264" t="str">
        <f>"9780809022816"</f>
        <v>9780809022816</v>
      </c>
      <c r="J264" s="1">
        <v>4.0</v>
      </c>
      <c r="K264" s="1">
        <v>3.95</v>
      </c>
      <c r="L264" s="1" t="s">
        <v>1042</v>
      </c>
      <c r="M264" s="1" t="s">
        <v>55</v>
      </c>
      <c r="N264" s="1">
        <v>286.0</v>
      </c>
      <c r="O264" s="1">
        <v>2009.0</v>
      </c>
      <c r="P264" s="1">
        <v>2009.0</v>
      </c>
      <c r="Q264" s="4">
        <v>41630.0</v>
      </c>
      <c r="R264" s="2">
        <v>41614.0</v>
      </c>
      <c r="U264" s="1" t="s">
        <v>41</v>
      </c>
      <c r="Y264" s="1">
        <v>1.0</v>
      </c>
      <c r="AB264" s="1">
        <v>0.0</v>
      </c>
    </row>
    <row r="265">
      <c r="A265" s="1">
        <v>11588.0</v>
      </c>
      <c r="B265" s="1" t="s">
        <v>1123</v>
      </c>
      <c r="C265" s="1" t="s">
        <v>1124</v>
      </c>
      <c r="D265" s="1" t="s">
        <v>71</v>
      </c>
      <c r="E265" s="1" t="s">
        <v>65</v>
      </c>
      <c r="F265" s="1" t="s">
        <v>1125</v>
      </c>
      <c r="H265" t="str">
        <f>"0450040186"</f>
        <v>0450040186</v>
      </c>
      <c r="I265" t="str">
        <f>"9780450040184"</f>
        <v>9780450040184</v>
      </c>
      <c r="J265" s="1">
        <v>4.0</v>
      </c>
      <c r="K265" s="1">
        <v>4.19</v>
      </c>
      <c r="L265" s="1" t="s">
        <v>1126</v>
      </c>
      <c r="M265" s="1" t="s">
        <v>40</v>
      </c>
      <c r="N265" s="1">
        <v>447.0</v>
      </c>
      <c r="O265" s="1">
        <v>1980.0</v>
      </c>
      <c r="P265" s="1">
        <v>1977.0</v>
      </c>
      <c r="R265" s="4">
        <v>41630.0</v>
      </c>
      <c r="U265" s="1" t="s">
        <v>41</v>
      </c>
      <c r="Y265" s="1">
        <v>1.0</v>
      </c>
      <c r="AB265" s="1">
        <v>0.0</v>
      </c>
    </row>
    <row r="266">
      <c r="A266" s="1">
        <v>10592.0</v>
      </c>
      <c r="B266" s="1" t="s">
        <v>1127</v>
      </c>
      <c r="C266" s="1" t="s">
        <v>1124</v>
      </c>
      <c r="D266" s="1" t="s">
        <v>71</v>
      </c>
      <c r="E266" s="1" t="s">
        <v>65</v>
      </c>
      <c r="F266" s="1" t="s">
        <v>1125</v>
      </c>
      <c r="H266" t="str">
        <f>"1416524304"</f>
        <v>1416524304</v>
      </c>
      <c r="I266" t="str">
        <f>"9781416524304"</f>
        <v>9781416524304</v>
      </c>
      <c r="J266" s="1">
        <v>3.0</v>
      </c>
      <c r="K266" s="1">
        <v>3.94</v>
      </c>
      <c r="L266" s="1" t="s">
        <v>1128</v>
      </c>
      <c r="M266" s="1" t="s">
        <v>40</v>
      </c>
      <c r="N266" s="1">
        <v>253.0</v>
      </c>
      <c r="O266" s="1">
        <v>2005.0</v>
      </c>
      <c r="P266" s="1">
        <v>1974.0</v>
      </c>
      <c r="R266" s="4">
        <v>41630.0</v>
      </c>
      <c r="U266" s="1" t="s">
        <v>41</v>
      </c>
      <c r="Y266" s="1">
        <v>1.0</v>
      </c>
      <c r="AB266" s="1">
        <v>0.0</v>
      </c>
    </row>
    <row r="267">
      <c r="A267" s="1">
        <v>1.3241351E7</v>
      </c>
      <c r="B267" s="1" t="s">
        <v>1129</v>
      </c>
      <c r="C267" s="1" t="s">
        <v>1130</v>
      </c>
      <c r="D267" s="1" t="s">
        <v>141</v>
      </c>
      <c r="E267" s="1" t="s">
        <v>65</v>
      </c>
      <c r="F267" s="1" t="s">
        <v>1131</v>
      </c>
      <c r="H267" t="str">
        <f t="shared" ref="H267:I267" si="27">""</f>
        <v/>
      </c>
      <c r="I267" t="str">
        <f t="shared" si="27"/>
        <v/>
      </c>
      <c r="J267" s="1">
        <v>4.0</v>
      </c>
      <c r="K267" s="1">
        <v>3.93</v>
      </c>
      <c r="L267" s="1" t="s">
        <v>1132</v>
      </c>
      <c r="M267" s="1" t="s">
        <v>489</v>
      </c>
      <c r="N267" s="1">
        <v>71.0</v>
      </c>
      <c r="O267" s="1">
        <v>2011.0</v>
      </c>
      <c r="P267" s="1">
        <v>1976.0</v>
      </c>
      <c r="R267" s="2">
        <v>41532.0</v>
      </c>
      <c r="U267" s="1" t="s">
        <v>41</v>
      </c>
      <c r="Y267" s="1">
        <v>1.0</v>
      </c>
      <c r="AB267" s="1">
        <v>0.0</v>
      </c>
    </row>
    <row r="268">
      <c r="A268" s="1">
        <v>58390.0</v>
      </c>
      <c r="B268" s="1" t="s">
        <v>1133</v>
      </c>
      <c r="C268" s="1" t="s">
        <v>1134</v>
      </c>
      <c r="D268" s="1" t="s">
        <v>120</v>
      </c>
      <c r="E268" s="1" t="s">
        <v>278</v>
      </c>
      <c r="F268" s="1" t="s">
        <v>1135</v>
      </c>
      <c r="H268" t="str">
        <f>"2070414574"</f>
        <v>2070414574</v>
      </c>
      <c r="I268" t="str">
        <f>"9782070414574"</f>
        <v>9782070414574</v>
      </c>
      <c r="J268" s="1">
        <v>4.0</v>
      </c>
      <c r="K268" s="1">
        <v>3.42</v>
      </c>
      <c r="L268" s="1" t="s">
        <v>1022</v>
      </c>
      <c r="M268" s="1" t="s">
        <v>238</v>
      </c>
      <c r="N268" s="1">
        <v>194.0</v>
      </c>
      <c r="O268" s="1">
        <v>2001.0</v>
      </c>
      <c r="P268" s="1">
        <v>1997.0</v>
      </c>
      <c r="R268" s="4">
        <v>41625.0</v>
      </c>
      <c r="U268" s="1" t="s">
        <v>41</v>
      </c>
      <c r="Y268" s="1">
        <v>1.0</v>
      </c>
      <c r="AB268" s="1">
        <v>0.0</v>
      </c>
    </row>
    <row r="269">
      <c r="A269" s="1">
        <v>573045.0</v>
      </c>
      <c r="B269" s="1" t="s">
        <v>1136</v>
      </c>
      <c r="C269" s="1" t="s">
        <v>1137</v>
      </c>
      <c r="D269" s="1" t="s">
        <v>120</v>
      </c>
      <c r="E269" s="1" t="s">
        <v>65</v>
      </c>
      <c r="F269" s="1" t="s">
        <v>1138</v>
      </c>
      <c r="H269" t="str">
        <f>"0486419568"</f>
        <v>0486419568</v>
      </c>
      <c r="I269" t="str">
        <f>"9780486419565"</f>
        <v>9780486419565</v>
      </c>
      <c r="J269" s="1">
        <v>4.0</v>
      </c>
      <c r="K269" s="1">
        <v>3.88</v>
      </c>
      <c r="L269" s="1" t="s">
        <v>753</v>
      </c>
      <c r="M269" s="1" t="s">
        <v>40</v>
      </c>
      <c r="N269" s="1">
        <v>160.0</v>
      </c>
      <c r="O269" s="1">
        <v>2002.0</v>
      </c>
      <c r="P269" s="1">
        <v>1895.0</v>
      </c>
      <c r="Q269" s="4">
        <v>41598.0</v>
      </c>
      <c r="R269" s="2">
        <v>41542.0</v>
      </c>
      <c r="U269" s="1" t="s">
        <v>41</v>
      </c>
      <c r="Y269" s="1">
        <v>1.0</v>
      </c>
      <c r="AB269" s="1">
        <v>0.0</v>
      </c>
    </row>
    <row r="270" hidden="1">
      <c r="A270" s="1">
        <v>206489.0</v>
      </c>
      <c r="B270" s="1" t="s">
        <v>1139</v>
      </c>
      <c r="C270" s="1" t="s">
        <v>1140</v>
      </c>
      <c r="D270" s="1"/>
      <c r="E270" s="1"/>
      <c r="F270" s="1" t="s">
        <v>1141</v>
      </c>
      <c r="H270" t="str">
        <f>"159534005X"</f>
        <v>159534005X</v>
      </c>
      <c r="I270" t="str">
        <f>"9781595340054"</f>
        <v>9781595340054</v>
      </c>
      <c r="J270" s="1">
        <v>0.0</v>
      </c>
      <c r="K270" s="1">
        <v>4.0</v>
      </c>
      <c r="L270" s="1" t="s">
        <v>1142</v>
      </c>
      <c r="M270" s="1" t="s">
        <v>55</v>
      </c>
      <c r="N270" s="1">
        <v>224.0</v>
      </c>
      <c r="O270" s="1">
        <v>2004.0</v>
      </c>
      <c r="P270" s="1">
        <v>2004.0</v>
      </c>
      <c r="R270" s="4">
        <v>41594.0</v>
      </c>
      <c r="S270" s="1" t="s">
        <v>56</v>
      </c>
      <c r="T270" s="1" t="s">
        <v>1143</v>
      </c>
      <c r="U270" s="1" t="s">
        <v>56</v>
      </c>
      <c r="Y270" s="1">
        <v>0.0</v>
      </c>
      <c r="AB270" s="1">
        <v>0.0</v>
      </c>
    </row>
    <row r="271" hidden="1">
      <c r="A271" s="1">
        <v>1.7729031E7</v>
      </c>
      <c r="B271" s="1" t="s">
        <v>1144</v>
      </c>
      <c r="C271" s="1" t="s">
        <v>1145</v>
      </c>
      <c r="D271" s="1"/>
      <c r="E271" s="1"/>
      <c r="F271" s="1" t="s">
        <v>1146</v>
      </c>
      <c r="H271" t="str">
        <f>"1300631759"</f>
        <v>1300631759</v>
      </c>
      <c r="I271" t="str">
        <f>"9781300631750"</f>
        <v>9781300631750</v>
      </c>
      <c r="J271" s="1">
        <v>0.0</v>
      </c>
      <c r="K271" s="1">
        <v>4.29</v>
      </c>
      <c r="L271" s="1" t="s">
        <v>1145</v>
      </c>
      <c r="M271" s="1" t="s">
        <v>40</v>
      </c>
      <c r="N271" s="1">
        <v>102.0</v>
      </c>
      <c r="O271" s="1">
        <v>2013.0</v>
      </c>
      <c r="P271" s="1">
        <v>2013.0</v>
      </c>
      <c r="R271" s="4">
        <v>41594.0</v>
      </c>
      <c r="S271" s="1" t="s">
        <v>56</v>
      </c>
      <c r="T271" s="1" t="s">
        <v>1147</v>
      </c>
      <c r="U271" s="1" t="s">
        <v>56</v>
      </c>
      <c r="Y271" s="1">
        <v>0.0</v>
      </c>
      <c r="AB271" s="1">
        <v>0.0</v>
      </c>
    </row>
    <row r="272">
      <c r="A272" s="1">
        <v>34080.0</v>
      </c>
      <c r="B272" s="1" t="s">
        <v>1148</v>
      </c>
      <c r="C272" s="1" t="s">
        <v>1149</v>
      </c>
      <c r="D272" s="1" t="s">
        <v>71</v>
      </c>
      <c r="E272" s="1" t="s">
        <v>65</v>
      </c>
      <c r="F272" s="1" t="s">
        <v>1150</v>
      </c>
      <c r="G272" s="1" t="s">
        <v>1151</v>
      </c>
      <c r="H272" t="str">
        <f>"0393974995"</f>
        <v>0393974995</v>
      </c>
      <c r="I272" t="str">
        <f>"9780393974997"</f>
        <v>9780393974997</v>
      </c>
      <c r="J272" s="1">
        <v>4.0</v>
      </c>
      <c r="K272" s="1">
        <v>4.1</v>
      </c>
      <c r="L272" s="1" t="s">
        <v>1152</v>
      </c>
      <c r="M272" s="1" t="s">
        <v>40</v>
      </c>
      <c r="N272" s="1">
        <v>320.0</v>
      </c>
      <c r="O272" s="1">
        <v>2000.0</v>
      </c>
      <c r="P272" s="1">
        <v>1922.0</v>
      </c>
      <c r="R272" s="2">
        <v>41579.0</v>
      </c>
      <c r="U272" s="1" t="s">
        <v>41</v>
      </c>
      <c r="Y272" s="1">
        <v>1.0</v>
      </c>
      <c r="AB272" s="1">
        <v>0.0</v>
      </c>
    </row>
    <row r="273">
      <c r="A273" s="1">
        <v>1.7285944E7</v>
      </c>
      <c r="B273" s="1" t="s">
        <v>1153</v>
      </c>
      <c r="C273" s="1" t="s">
        <v>1154</v>
      </c>
      <c r="D273" s="1" t="s">
        <v>1155</v>
      </c>
      <c r="E273" s="1" t="s">
        <v>36</v>
      </c>
      <c r="F273" s="1" t="s">
        <v>1156</v>
      </c>
      <c r="G273" s="1" t="s">
        <v>1157</v>
      </c>
      <c r="H273" t="str">
        <f>""</f>
        <v/>
      </c>
      <c r="I273" t="str">
        <f>"9789734610556"</f>
        <v>9789734610556</v>
      </c>
      <c r="J273" s="1">
        <v>3.0</v>
      </c>
      <c r="K273" s="1">
        <v>3.75</v>
      </c>
      <c r="L273" s="1" t="s">
        <v>448</v>
      </c>
      <c r="M273" s="1" t="s">
        <v>40</v>
      </c>
      <c r="N273" s="1">
        <v>218.0</v>
      </c>
      <c r="O273" s="1">
        <v>2008.0</v>
      </c>
      <c r="P273" s="1">
        <v>2003.0</v>
      </c>
      <c r="R273" s="2">
        <v>41491.0</v>
      </c>
      <c r="U273" s="1" t="s">
        <v>41</v>
      </c>
      <c r="Y273" s="1">
        <v>1.0</v>
      </c>
      <c r="AB273" s="1">
        <v>0.0</v>
      </c>
    </row>
    <row r="274">
      <c r="A274" s="1">
        <v>1.6071266E7</v>
      </c>
      <c r="B274" s="1" t="s">
        <v>1158</v>
      </c>
      <c r="C274" s="1" t="s">
        <v>1159</v>
      </c>
      <c r="D274" s="1" t="s">
        <v>71</v>
      </c>
      <c r="E274" s="1" t="s">
        <v>65</v>
      </c>
      <c r="F274" s="1" t="s">
        <v>1160</v>
      </c>
      <c r="H274" t="str">
        <f>"1851689397"</f>
        <v>1851689397</v>
      </c>
      <c r="I274" t="str">
        <f>"9781851689392"</f>
        <v>9781851689392</v>
      </c>
      <c r="J274" s="1">
        <v>5.0</v>
      </c>
      <c r="K274" s="1">
        <v>3.87</v>
      </c>
      <c r="L274" s="1" t="s">
        <v>1161</v>
      </c>
      <c r="M274" s="1" t="s">
        <v>40</v>
      </c>
      <c r="N274" s="1">
        <v>302.0</v>
      </c>
      <c r="O274" s="1">
        <v>2012.0</v>
      </c>
      <c r="P274" s="1">
        <v>2011.0</v>
      </c>
      <c r="Q274" s="4">
        <v>41561.0</v>
      </c>
      <c r="R274" s="2">
        <v>41553.0</v>
      </c>
      <c r="U274" s="1" t="s">
        <v>41</v>
      </c>
      <c r="Y274" s="1">
        <v>1.0</v>
      </c>
      <c r="AB274" s="1">
        <v>0.0</v>
      </c>
    </row>
    <row r="275">
      <c r="A275" s="1">
        <v>53336.0</v>
      </c>
      <c r="B275" s="1" t="s">
        <v>1162</v>
      </c>
      <c r="C275" s="1" t="s">
        <v>424</v>
      </c>
      <c r="D275" s="1" t="s">
        <v>71</v>
      </c>
      <c r="E275" s="1" t="s">
        <v>65</v>
      </c>
      <c r="F275" s="1" t="s">
        <v>425</v>
      </c>
      <c r="H275" t="str">
        <f>"0226468046"</f>
        <v>0226468046</v>
      </c>
      <c r="I275" t="str">
        <f>"9780226468044"</f>
        <v>9780226468044</v>
      </c>
      <c r="J275" s="1">
        <v>4.0</v>
      </c>
      <c r="K275" s="1">
        <v>4.11</v>
      </c>
      <c r="L275" s="1" t="s">
        <v>1163</v>
      </c>
      <c r="M275" s="1" t="s">
        <v>40</v>
      </c>
      <c r="N275" s="1">
        <v>632.0</v>
      </c>
      <c r="O275" s="1">
        <v>1990.0</v>
      </c>
      <c r="P275" s="1">
        <v>1987.0</v>
      </c>
      <c r="R275" s="2">
        <v>41553.0</v>
      </c>
      <c r="U275" s="1" t="s">
        <v>41</v>
      </c>
      <c r="Y275" s="1">
        <v>1.0</v>
      </c>
      <c r="AB275" s="1">
        <v>0.0</v>
      </c>
    </row>
    <row r="276">
      <c r="A276" s="1">
        <v>2702639.0</v>
      </c>
      <c r="B276" s="1" t="s">
        <v>1164</v>
      </c>
      <c r="C276" s="1" t="s">
        <v>1165</v>
      </c>
      <c r="D276" s="1" t="s">
        <v>71</v>
      </c>
      <c r="E276" s="1" t="s">
        <v>36</v>
      </c>
      <c r="F276" s="1" t="s">
        <v>1166</v>
      </c>
      <c r="H276" t="str">
        <f>"0330445219"</f>
        <v>0330445219</v>
      </c>
      <c r="I276" t="str">
        <f>"9780330445214"</f>
        <v>9780330445214</v>
      </c>
      <c r="J276" s="1">
        <v>2.0</v>
      </c>
      <c r="K276" s="1">
        <v>3.56</v>
      </c>
      <c r="L276" s="1" t="s">
        <v>1167</v>
      </c>
      <c r="M276" s="1" t="s">
        <v>40</v>
      </c>
      <c r="N276" s="1">
        <v>375.0</v>
      </c>
      <c r="O276" s="1">
        <v>2008.0</v>
      </c>
      <c r="P276" s="1">
        <v>2008.0</v>
      </c>
      <c r="R276" s="2">
        <v>41351.0</v>
      </c>
      <c r="U276" s="1" t="s">
        <v>41</v>
      </c>
      <c r="Y276" s="1">
        <v>1.0</v>
      </c>
      <c r="AB276" s="1">
        <v>0.0</v>
      </c>
    </row>
    <row r="277">
      <c r="A277" s="1">
        <v>1.6113737E7</v>
      </c>
      <c r="B277" s="1" t="s">
        <v>1168</v>
      </c>
      <c r="C277" s="1" t="s">
        <v>1169</v>
      </c>
      <c r="D277" s="1" t="s">
        <v>870</v>
      </c>
      <c r="E277" s="1" t="s">
        <v>65</v>
      </c>
      <c r="F277" s="1" t="s">
        <v>1170</v>
      </c>
      <c r="G277" s="1" t="s">
        <v>1171</v>
      </c>
      <c r="H277" t="str">
        <f>"0812994868"</f>
        <v>0812994868</v>
      </c>
      <c r="I277" t="str">
        <f>"9780812994865"</f>
        <v>9780812994865</v>
      </c>
      <c r="J277" s="1">
        <v>5.0</v>
      </c>
      <c r="K277" s="1">
        <v>3.79</v>
      </c>
      <c r="L277" s="1" t="s">
        <v>253</v>
      </c>
      <c r="M277" s="1" t="s">
        <v>55</v>
      </c>
      <c r="N277" s="1">
        <v>135.0</v>
      </c>
      <c r="O277" s="1">
        <v>2013.0</v>
      </c>
      <c r="P277" s="1">
        <v>2005.0</v>
      </c>
      <c r="R277" s="2">
        <v>41553.0</v>
      </c>
      <c r="U277" s="1" t="s">
        <v>41</v>
      </c>
      <c r="Y277" s="1">
        <v>1.0</v>
      </c>
      <c r="AB277" s="1">
        <v>0.0</v>
      </c>
    </row>
    <row r="278">
      <c r="A278" s="1">
        <v>727305.0</v>
      </c>
      <c r="B278" s="1" t="s">
        <v>1172</v>
      </c>
      <c r="C278" s="1" t="s">
        <v>1173</v>
      </c>
      <c r="D278" s="1" t="s">
        <v>120</v>
      </c>
      <c r="E278" s="1" t="s">
        <v>278</v>
      </c>
      <c r="F278" s="1" t="s">
        <v>1174</v>
      </c>
      <c r="H278" t="str">
        <f>"2070302393"</f>
        <v>2070302393</v>
      </c>
      <c r="I278" t="str">
        <f>"9782070302390"</f>
        <v>9782070302390</v>
      </c>
      <c r="J278" s="1">
        <v>5.0</v>
      </c>
      <c r="K278" s="1">
        <v>3.76</v>
      </c>
      <c r="L278" s="1" t="s">
        <v>991</v>
      </c>
      <c r="M278" s="1" t="s">
        <v>40</v>
      </c>
      <c r="N278" s="1">
        <v>228.0</v>
      </c>
      <c r="O278" s="1">
        <v>2003.0</v>
      </c>
      <c r="P278" s="1">
        <v>1759.0</v>
      </c>
      <c r="Q278" s="2">
        <v>41550.0</v>
      </c>
      <c r="R278" s="2">
        <v>41541.0</v>
      </c>
      <c r="U278" s="1" t="s">
        <v>41</v>
      </c>
      <c r="Y278" s="1">
        <v>1.0</v>
      </c>
      <c r="AB278" s="1">
        <v>0.0</v>
      </c>
    </row>
    <row r="279">
      <c r="A279" s="1">
        <v>1.1324722E7</v>
      </c>
      <c r="B279" s="1" t="s">
        <v>1175</v>
      </c>
      <c r="C279" s="1" t="s">
        <v>1176</v>
      </c>
      <c r="D279" s="1" t="s">
        <v>71</v>
      </c>
      <c r="E279" s="1" t="s">
        <v>65</v>
      </c>
      <c r="F279" s="1" t="s">
        <v>1177</v>
      </c>
      <c r="H279" t="str">
        <f>"0307377903"</f>
        <v>0307377903</v>
      </c>
      <c r="I279" t="str">
        <f>"9780307377906"</f>
        <v>9780307377906</v>
      </c>
      <c r="J279" s="1">
        <v>4.0</v>
      </c>
      <c r="K279" s="1">
        <v>4.2</v>
      </c>
      <c r="L279" s="1" t="s">
        <v>274</v>
      </c>
      <c r="M279" s="1" t="s">
        <v>55</v>
      </c>
      <c r="N279" s="1">
        <v>419.0</v>
      </c>
      <c r="O279" s="1">
        <v>2012.0</v>
      </c>
      <c r="P279" s="1">
        <v>2012.0</v>
      </c>
      <c r="Q279" s="2">
        <v>41548.0</v>
      </c>
      <c r="R279" s="2">
        <v>41533.0</v>
      </c>
      <c r="U279" s="1" t="s">
        <v>41</v>
      </c>
      <c r="Y279" s="1">
        <v>1.0</v>
      </c>
      <c r="AB279" s="1">
        <v>0.0</v>
      </c>
    </row>
    <row r="280">
      <c r="A280" s="1">
        <v>6324725.0</v>
      </c>
      <c r="B280" s="1" t="s">
        <v>1178</v>
      </c>
      <c r="C280" s="1" t="s">
        <v>1179</v>
      </c>
      <c r="D280" s="1" t="s">
        <v>35</v>
      </c>
      <c r="E280" s="1" t="s">
        <v>65</v>
      </c>
      <c r="F280" s="1" t="s">
        <v>1180</v>
      </c>
      <c r="H280" t="str">
        <f t="shared" ref="H280:I280" si="28">""</f>
        <v/>
      </c>
      <c r="I280" t="str">
        <f t="shared" si="28"/>
        <v/>
      </c>
      <c r="J280" s="1">
        <v>4.0</v>
      </c>
      <c r="K280" s="1">
        <v>4.31</v>
      </c>
      <c r="M280" s="1" t="s">
        <v>489</v>
      </c>
      <c r="N280" s="1">
        <v>20.0</v>
      </c>
      <c r="O280" s="1">
        <v>1946.0</v>
      </c>
      <c r="P280" s="1">
        <v>1946.0</v>
      </c>
      <c r="R280" s="2">
        <v>41536.0</v>
      </c>
      <c r="U280" s="1" t="s">
        <v>41</v>
      </c>
      <c r="Y280" s="1">
        <v>1.0</v>
      </c>
      <c r="AB280" s="1">
        <v>0.0</v>
      </c>
    </row>
    <row r="281">
      <c r="A281" s="1">
        <v>1.5943721E7</v>
      </c>
      <c r="B281" s="1" t="s">
        <v>1181</v>
      </c>
      <c r="C281" s="1" t="s">
        <v>1182</v>
      </c>
      <c r="D281" s="1" t="s">
        <v>35</v>
      </c>
      <c r="E281" s="1" t="s">
        <v>65</v>
      </c>
      <c r="F281" s="1" t="s">
        <v>1183</v>
      </c>
      <c r="H281" t="str">
        <f>"1408822423"</f>
        <v>1408822423</v>
      </c>
      <c r="I281" t="str">
        <f>"9781408822425"</f>
        <v>9781408822425</v>
      </c>
      <c r="J281" s="1">
        <v>3.0</v>
      </c>
      <c r="K281" s="1">
        <v>3.58</v>
      </c>
      <c r="L281" s="1" t="s">
        <v>650</v>
      </c>
      <c r="M281" s="1" t="s">
        <v>40</v>
      </c>
      <c r="N281" s="1">
        <v>343.0</v>
      </c>
      <c r="O281" s="1">
        <v>2012.0</v>
      </c>
      <c r="P281" s="1">
        <v>2011.0</v>
      </c>
      <c r="Q281" s="2">
        <v>41532.0</v>
      </c>
      <c r="R281" s="2">
        <v>41516.0</v>
      </c>
      <c r="U281" s="1" t="s">
        <v>41</v>
      </c>
      <c r="Y281" s="1">
        <v>1.0</v>
      </c>
      <c r="AB281" s="1">
        <v>0.0</v>
      </c>
    </row>
    <row r="282">
      <c r="A282" s="1">
        <v>896800.0</v>
      </c>
      <c r="B282" s="1" t="s">
        <v>1184</v>
      </c>
      <c r="C282" s="1" t="s">
        <v>1185</v>
      </c>
      <c r="D282" s="1" t="s">
        <v>120</v>
      </c>
      <c r="E282" s="1" t="s">
        <v>278</v>
      </c>
      <c r="F282" s="1" t="s">
        <v>1186</v>
      </c>
      <c r="H282" t="str">
        <f>"2253010251"</f>
        <v>2253010251</v>
      </c>
      <c r="I282" t="str">
        <f>"9782253010258"</f>
        <v>9782253010258</v>
      </c>
      <c r="J282" s="1">
        <v>5.0</v>
      </c>
      <c r="K282" s="1">
        <v>3.78</v>
      </c>
      <c r="L282" s="1" t="s">
        <v>983</v>
      </c>
      <c r="M282" s="1" t="s">
        <v>238</v>
      </c>
      <c r="N282" s="1">
        <v>124.0</v>
      </c>
      <c r="O282" s="1">
        <v>2013.0</v>
      </c>
      <c r="P282" s="1">
        <v>1929.0</v>
      </c>
      <c r="R282" s="2">
        <v>41532.0</v>
      </c>
      <c r="U282" s="1" t="s">
        <v>41</v>
      </c>
      <c r="Y282" s="1">
        <v>1.0</v>
      </c>
      <c r="AB282" s="1">
        <v>0.0</v>
      </c>
    </row>
    <row r="283">
      <c r="A283" s="1">
        <v>1.8068669E7</v>
      </c>
      <c r="B283" s="1" t="s">
        <v>1187</v>
      </c>
      <c r="C283" s="1" t="s">
        <v>1188</v>
      </c>
      <c r="D283" s="1" t="s">
        <v>50</v>
      </c>
      <c r="E283" s="1" t="s">
        <v>36</v>
      </c>
      <c r="F283" s="1" t="s">
        <v>1189</v>
      </c>
      <c r="H283" t="str">
        <f>""</f>
        <v/>
      </c>
      <c r="I283" t="str">
        <f>"9789735040420"</f>
        <v>9789735040420</v>
      </c>
      <c r="J283" s="1">
        <v>2.0</v>
      </c>
      <c r="K283" s="1">
        <v>3.52</v>
      </c>
      <c r="L283" s="1" t="s">
        <v>627</v>
      </c>
      <c r="M283" s="1" t="s">
        <v>40</v>
      </c>
      <c r="N283" s="1">
        <v>280.0</v>
      </c>
      <c r="O283" s="1">
        <v>2013.0</v>
      </c>
      <c r="P283" s="1">
        <v>2013.0</v>
      </c>
      <c r="Q283" s="2">
        <v>41516.0</v>
      </c>
      <c r="R283" s="2">
        <v>41512.0</v>
      </c>
      <c r="U283" s="1" t="s">
        <v>41</v>
      </c>
      <c r="Y283" s="1">
        <v>1.0</v>
      </c>
      <c r="AB283" s="1">
        <v>0.0</v>
      </c>
    </row>
    <row r="284">
      <c r="A284" s="1">
        <v>1.1173119E7</v>
      </c>
      <c r="B284" s="1" t="s">
        <v>1190</v>
      </c>
      <c r="C284" s="1" t="s">
        <v>1066</v>
      </c>
      <c r="D284" s="1" t="s">
        <v>95</v>
      </c>
      <c r="E284" s="1" t="s">
        <v>72</v>
      </c>
      <c r="F284" s="1" t="s">
        <v>1067</v>
      </c>
      <c r="G284" s="1" t="s">
        <v>1191</v>
      </c>
      <c r="H284" t="str">
        <f>"0241951526"</f>
        <v>0241951526</v>
      </c>
      <c r="I284" t="str">
        <f>"9780241951521"</f>
        <v>9780241951521</v>
      </c>
      <c r="J284" s="1">
        <v>4.0</v>
      </c>
      <c r="K284" s="1">
        <v>4.12</v>
      </c>
      <c r="L284" s="1" t="s">
        <v>1018</v>
      </c>
      <c r="M284" s="1" t="s">
        <v>238</v>
      </c>
      <c r="N284" s="1">
        <v>256.0</v>
      </c>
      <c r="O284" s="1">
        <v>2011.0</v>
      </c>
      <c r="P284" s="1">
        <v>1927.0</v>
      </c>
      <c r="Q284" s="2">
        <v>41523.0</v>
      </c>
      <c r="R284" s="2">
        <v>41518.0</v>
      </c>
      <c r="U284" s="1" t="s">
        <v>41</v>
      </c>
      <c r="Y284" s="1">
        <v>1.0</v>
      </c>
      <c r="AB284" s="1">
        <v>0.0</v>
      </c>
    </row>
    <row r="285">
      <c r="A285" s="1">
        <v>7875439.0</v>
      </c>
      <c r="B285" s="1" t="s">
        <v>1192</v>
      </c>
      <c r="C285" s="1" t="s">
        <v>1193</v>
      </c>
      <c r="D285" s="1" t="s">
        <v>71</v>
      </c>
      <c r="E285" s="1" t="s">
        <v>36</v>
      </c>
      <c r="F285" s="1" t="s">
        <v>1194</v>
      </c>
      <c r="H285" t="str">
        <f t="shared" ref="H285:I285" si="29">""</f>
        <v/>
      </c>
      <c r="I285" t="str">
        <f t="shared" si="29"/>
        <v/>
      </c>
      <c r="J285" s="1">
        <v>3.0</v>
      </c>
      <c r="K285" s="1">
        <v>4.33</v>
      </c>
      <c r="N285" s="1">
        <v>18.0</v>
      </c>
      <c r="P285" s="1">
        <v>1948.0</v>
      </c>
      <c r="R285" s="2">
        <v>41518.0</v>
      </c>
      <c r="U285" s="1" t="s">
        <v>41</v>
      </c>
      <c r="Y285" s="1">
        <v>1.0</v>
      </c>
      <c r="AB285" s="1">
        <v>0.0</v>
      </c>
    </row>
    <row r="286">
      <c r="A286" s="1">
        <v>2728972.0</v>
      </c>
      <c r="B286" s="1" t="s">
        <v>1195</v>
      </c>
      <c r="C286" s="1" t="s">
        <v>1196</v>
      </c>
      <c r="D286" s="1" t="s">
        <v>50</v>
      </c>
      <c r="E286" s="1" t="s">
        <v>36</v>
      </c>
      <c r="F286" s="1" t="s">
        <v>1197</v>
      </c>
      <c r="H286" t="str">
        <f>"9738746728"</f>
        <v>9738746728</v>
      </c>
      <c r="I286" t="str">
        <f>""</f>
        <v/>
      </c>
      <c r="J286" s="1">
        <v>4.0</v>
      </c>
      <c r="K286" s="1">
        <v>4.14</v>
      </c>
      <c r="L286" s="1" t="s">
        <v>1198</v>
      </c>
      <c r="M286" s="1" t="s">
        <v>40</v>
      </c>
      <c r="N286" s="1">
        <v>382.0</v>
      </c>
      <c r="O286" s="1">
        <v>2005.0</v>
      </c>
      <c r="P286" s="1">
        <v>1944.0</v>
      </c>
      <c r="R286" s="2">
        <v>41518.0</v>
      </c>
      <c r="U286" s="1" t="s">
        <v>41</v>
      </c>
      <c r="Y286" s="1">
        <v>1.0</v>
      </c>
      <c r="AB286" s="1">
        <v>0.0</v>
      </c>
    </row>
    <row r="287">
      <c r="A287" s="1">
        <v>859860.0</v>
      </c>
      <c r="B287" s="1" t="s">
        <v>1199</v>
      </c>
      <c r="C287" s="1" t="s">
        <v>298</v>
      </c>
      <c r="D287" s="1" t="s">
        <v>299</v>
      </c>
      <c r="E287" s="1" t="s">
        <v>45</v>
      </c>
      <c r="F287" s="1" t="s">
        <v>300</v>
      </c>
      <c r="H287" t="str">
        <f>"8497592441"</f>
        <v>8497592441</v>
      </c>
      <c r="I287" t="str">
        <f>"9788497592444"</f>
        <v>9788497592444</v>
      </c>
      <c r="J287" s="1">
        <v>4.0</v>
      </c>
      <c r="K287" s="1">
        <v>4.02</v>
      </c>
      <c r="L287" s="1" t="s">
        <v>1200</v>
      </c>
      <c r="M287" s="1" t="s">
        <v>40</v>
      </c>
      <c r="N287" s="1">
        <v>220.0</v>
      </c>
      <c r="O287" s="1">
        <v>2003.0</v>
      </c>
      <c r="P287" s="1">
        <v>1992.0</v>
      </c>
      <c r="Q287" s="2">
        <v>41511.0</v>
      </c>
      <c r="R287" s="2">
        <v>41496.0</v>
      </c>
      <c r="U287" s="1" t="s">
        <v>41</v>
      </c>
      <c r="Y287" s="1">
        <v>1.0</v>
      </c>
      <c r="AB287" s="1">
        <v>0.0</v>
      </c>
    </row>
    <row r="288">
      <c r="A288" s="1">
        <v>9518873.0</v>
      </c>
      <c r="B288" s="1" t="s">
        <v>1201</v>
      </c>
      <c r="C288" s="1" t="s">
        <v>792</v>
      </c>
      <c r="D288" s="1" t="s">
        <v>71</v>
      </c>
      <c r="E288" s="1" t="s">
        <v>65</v>
      </c>
      <c r="F288" s="1" t="s">
        <v>793</v>
      </c>
      <c r="H288" t="str">
        <f>"0061995045"</f>
        <v>0061995045</v>
      </c>
      <c r="I288" t="str">
        <f>"9780061995040"</f>
        <v>9780061995040</v>
      </c>
      <c r="J288" s="1">
        <v>5.0</v>
      </c>
      <c r="K288" s="1">
        <v>4.01</v>
      </c>
      <c r="L288" s="1" t="s">
        <v>451</v>
      </c>
      <c r="M288" s="1" t="s">
        <v>40</v>
      </c>
      <c r="N288" s="1">
        <v>368.0</v>
      </c>
      <c r="O288" s="1">
        <v>2011.0</v>
      </c>
      <c r="P288" s="1">
        <v>2010.0</v>
      </c>
      <c r="Q288" s="2">
        <v>41506.0</v>
      </c>
      <c r="R288" s="2">
        <v>41500.0</v>
      </c>
      <c r="U288" s="1" t="s">
        <v>41</v>
      </c>
      <c r="Y288" s="1">
        <v>1.0</v>
      </c>
      <c r="AB288" s="1">
        <v>0.0</v>
      </c>
    </row>
    <row r="289">
      <c r="A289" s="1">
        <v>5907.0</v>
      </c>
      <c r="B289" s="1" t="s">
        <v>1202</v>
      </c>
      <c r="C289" s="1" t="s">
        <v>1203</v>
      </c>
      <c r="D289" s="1" t="s">
        <v>35</v>
      </c>
      <c r="E289" s="1" t="s">
        <v>65</v>
      </c>
      <c r="F289" s="1" t="s">
        <v>1204</v>
      </c>
      <c r="H289" t="str">
        <f>"0618260307"</f>
        <v>0618260307</v>
      </c>
      <c r="I289" t="str">
        <f>"9780618260300"</f>
        <v>9780618260300</v>
      </c>
      <c r="J289" s="1">
        <v>4.0</v>
      </c>
      <c r="K289" s="1">
        <v>4.26</v>
      </c>
      <c r="L289" s="1" t="s">
        <v>1205</v>
      </c>
      <c r="M289" s="1" t="s">
        <v>40</v>
      </c>
      <c r="N289" s="1">
        <v>366.0</v>
      </c>
      <c r="O289" s="1">
        <v>2002.0</v>
      </c>
      <c r="P289" s="1">
        <v>1937.0</v>
      </c>
      <c r="R289" s="2">
        <v>41169.0</v>
      </c>
      <c r="U289" s="1" t="s">
        <v>41</v>
      </c>
      <c r="Y289" s="1">
        <v>1.0</v>
      </c>
      <c r="AB289" s="1">
        <v>0.0</v>
      </c>
    </row>
    <row r="290">
      <c r="A290" s="1">
        <v>92303.0</v>
      </c>
      <c r="B290" s="1" t="s">
        <v>1206</v>
      </c>
      <c r="C290" s="1" t="s">
        <v>1207</v>
      </c>
      <c r="D290" s="1" t="s">
        <v>304</v>
      </c>
      <c r="E290" s="1" t="s">
        <v>65</v>
      </c>
      <c r="F290" s="1" t="s">
        <v>1208</v>
      </c>
      <c r="H290" t="str">
        <f>"158049580X"</f>
        <v>158049580X</v>
      </c>
      <c r="I290" t="str">
        <f>"9781580495806"</f>
        <v>9781580495806</v>
      </c>
      <c r="J290" s="1">
        <v>3.0</v>
      </c>
      <c r="K290" s="1">
        <v>4.17</v>
      </c>
      <c r="L290" s="1" t="s">
        <v>1209</v>
      </c>
      <c r="M290" s="1" t="s">
        <v>40</v>
      </c>
      <c r="N290" s="1">
        <v>76.0</v>
      </c>
      <c r="O290" s="1">
        <v>2005.0</v>
      </c>
      <c r="P290" s="1">
        <v>1895.0</v>
      </c>
      <c r="R290" s="2">
        <v>41169.0</v>
      </c>
      <c r="U290" s="1" t="s">
        <v>41</v>
      </c>
      <c r="Y290" s="1">
        <v>1.0</v>
      </c>
      <c r="AB290" s="1">
        <v>0.0</v>
      </c>
    </row>
    <row r="291">
      <c r="A291" s="1">
        <v>3431.0</v>
      </c>
      <c r="B291" s="1" t="s">
        <v>1210</v>
      </c>
      <c r="C291" s="1" t="s">
        <v>1211</v>
      </c>
      <c r="D291" s="1" t="s">
        <v>71</v>
      </c>
      <c r="E291" s="1" t="s">
        <v>36</v>
      </c>
      <c r="F291" s="1" t="s">
        <v>1212</v>
      </c>
      <c r="H291" t="str">
        <f>"1401308589"</f>
        <v>1401308589</v>
      </c>
      <c r="I291" t="str">
        <f>"9781401308582"</f>
        <v>9781401308582</v>
      </c>
      <c r="J291" s="1">
        <v>3.0</v>
      </c>
      <c r="K291" s="1">
        <v>3.91</v>
      </c>
      <c r="L291" s="1" t="s">
        <v>1213</v>
      </c>
      <c r="M291" s="1" t="s">
        <v>40</v>
      </c>
      <c r="N291" s="1">
        <v>196.0</v>
      </c>
      <c r="O291" s="1">
        <v>2003.0</v>
      </c>
      <c r="P291" s="1">
        <v>2000.0</v>
      </c>
      <c r="R291" s="2">
        <v>41169.0</v>
      </c>
      <c r="U291" s="1" t="s">
        <v>41</v>
      </c>
      <c r="Y291" s="1">
        <v>1.0</v>
      </c>
      <c r="AB291" s="1">
        <v>0.0</v>
      </c>
    </row>
    <row r="292">
      <c r="A292" s="1">
        <v>517188.0</v>
      </c>
      <c r="B292" s="1" t="s">
        <v>1214</v>
      </c>
      <c r="C292" s="1" t="s">
        <v>1215</v>
      </c>
      <c r="D292" s="1" t="s">
        <v>35</v>
      </c>
      <c r="E292" s="1" t="s">
        <v>36</v>
      </c>
      <c r="F292" s="1" t="s">
        <v>1216</v>
      </c>
      <c r="H292" t="str">
        <f>"0060931736"</f>
        <v>0060931736</v>
      </c>
      <c r="I292" t="str">
        <f>"9780060931735"</f>
        <v>9780060931735</v>
      </c>
      <c r="J292" s="1">
        <v>3.0</v>
      </c>
      <c r="K292" s="1">
        <v>3.75</v>
      </c>
      <c r="L292" s="1" t="s">
        <v>451</v>
      </c>
      <c r="M292" s="1" t="s">
        <v>40</v>
      </c>
      <c r="N292" s="1">
        <v>150.0</v>
      </c>
      <c r="O292" s="1">
        <v>1999.0</v>
      </c>
      <c r="P292" s="1">
        <v>1961.0</v>
      </c>
      <c r="R292" s="2">
        <v>41169.0</v>
      </c>
      <c r="U292" s="1" t="s">
        <v>41</v>
      </c>
      <c r="Y292" s="1">
        <v>1.0</v>
      </c>
      <c r="AB292" s="1">
        <v>0.0</v>
      </c>
    </row>
    <row r="293">
      <c r="A293" s="1">
        <v>250113.0</v>
      </c>
      <c r="B293" s="1" t="s">
        <v>1217</v>
      </c>
      <c r="C293" s="1" t="s">
        <v>1218</v>
      </c>
      <c r="D293" s="1" t="s">
        <v>64</v>
      </c>
      <c r="E293" s="1" t="s">
        <v>36</v>
      </c>
      <c r="F293" s="1" t="s">
        <v>1219</v>
      </c>
      <c r="G293" s="1" t="s">
        <v>1220</v>
      </c>
      <c r="H293" t="str">
        <f>"0810117096"</f>
        <v>0810117096</v>
      </c>
      <c r="I293" t="str">
        <f>"9780810117099"</f>
        <v>9780810117099</v>
      </c>
      <c r="J293" s="1">
        <v>4.0</v>
      </c>
      <c r="K293" s="1">
        <v>3.88</v>
      </c>
      <c r="L293" s="1" t="s">
        <v>1221</v>
      </c>
      <c r="M293" s="1" t="s">
        <v>40</v>
      </c>
      <c r="N293" s="1">
        <v>204.0</v>
      </c>
      <c r="O293" s="1">
        <v>1998.0</v>
      </c>
      <c r="P293" s="1">
        <v>1934.0</v>
      </c>
      <c r="R293" s="2">
        <v>41169.0</v>
      </c>
      <c r="U293" s="1" t="s">
        <v>41</v>
      </c>
      <c r="Y293" s="1">
        <v>1.0</v>
      </c>
      <c r="AB293" s="1">
        <v>0.0</v>
      </c>
    </row>
    <row r="294">
      <c r="A294" s="1">
        <v>91746.0</v>
      </c>
      <c r="B294" s="1" t="s">
        <v>1222</v>
      </c>
      <c r="C294" s="1" t="s">
        <v>1223</v>
      </c>
      <c r="D294" s="1" t="s">
        <v>1224</v>
      </c>
      <c r="E294" s="1" t="s">
        <v>36</v>
      </c>
      <c r="F294" s="1" t="s">
        <v>1225</v>
      </c>
      <c r="G294" s="1" t="s">
        <v>1226</v>
      </c>
      <c r="H294" t="str">
        <f>"0971457832"</f>
        <v>0971457832</v>
      </c>
      <c r="I294" t="str">
        <f>"9780971457836"</f>
        <v>9780971457836</v>
      </c>
      <c r="J294" s="1">
        <v>4.0</v>
      </c>
      <c r="K294" s="1">
        <v>3.85</v>
      </c>
      <c r="L294" s="1" t="s">
        <v>1227</v>
      </c>
      <c r="M294" s="1" t="s">
        <v>40</v>
      </c>
      <c r="N294" s="1">
        <v>274.0</v>
      </c>
      <c r="O294" s="1">
        <v>2007.0</v>
      </c>
      <c r="P294" s="1">
        <v>1964.0</v>
      </c>
      <c r="R294" s="2">
        <v>41169.0</v>
      </c>
      <c r="U294" s="1" t="s">
        <v>41</v>
      </c>
      <c r="Y294" s="1">
        <v>1.0</v>
      </c>
      <c r="AB294" s="1">
        <v>0.0</v>
      </c>
    </row>
    <row r="295">
      <c r="A295" s="1">
        <v>3378.0</v>
      </c>
      <c r="B295" s="1" t="s">
        <v>1228</v>
      </c>
      <c r="C295" s="1" t="s">
        <v>1229</v>
      </c>
      <c r="D295" s="1" t="s">
        <v>1230</v>
      </c>
      <c r="E295" s="1" t="s">
        <v>36</v>
      </c>
      <c r="F295" s="1" t="s">
        <v>1231</v>
      </c>
      <c r="H295" t="str">
        <f>"0349108390"</f>
        <v>0349108390</v>
      </c>
      <c r="I295" t="str">
        <f>"9780349108391"</f>
        <v>9780349108391</v>
      </c>
      <c r="J295" s="1">
        <v>4.0</v>
      </c>
      <c r="K295" s="1">
        <v>3.73</v>
      </c>
      <c r="L295" s="1" t="s">
        <v>1232</v>
      </c>
      <c r="M295" s="1" t="s">
        <v>40</v>
      </c>
      <c r="N295" s="1">
        <v>211.0</v>
      </c>
      <c r="O295" s="1">
        <v>1996.0</v>
      </c>
      <c r="P295" s="1">
        <v>1991.0</v>
      </c>
      <c r="R295" s="2">
        <v>41169.0</v>
      </c>
      <c r="U295" s="1" t="s">
        <v>41</v>
      </c>
      <c r="Y295" s="1">
        <v>1.0</v>
      </c>
      <c r="AB295" s="1">
        <v>0.0</v>
      </c>
    </row>
    <row r="296">
      <c r="A296" s="1">
        <v>23940.0</v>
      </c>
      <c r="B296" s="1" t="s">
        <v>1233</v>
      </c>
      <c r="C296" s="1" t="s">
        <v>325</v>
      </c>
      <c r="D296" s="1" t="s">
        <v>71</v>
      </c>
      <c r="E296" s="1" t="s">
        <v>65</v>
      </c>
      <c r="F296" s="1" t="s">
        <v>326</v>
      </c>
      <c r="G296" s="1" t="s">
        <v>1234</v>
      </c>
      <c r="H296" t="str">
        <f>"0142003166"</f>
        <v>0142003166</v>
      </c>
      <c r="I296" t="str">
        <f>"9780142003169"</f>
        <v>9780142003169</v>
      </c>
      <c r="J296" s="1">
        <v>3.0</v>
      </c>
      <c r="K296" s="1">
        <v>3.85</v>
      </c>
      <c r="L296" s="1" t="s">
        <v>1018</v>
      </c>
      <c r="M296" s="1" t="s">
        <v>40</v>
      </c>
      <c r="N296" s="1">
        <v>208.0</v>
      </c>
      <c r="O296" s="1">
        <v>2003.0</v>
      </c>
      <c r="P296" s="1">
        <v>1953.0</v>
      </c>
      <c r="Q296" s="4">
        <v>41272.0</v>
      </c>
      <c r="R296" s="4">
        <v>41270.0</v>
      </c>
      <c r="U296" s="1" t="s">
        <v>41</v>
      </c>
      <c r="Y296" s="1">
        <v>1.0</v>
      </c>
      <c r="AB296" s="1">
        <v>0.0</v>
      </c>
    </row>
    <row r="297">
      <c r="A297" s="1">
        <v>5015.0</v>
      </c>
      <c r="B297" s="1" t="s">
        <v>1235</v>
      </c>
      <c r="C297" s="1" t="s">
        <v>1236</v>
      </c>
      <c r="D297" s="1" t="s">
        <v>35</v>
      </c>
      <c r="E297" s="1" t="s">
        <v>36</v>
      </c>
      <c r="F297" s="1" t="s">
        <v>1237</v>
      </c>
      <c r="H297" t="str">
        <f>"1400076196"</f>
        <v>1400076196</v>
      </c>
      <c r="I297" t="str">
        <f>"9781400076192"</f>
        <v>9781400076192</v>
      </c>
      <c r="J297" s="1">
        <v>2.0</v>
      </c>
      <c r="K297" s="1">
        <v>3.63</v>
      </c>
      <c r="L297" s="1" t="s">
        <v>169</v>
      </c>
      <c r="M297" s="1" t="s">
        <v>40</v>
      </c>
      <c r="N297" s="1">
        <v>289.0</v>
      </c>
      <c r="O297" s="1">
        <v>2006.0</v>
      </c>
      <c r="P297" s="1">
        <v>2005.0</v>
      </c>
      <c r="Q297" s="2">
        <v>41459.0</v>
      </c>
      <c r="R297" s="2">
        <v>41458.0</v>
      </c>
      <c r="U297" s="1" t="s">
        <v>41</v>
      </c>
      <c r="Y297" s="1">
        <v>1.0</v>
      </c>
      <c r="AB297" s="1">
        <v>0.0</v>
      </c>
    </row>
    <row r="298">
      <c r="A298" s="1">
        <v>1.5715241E7</v>
      </c>
      <c r="B298" s="1" t="s">
        <v>1238</v>
      </c>
      <c r="C298" s="1" t="s">
        <v>1188</v>
      </c>
      <c r="D298" s="1" t="s">
        <v>50</v>
      </c>
      <c r="E298" s="1" t="s">
        <v>36</v>
      </c>
      <c r="F298" s="1" t="s">
        <v>1189</v>
      </c>
      <c r="H298" t="str">
        <f>""</f>
        <v/>
      </c>
      <c r="I298" t="str">
        <f>"9789735034924"</f>
        <v>9789735034924</v>
      </c>
      <c r="J298" s="1">
        <v>4.0</v>
      </c>
      <c r="K298" s="1">
        <v>3.57</v>
      </c>
      <c r="L298" s="1" t="s">
        <v>627</v>
      </c>
      <c r="M298" s="1" t="s">
        <v>40</v>
      </c>
      <c r="N298" s="1">
        <v>280.0</v>
      </c>
      <c r="O298" s="1">
        <v>2012.0</v>
      </c>
      <c r="P298" s="1">
        <v>2012.0</v>
      </c>
      <c r="Q298" s="2">
        <v>41493.0</v>
      </c>
      <c r="R298" s="2">
        <v>41491.0</v>
      </c>
      <c r="U298" s="1" t="s">
        <v>41</v>
      </c>
      <c r="Y298" s="1">
        <v>1.0</v>
      </c>
      <c r="AB298" s="1">
        <v>0.0</v>
      </c>
    </row>
    <row r="299">
      <c r="A299" s="1">
        <v>1.325927E7</v>
      </c>
      <c r="B299" s="1" t="s">
        <v>1239</v>
      </c>
      <c r="C299" s="1" t="s">
        <v>1240</v>
      </c>
      <c r="D299" s="1" t="s">
        <v>71</v>
      </c>
      <c r="E299" s="1" t="s">
        <v>65</v>
      </c>
      <c r="F299" s="1" t="s">
        <v>1241</v>
      </c>
      <c r="H299" t="str">
        <f>"1451683405"</f>
        <v>1451683405</v>
      </c>
      <c r="I299" t="str">
        <f>"9781451683400"</f>
        <v>9781451683400</v>
      </c>
      <c r="J299" s="1">
        <v>3.0</v>
      </c>
      <c r="K299" s="1">
        <v>3.85</v>
      </c>
      <c r="L299" s="1" t="s">
        <v>395</v>
      </c>
      <c r="M299" s="1" t="s">
        <v>40</v>
      </c>
      <c r="N299" s="1">
        <v>83.0</v>
      </c>
      <c r="O299" s="1">
        <v>2012.0</v>
      </c>
      <c r="P299" s="1">
        <v>2012.0</v>
      </c>
      <c r="R299" s="2">
        <v>41491.0</v>
      </c>
      <c r="U299" s="1" t="s">
        <v>41</v>
      </c>
      <c r="Y299" s="1">
        <v>1.0</v>
      </c>
      <c r="AB299" s="1">
        <v>0.0</v>
      </c>
    </row>
    <row r="300">
      <c r="A300" s="1">
        <v>1480755.0</v>
      </c>
      <c r="B300" s="1" t="s">
        <v>1242</v>
      </c>
      <c r="C300" s="1" t="s">
        <v>1243</v>
      </c>
      <c r="D300" s="1" t="s">
        <v>120</v>
      </c>
      <c r="E300" s="1" t="s">
        <v>36</v>
      </c>
      <c r="F300" s="1" t="s">
        <v>1244</v>
      </c>
      <c r="H300" t="str">
        <f>"2213625069"</f>
        <v>2213625069</v>
      </c>
      <c r="I300" t="str">
        <f>"9782213625065"</f>
        <v>9782213625065</v>
      </c>
      <c r="J300" s="1">
        <v>4.0</v>
      </c>
      <c r="K300" s="1">
        <v>3.48</v>
      </c>
      <c r="L300" s="1" t="s">
        <v>1245</v>
      </c>
      <c r="M300" s="1" t="s">
        <v>40</v>
      </c>
      <c r="N300" s="1">
        <v>198.0</v>
      </c>
      <c r="O300" s="1">
        <v>2006.0</v>
      </c>
      <c r="P300" s="1">
        <v>2006.0</v>
      </c>
      <c r="R300" s="2">
        <v>41491.0</v>
      </c>
      <c r="U300" s="1" t="s">
        <v>41</v>
      </c>
      <c r="Y300" s="1">
        <v>1.0</v>
      </c>
      <c r="AB300" s="1">
        <v>0.0</v>
      </c>
    </row>
    <row r="301">
      <c r="A301" s="1">
        <v>413177.0</v>
      </c>
      <c r="B301" s="1" t="s">
        <v>1246</v>
      </c>
      <c r="C301" s="1" t="s">
        <v>1247</v>
      </c>
      <c r="D301" s="1" t="s">
        <v>71</v>
      </c>
      <c r="E301" s="1" t="s">
        <v>36</v>
      </c>
      <c r="F301" s="1" t="s">
        <v>1248</v>
      </c>
      <c r="H301" t="str">
        <f>"0060798688"</f>
        <v>0060798688</v>
      </c>
      <c r="I301" t="str">
        <f>"9780060798680"</f>
        <v>9780060798680</v>
      </c>
      <c r="J301" s="1">
        <v>5.0</v>
      </c>
      <c r="K301" s="1">
        <v>3.73</v>
      </c>
      <c r="L301" s="1" t="s">
        <v>451</v>
      </c>
      <c r="M301" s="1" t="s">
        <v>40</v>
      </c>
      <c r="N301" s="1">
        <v>142.0</v>
      </c>
      <c r="O301" s="1">
        <v>2006.0</v>
      </c>
      <c r="P301" s="1">
        <v>2005.0</v>
      </c>
      <c r="R301" s="2">
        <v>41491.0</v>
      </c>
      <c r="U301" s="1" t="s">
        <v>41</v>
      </c>
      <c r="Y301" s="1">
        <v>1.0</v>
      </c>
      <c r="AB301" s="1">
        <v>0.0</v>
      </c>
    </row>
    <row r="302">
      <c r="A302" s="1">
        <v>2984639.0</v>
      </c>
      <c r="B302" s="1" t="s">
        <v>1249</v>
      </c>
      <c r="C302" s="1" t="s">
        <v>1250</v>
      </c>
      <c r="D302" s="1" t="s">
        <v>35</v>
      </c>
      <c r="E302" s="1" t="s">
        <v>65</v>
      </c>
      <c r="F302" s="1" t="s">
        <v>1251</v>
      </c>
      <c r="H302" t="str">
        <f>"0141025980"</f>
        <v>0141025980</v>
      </c>
      <c r="I302" t="str">
        <f>"9780141025988"</f>
        <v>9780141025988</v>
      </c>
      <c r="J302" s="1">
        <v>3.0</v>
      </c>
      <c r="K302" s="1">
        <v>3.9</v>
      </c>
      <c r="L302" s="1" t="s">
        <v>1018</v>
      </c>
      <c r="M302" s="1" t="s">
        <v>40</v>
      </c>
      <c r="N302" s="1">
        <v>342.0</v>
      </c>
      <c r="O302" s="1">
        <v>2008.0</v>
      </c>
      <c r="P302" s="1">
        <v>2007.0</v>
      </c>
      <c r="Q302" s="2">
        <v>41486.0</v>
      </c>
      <c r="R302" s="2">
        <v>41479.0</v>
      </c>
      <c r="U302" s="1" t="s">
        <v>41</v>
      </c>
      <c r="Y302" s="1">
        <v>1.0</v>
      </c>
      <c r="AB302" s="1">
        <v>0.0</v>
      </c>
    </row>
    <row r="303" hidden="1">
      <c r="A303" s="1">
        <v>1.3252205E7</v>
      </c>
      <c r="B303" s="1" t="s">
        <v>1252</v>
      </c>
      <c r="C303" s="1" t="s">
        <v>1253</v>
      </c>
      <c r="D303" s="1"/>
      <c r="E303" s="1"/>
      <c r="F303" s="1" t="s">
        <v>1254</v>
      </c>
      <c r="H303" t="str">
        <f>"0393065871"</f>
        <v>0393065871</v>
      </c>
      <c r="I303" t="str">
        <f>"9780393065879"</f>
        <v>9780393065879</v>
      </c>
      <c r="J303" s="1">
        <v>0.0</v>
      </c>
      <c r="K303" s="1">
        <v>3.9</v>
      </c>
      <c r="L303" s="1" t="s">
        <v>346</v>
      </c>
      <c r="M303" s="1" t="s">
        <v>55</v>
      </c>
      <c r="N303" s="1">
        <v>432.0</v>
      </c>
      <c r="O303" s="1">
        <v>2012.0</v>
      </c>
      <c r="P303" s="1">
        <v>2012.0</v>
      </c>
      <c r="R303" s="2">
        <v>41486.0</v>
      </c>
      <c r="S303" s="1" t="s">
        <v>56</v>
      </c>
      <c r="T303" s="1" t="s">
        <v>1255</v>
      </c>
      <c r="U303" s="1" t="s">
        <v>56</v>
      </c>
      <c r="Y303" s="1">
        <v>0.0</v>
      </c>
      <c r="AB303" s="1">
        <v>0.0</v>
      </c>
    </row>
    <row r="304">
      <c r="A304" s="1">
        <v>397.0</v>
      </c>
      <c r="B304" s="1" t="s">
        <v>1256</v>
      </c>
      <c r="C304" s="1" t="s">
        <v>1257</v>
      </c>
      <c r="D304" s="1" t="s">
        <v>71</v>
      </c>
      <c r="E304" s="1" t="s">
        <v>65</v>
      </c>
      <c r="F304" s="1" t="s">
        <v>1258</v>
      </c>
      <c r="G304" s="1" t="s">
        <v>1259</v>
      </c>
      <c r="H304" t="str">
        <f>"0395883970"</f>
        <v>0395883970</v>
      </c>
      <c r="I304" t="str">
        <f>"9780395883976"</f>
        <v>9780395883976</v>
      </c>
      <c r="J304" s="1">
        <v>3.0</v>
      </c>
      <c r="K304" s="1">
        <v>4.52</v>
      </c>
      <c r="L304" s="1" t="s">
        <v>1260</v>
      </c>
      <c r="M304" s="1" t="s">
        <v>40</v>
      </c>
      <c r="N304" s="1">
        <v>32.0</v>
      </c>
      <c r="O304" s="1">
        <v>1998.0</v>
      </c>
      <c r="P304" s="1">
        <v>1947.0</v>
      </c>
      <c r="R304" s="2">
        <v>41483.0</v>
      </c>
      <c r="U304" s="1" t="s">
        <v>41</v>
      </c>
      <c r="Y304" s="1">
        <v>1.0</v>
      </c>
      <c r="AB304" s="1">
        <v>0.0</v>
      </c>
    </row>
    <row r="305">
      <c r="A305" s="1">
        <v>971726.0</v>
      </c>
      <c r="B305" s="1" t="s">
        <v>1261</v>
      </c>
      <c r="C305" s="1" t="s">
        <v>989</v>
      </c>
      <c r="D305" s="1" t="s">
        <v>120</v>
      </c>
      <c r="E305" s="1" t="s">
        <v>278</v>
      </c>
      <c r="F305" s="1" t="s">
        <v>990</v>
      </c>
      <c r="H305" t="str">
        <f>"0134446798"</f>
        <v>0134446798</v>
      </c>
      <c r="I305" t="str">
        <f>"9780134446790"</f>
        <v>9780134446790</v>
      </c>
      <c r="J305" s="1">
        <v>5.0</v>
      </c>
      <c r="K305" s="1">
        <v>4.13</v>
      </c>
      <c r="L305" s="1" t="s">
        <v>1262</v>
      </c>
      <c r="M305" s="1" t="s">
        <v>40</v>
      </c>
      <c r="N305" s="1">
        <v>91.0</v>
      </c>
      <c r="O305" s="1">
        <v>1962.0</v>
      </c>
      <c r="P305" s="1">
        <v>1944.0</v>
      </c>
      <c r="R305" s="2">
        <v>41483.0</v>
      </c>
      <c r="U305" s="1" t="s">
        <v>41</v>
      </c>
      <c r="Y305" s="1">
        <v>1.0</v>
      </c>
      <c r="AB305" s="1">
        <v>0.0</v>
      </c>
    </row>
    <row r="306" hidden="1">
      <c r="A306" s="1">
        <v>165146.0</v>
      </c>
      <c r="B306" s="1" t="s">
        <v>1263</v>
      </c>
      <c r="C306" s="1" t="s">
        <v>1264</v>
      </c>
      <c r="D306" s="1"/>
      <c r="E306" s="1"/>
      <c r="F306" s="1" t="s">
        <v>1265</v>
      </c>
      <c r="H306" t="str">
        <f>"0393064492"</f>
        <v>0393064492</v>
      </c>
      <c r="I306" t="str">
        <f>"9780393064490"</f>
        <v>9780393064490</v>
      </c>
      <c r="J306" s="1">
        <v>0.0</v>
      </c>
      <c r="K306" s="1">
        <v>3.61</v>
      </c>
      <c r="L306" s="1" t="s">
        <v>111</v>
      </c>
      <c r="M306" s="1" t="s">
        <v>55</v>
      </c>
      <c r="N306" s="1">
        <v>256.0</v>
      </c>
      <c r="O306" s="1">
        <v>2007.0</v>
      </c>
      <c r="P306" s="1">
        <v>2006.0</v>
      </c>
      <c r="R306" s="2">
        <v>41479.0</v>
      </c>
      <c r="S306" s="1" t="s">
        <v>56</v>
      </c>
      <c r="T306" s="1" t="s">
        <v>1266</v>
      </c>
      <c r="U306" s="1" t="s">
        <v>56</v>
      </c>
      <c r="Y306" s="1">
        <v>0.0</v>
      </c>
      <c r="AB306" s="1">
        <v>0.0</v>
      </c>
    </row>
    <row r="307">
      <c r="A307" s="1">
        <v>1.5766601E7</v>
      </c>
      <c r="B307" s="1" t="s">
        <v>1267</v>
      </c>
      <c r="C307" s="1" t="s">
        <v>1268</v>
      </c>
      <c r="D307" s="1" t="s">
        <v>71</v>
      </c>
      <c r="E307" s="1" t="s">
        <v>65</v>
      </c>
      <c r="F307" s="1" t="s">
        <v>1269</v>
      </c>
      <c r="H307" t="str">
        <f>"0670024813"</f>
        <v>0670024813</v>
      </c>
      <c r="I307" t="str">
        <f>"9780670024810"</f>
        <v>9780670024810</v>
      </c>
      <c r="J307" s="1">
        <v>4.0</v>
      </c>
      <c r="K307" s="1">
        <v>3.71</v>
      </c>
      <c r="L307" s="1" t="s">
        <v>455</v>
      </c>
      <c r="M307" s="1" t="s">
        <v>55</v>
      </c>
      <c r="N307" s="1">
        <v>512.0</v>
      </c>
      <c r="O307" s="1">
        <v>2012.0</v>
      </c>
      <c r="P307" s="1">
        <v>2012.0</v>
      </c>
      <c r="R307" s="2">
        <v>41460.0</v>
      </c>
      <c r="U307" s="1" t="s">
        <v>41</v>
      </c>
      <c r="Y307" s="1">
        <v>1.0</v>
      </c>
      <c r="AB307" s="1">
        <v>0.0</v>
      </c>
    </row>
    <row r="308">
      <c r="A308" s="1">
        <v>1.582348E7</v>
      </c>
      <c r="B308" s="1" t="s">
        <v>1270</v>
      </c>
      <c r="C308" s="1" t="s">
        <v>1271</v>
      </c>
      <c r="D308" s="1" t="s">
        <v>64</v>
      </c>
      <c r="E308" s="1" t="s">
        <v>65</v>
      </c>
      <c r="F308" s="1" t="s">
        <v>1272</v>
      </c>
      <c r="G308" s="1" t="s">
        <v>1273</v>
      </c>
      <c r="H308" t="str">
        <f>"0345803922"</f>
        <v>0345803922</v>
      </c>
      <c r="I308" t="str">
        <f>"9780345803924"</f>
        <v>9780345803924</v>
      </c>
      <c r="J308" s="1">
        <v>3.0</v>
      </c>
      <c r="K308" s="1">
        <v>4.03</v>
      </c>
      <c r="L308" s="1" t="s">
        <v>361</v>
      </c>
      <c r="M308" s="1" t="s">
        <v>40</v>
      </c>
      <c r="N308" s="1">
        <v>964.0</v>
      </c>
      <c r="O308" s="1">
        <v>2012.0</v>
      </c>
      <c r="P308" s="1">
        <v>1878.0</v>
      </c>
      <c r="Q308" s="2">
        <v>41470.0</v>
      </c>
      <c r="R308" s="2">
        <v>41317.0</v>
      </c>
      <c r="U308" s="1" t="s">
        <v>41</v>
      </c>
      <c r="Y308" s="1">
        <v>1.0</v>
      </c>
      <c r="AB308" s="1">
        <v>0.0</v>
      </c>
    </row>
    <row r="309">
      <c r="A309" s="1">
        <v>156152.0</v>
      </c>
      <c r="B309" s="1" t="s">
        <v>1274</v>
      </c>
      <c r="C309" s="1" t="s">
        <v>457</v>
      </c>
      <c r="D309" s="1" t="s">
        <v>71</v>
      </c>
      <c r="E309" s="1" t="s">
        <v>65</v>
      </c>
      <c r="F309" s="1" t="s">
        <v>458</v>
      </c>
      <c r="G309" s="1" t="s">
        <v>1275</v>
      </c>
      <c r="H309" t="str">
        <f>"0151002347"</f>
        <v>0151002347</v>
      </c>
      <c r="I309" t="str">
        <f>"9780151002344"</f>
        <v>9780151002344</v>
      </c>
      <c r="J309" s="1">
        <v>4.0</v>
      </c>
      <c r="K309" s="1">
        <v>4.16</v>
      </c>
      <c r="L309" s="1" t="s">
        <v>1276</v>
      </c>
      <c r="M309" s="1" t="s">
        <v>55</v>
      </c>
      <c r="N309" s="1">
        <v>112.0</v>
      </c>
      <c r="O309" s="1">
        <v>1996.0</v>
      </c>
      <c r="P309" s="1">
        <v>1849.0</v>
      </c>
      <c r="R309" s="4">
        <v>41270.0</v>
      </c>
      <c r="U309" s="1" t="s">
        <v>41</v>
      </c>
      <c r="Y309" s="1">
        <v>1.0</v>
      </c>
      <c r="AB309" s="1">
        <v>0.0</v>
      </c>
    </row>
    <row r="310">
      <c r="A310" s="1">
        <v>4989430.0</v>
      </c>
      <c r="B310" s="1" t="s">
        <v>1277</v>
      </c>
      <c r="C310" s="1" t="s">
        <v>903</v>
      </c>
      <c r="D310" s="1" t="s">
        <v>120</v>
      </c>
      <c r="E310" s="1" t="s">
        <v>278</v>
      </c>
      <c r="F310" s="1" t="s">
        <v>904</v>
      </c>
      <c r="G310" s="1" t="s">
        <v>1278</v>
      </c>
      <c r="H310" t="str">
        <f>"2081218348"</f>
        <v>2081218348</v>
      </c>
      <c r="I310" t="str">
        <f>"9782081218345"</f>
        <v>9782081218345</v>
      </c>
      <c r="J310" s="1">
        <v>3.0</v>
      </c>
      <c r="K310" s="1">
        <v>3.39</v>
      </c>
      <c r="L310" s="1" t="s">
        <v>905</v>
      </c>
      <c r="N310" s="1">
        <v>332.0</v>
      </c>
      <c r="O310" s="1">
        <v>2008.0</v>
      </c>
      <c r="P310" s="1">
        <v>2008.0</v>
      </c>
      <c r="Q310" s="2">
        <v>41450.0</v>
      </c>
      <c r="R310" s="2">
        <v>41415.0</v>
      </c>
      <c r="U310" s="1" t="s">
        <v>41</v>
      </c>
      <c r="Y310" s="1">
        <v>1.0</v>
      </c>
      <c r="AB310" s="1">
        <v>0.0</v>
      </c>
    </row>
    <row r="311">
      <c r="A311" s="1">
        <v>1.3093921E7</v>
      </c>
      <c r="B311" s="1" t="s">
        <v>1279</v>
      </c>
      <c r="C311" s="1" t="s">
        <v>1280</v>
      </c>
      <c r="D311" s="1" t="s">
        <v>1281</v>
      </c>
      <c r="E311" s="1" t="s">
        <v>278</v>
      </c>
      <c r="F311" s="1" t="s">
        <v>1282</v>
      </c>
      <c r="H311" t="str">
        <f>"2757804286"</f>
        <v>2757804286</v>
      </c>
      <c r="I311" t="str">
        <f>"9782757804285"</f>
        <v>9782757804285</v>
      </c>
      <c r="J311" s="1">
        <v>3.0</v>
      </c>
      <c r="K311" s="1">
        <v>3.29</v>
      </c>
      <c r="L311" s="1" t="s">
        <v>1283</v>
      </c>
      <c r="M311" s="1" t="s">
        <v>40</v>
      </c>
      <c r="N311" s="1">
        <v>158.0</v>
      </c>
      <c r="O311" s="1">
        <v>2007.0</v>
      </c>
      <c r="P311" s="1">
        <v>1982.0</v>
      </c>
      <c r="R311" s="2">
        <v>41419.0</v>
      </c>
      <c r="U311" s="1" t="s">
        <v>41</v>
      </c>
      <c r="Y311" s="1">
        <v>1.0</v>
      </c>
      <c r="AB311" s="1">
        <v>0.0</v>
      </c>
    </row>
    <row r="312">
      <c r="A312" s="1">
        <v>29380.0</v>
      </c>
      <c r="B312" s="1" t="s">
        <v>1284</v>
      </c>
      <c r="C312" s="1" t="s">
        <v>403</v>
      </c>
      <c r="D312" s="1" t="s">
        <v>404</v>
      </c>
      <c r="E312" s="1" t="s">
        <v>65</v>
      </c>
      <c r="F312" s="1" t="s">
        <v>405</v>
      </c>
      <c r="H312" t="str">
        <f>"0060011572"</f>
        <v>0060011572</v>
      </c>
      <c r="I312" t="str">
        <f>"9780060011574"</f>
        <v>9780060011574</v>
      </c>
      <c r="J312" s="1">
        <v>5.0</v>
      </c>
      <c r="K312" s="1">
        <v>4.21</v>
      </c>
      <c r="L312" s="1" t="s">
        <v>1285</v>
      </c>
      <c r="M312" s="1" t="s">
        <v>40</v>
      </c>
      <c r="N312" s="1">
        <v>352.0</v>
      </c>
      <c r="O312" s="1">
        <v>2001.0</v>
      </c>
      <c r="P312" s="1">
        <v>1975.0</v>
      </c>
      <c r="R312" s="2">
        <v>41414.0</v>
      </c>
      <c r="U312" s="1" t="s">
        <v>41</v>
      </c>
      <c r="Y312" s="1">
        <v>1.0</v>
      </c>
      <c r="AB312" s="1">
        <v>0.0</v>
      </c>
    </row>
    <row r="313">
      <c r="A313" s="1">
        <v>38500.0</v>
      </c>
      <c r="B313" s="1" t="s">
        <v>1286</v>
      </c>
      <c r="C313" s="1" t="s">
        <v>1287</v>
      </c>
      <c r="D313" s="1" t="s">
        <v>95</v>
      </c>
      <c r="E313" s="1" t="s">
        <v>65</v>
      </c>
      <c r="F313" s="1" t="s">
        <v>1288</v>
      </c>
      <c r="H313" t="str">
        <f>"0061177598"</f>
        <v>0061177598</v>
      </c>
      <c r="I313" t="str">
        <f>"9780061177590"</f>
        <v>9780061177590</v>
      </c>
      <c r="J313" s="1">
        <v>3.0</v>
      </c>
      <c r="K313" s="1">
        <v>3.88</v>
      </c>
      <c r="L313" s="1" t="s">
        <v>285</v>
      </c>
      <c r="M313" s="1" t="s">
        <v>40</v>
      </c>
      <c r="N313" s="1">
        <v>291.0</v>
      </c>
      <c r="O313" s="1">
        <v>2014.0</v>
      </c>
      <c r="P313" s="1">
        <v>1978.0</v>
      </c>
      <c r="Q313" s="2">
        <v>41398.0</v>
      </c>
      <c r="R313" s="2">
        <v>41395.0</v>
      </c>
      <c r="U313" s="1" t="s">
        <v>41</v>
      </c>
      <c r="Y313" s="1">
        <v>1.0</v>
      </c>
      <c r="AB313" s="1">
        <v>0.0</v>
      </c>
    </row>
    <row r="314">
      <c r="A314" s="1">
        <v>2142727.0</v>
      </c>
      <c r="B314" s="1" t="s">
        <v>1289</v>
      </c>
      <c r="C314" s="1" t="s">
        <v>1290</v>
      </c>
      <c r="D314" s="1" t="s">
        <v>50</v>
      </c>
      <c r="E314" s="1" t="s">
        <v>36</v>
      </c>
      <c r="F314" s="1" t="s">
        <v>1291</v>
      </c>
      <c r="H314" t="str">
        <f>"9737883217"</f>
        <v>9737883217</v>
      </c>
      <c r="I314" t="str">
        <f>"9789737883216"</f>
        <v>9789737883216</v>
      </c>
      <c r="J314" s="1">
        <v>4.0</v>
      </c>
      <c r="K314" s="1">
        <v>4.34</v>
      </c>
      <c r="L314" s="1" t="s">
        <v>1292</v>
      </c>
      <c r="M314" s="1" t="s">
        <v>40</v>
      </c>
      <c r="N314" s="1">
        <v>1200.0</v>
      </c>
      <c r="O314" s="1">
        <v>2008.0</v>
      </c>
      <c r="P314" s="1">
        <v>1984.0</v>
      </c>
      <c r="R314" s="2">
        <v>41398.0</v>
      </c>
      <c r="U314" s="1" t="s">
        <v>41</v>
      </c>
      <c r="Y314" s="1">
        <v>1.0</v>
      </c>
      <c r="AB314" s="1">
        <v>0.0</v>
      </c>
    </row>
    <row r="315">
      <c r="A315" s="1">
        <v>2165108.0</v>
      </c>
      <c r="B315" s="1" t="s">
        <v>1293</v>
      </c>
      <c r="C315" s="1" t="s">
        <v>1294</v>
      </c>
      <c r="D315" s="1" t="s">
        <v>78</v>
      </c>
      <c r="E315" s="1" t="s">
        <v>72</v>
      </c>
      <c r="F315" s="1" t="s">
        <v>1295</v>
      </c>
      <c r="H315" t="str">
        <f>"3596135915"</f>
        <v>3596135915</v>
      </c>
      <c r="I315" t="str">
        <f>"9783596135912"</f>
        <v>9783596135912</v>
      </c>
      <c r="J315" s="1">
        <v>5.0</v>
      </c>
      <c r="K315" s="1">
        <v>3.82</v>
      </c>
      <c r="L315" s="1" t="s">
        <v>1296</v>
      </c>
      <c r="M315" s="1" t="s">
        <v>40</v>
      </c>
      <c r="N315" s="1">
        <v>480.0</v>
      </c>
      <c r="O315" s="1">
        <v>1999.0</v>
      </c>
      <c r="P315" s="1">
        <v>1995.0</v>
      </c>
      <c r="Q315" s="2">
        <v>41392.0</v>
      </c>
      <c r="R315" s="2">
        <v>41384.0</v>
      </c>
      <c r="U315" s="1" t="s">
        <v>41</v>
      </c>
      <c r="Y315" s="1">
        <v>1.0</v>
      </c>
      <c r="AB315" s="1">
        <v>0.0</v>
      </c>
    </row>
    <row r="316">
      <c r="A316" s="1">
        <v>1.1104933E7</v>
      </c>
      <c r="B316" s="1" t="s">
        <v>1297</v>
      </c>
      <c r="C316" s="1" t="s">
        <v>1298</v>
      </c>
      <c r="D316" s="1" t="s">
        <v>71</v>
      </c>
      <c r="E316" s="1" t="s">
        <v>65</v>
      </c>
      <c r="F316" s="1" t="s">
        <v>1299</v>
      </c>
      <c r="G316" s="1" t="s">
        <v>1300</v>
      </c>
      <c r="H316" t="str">
        <f>"1594203075"</f>
        <v>1594203075</v>
      </c>
      <c r="I316" t="str">
        <f>"9781594203077"</f>
        <v>9781594203077</v>
      </c>
      <c r="J316" s="1">
        <v>3.0</v>
      </c>
      <c r="K316" s="1">
        <v>3.97</v>
      </c>
      <c r="L316" s="1" t="s">
        <v>1301</v>
      </c>
      <c r="M316" s="1" t="s">
        <v>55</v>
      </c>
      <c r="N316" s="1">
        <v>291.0</v>
      </c>
      <c r="O316" s="1">
        <v>2011.0</v>
      </c>
      <c r="P316" s="1">
        <v>2011.0</v>
      </c>
      <c r="R316" s="2">
        <v>41371.0</v>
      </c>
      <c r="U316" s="1" t="s">
        <v>41</v>
      </c>
      <c r="Y316" s="1">
        <v>1.0</v>
      </c>
      <c r="AB316" s="1">
        <v>0.0</v>
      </c>
    </row>
    <row r="317" hidden="1">
      <c r="A317" s="1">
        <v>6953508.0</v>
      </c>
      <c r="B317" s="1" t="s">
        <v>1302</v>
      </c>
      <c r="C317" s="1" t="s">
        <v>1303</v>
      </c>
      <c r="D317" s="1"/>
      <c r="E317" s="1"/>
      <c r="F317" s="1" t="s">
        <v>1304</v>
      </c>
      <c r="H317" t="str">
        <f>"0061730866"</f>
        <v>0061730866</v>
      </c>
      <c r="I317" t="str">
        <f>"9780061730863"</f>
        <v>9780061730863</v>
      </c>
      <c r="J317" s="1">
        <v>0.0</v>
      </c>
      <c r="K317" s="1">
        <v>3.83</v>
      </c>
      <c r="L317" s="1" t="s">
        <v>422</v>
      </c>
      <c r="M317" s="1" t="s">
        <v>55</v>
      </c>
      <c r="N317" s="1">
        <v>326.0</v>
      </c>
      <c r="O317" s="1">
        <v>2010.0</v>
      </c>
      <c r="P317" s="1">
        <v>2010.0</v>
      </c>
      <c r="R317" s="2">
        <v>41384.0</v>
      </c>
      <c r="S317" s="1" t="s">
        <v>56</v>
      </c>
      <c r="T317" s="1" t="s">
        <v>1305</v>
      </c>
      <c r="U317" s="1" t="s">
        <v>56</v>
      </c>
      <c r="Y317" s="1">
        <v>0.0</v>
      </c>
      <c r="AB317" s="1">
        <v>0.0</v>
      </c>
    </row>
    <row r="318">
      <c r="A318" s="1">
        <v>506127.0</v>
      </c>
      <c r="B318" s="1" t="s">
        <v>1306</v>
      </c>
      <c r="C318" s="1" t="s">
        <v>1307</v>
      </c>
      <c r="D318" s="1" t="s">
        <v>120</v>
      </c>
      <c r="E318" s="1" t="s">
        <v>36</v>
      </c>
      <c r="F318" s="1" t="s">
        <v>1308</v>
      </c>
      <c r="G318" s="1" t="s">
        <v>1309</v>
      </c>
      <c r="H318" t="str">
        <f>"0316114049"</f>
        <v>0316114049</v>
      </c>
      <c r="I318" t="str">
        <f>"9780316114042"</f>
        <v>9780316114042</v>
      </c>
      <c r="J318" s="1">
        <v>5.0</v>
      </c>
      <c r="K318" s="1">
        <v>3.75</v>
      </c>
      <c r="L318" s="1" t="s">
        <v>1310</v>
      </c>
      <c r="M318" s="1" t="s">
        <v>55</v>
      </c>
      <c r="N318" s="1">
        <v>214.0</v>
      </c>
      <c r="O318" s="1">
        <v>1994.0</v>
      </c>
      <c r="P318" s="1">
        <v>1992.0</v>
      </c>
      <c r="R318" s="2">
        <v>41369.0</v>
      </c>
      <c r="U318" s="1" t="s">
        <v>41</v>
      </c>
      <c r="Y318" s="1">
        <v>1.0</v>
      </c>
      <c r="AB318" s="1">
        <v>0.0</v>
      </c>
    </row>
    <row r="319">
      <c r="A319" s="1">
        <v>1.2795558E7</v>
      </c>
      <c r="B319" s="1" t="s">
        <v>1311</v>
      </c>
      <c r="C319" s="1" t="s">
        <v>1312</v>
      </c>
      <c r="D319" s="1" t="s">
        <v>71</v>
      </c>
      <c r="E319" s="1" t="s">
        <v>36</v>
      </c>
      <c r="F319" s="1" t="s">
        <v>1313</v>
      </c>
      <c r="G319" s="1" t="s">
        <v>1314</v>
      </c>
      <c r="H319" t="str">
        <f>""</f>
        <v/>
      </c>
      <c r="I319" t="str">
        <f>"9789736892059"</f>
        <v>9789736892059</v>
      </c>
      <c r="J319" s="1">
        <v>4.0</v>
      </c>
      <c r="K319" s="1">
        <v>4.1</v>
      </c>
      <c r="L319" s="1" t="s">
        <v>1315</v>
      </c>
      <c r="M319" s="1" t="s">
        <v>40</v>
      </c>
      <c r="N319" s="1">
        <v>220.0</v>
      </c>
      <c r="O319" s="1">
        <v>2008.0</v>
      </c>
      <c r="P319" s="1">
        <v>1938.0</v>
      </c>
      <c r="R319" s="2">
        <v>41363.0</v>
      </c>
      <c r="U319" s="1" t="s">
        <v>41</v>
      </c>
      <c r="Y319" s="1">
        <v>1.0</v>
      </c>
      <c r="AB319" s="1">
        <v>0.0</v>
      </c>
    </row>
    <row r="320">
      <c r="A320" s="1">
        <v>302998.0</v>
      </c>
      <c r="B320" s="1" t="s">
        <v>1316</v>
      </c>
      <c r="C320" s="1" t="s">
        <v>1317</v>
      </c>
      <c r="D320" s="1" t="s">
        <v>35</v>
      </c>
      <c r="E320" s="1" t="s">
        <v>65</v>
      </c>
      <c r="F320" s="1" t="s">
        <v>1318</v>
      </c>
      <c r="H320" t="str">
        <f>"014013168X"</f>
        <v>014013168X</v>
      </c>
      <c r="I320" t="str">
        <f>"9780140131680"</f>
        <v>9780140131680</v>
      </c>
      <c r="J320" s="1">
        <v>4.0</v>
      </c>
      <c r="K320" s="1">
        <v>3.72</v>
      </c>
      <c r="L320" s="1" t="s">
        <v>269</v>
      </c>
      <c r="M320" s="1" t="s">
        <v>40</v>
      </c>
      <c r="N320" s="1">
        <v>288.0</v>
      </c>
      <c r="O320" s="1">
        <v>1991.0</v>
      </c>
      <c r="P320" s="1">
        <v>1990.0</v>
      </c>
      <c r="Q320" s="2">
        <v>41275.0</v>
      </c>
      <c r="R320" s="4">
        <v>41272.0</v>
      </c>
      <c r="U320" s="1" t="s">
        <v>41</v>
      </c>
      <c r="Y320" s="1">
        <v>1.0</v>
      </c>
      <c r="AB320" s="1">
        <v>0.0</v>
      </c>
    </row>
    <row r="321">
      <c r="A321" s="1">
        <v>2657.0</v>
      </c>
      <c r="B321" s="1" t="s">
        <v>1319</v>
      </c>
      <c r="C321" s="1" t="s">
        <v>1320</v>
      </c>
      <c r="D321" s="1" t="s">
        <v>71</v>
      </c>
      <c r="E321" s="1" t="s">
        <v>65</v>
      </c>
      <c r="F321" s="1" t="s">
        <v>1321</v>
      </c>
      <c r="H321" t="str">
        <f>"0061120081"</f>
        <v>0061120081</v>
      </c>
      <c r="I321" t="str">
        <f>"9780061120084"</f>
        <v>9780061120084</v>
      </c>
      <c r="J321" s="1">
        <v>4.0</v>
      </c>
      <c r="K321" s="1">
        <v>4.27</v>
      </c>
      <c r="L321" s="1" t="s">
        <v>178</v>
      </c>
      <c r="M321" s="1" t="s">
        <v>40</v>
      </c>
      <c r="N321" s="1">
        <v>324.0</v>
      </c>
      <c r="O321" s="1">
        <v>2006.0</v>
      </c>
      <c r="P321" s="1">
        <v>1960.0</v>
      </c>
      <c r="Q321" s="2">
        <v>41362.0</v>
      </c>
      <c r="R321" s="2">
        <v>41359.0</v>
      </c>
      <c r="U321" s="1" t="s">
        <v>41</v>
      </c>
      <c r="Y321" s="1">
        <v>1.0</v>
      </c>
      <c r="AB321" s="1">
        <v>0.0</v>
      </c>
    </row>
    <row r="322">
      <c r="A322" s="1">
        <v>250812.0</v>
      </c>
      <c r="B322" s="1" t="s">
        <v>1322</v>
      </c>
      <c r="C322" s="1" t="s">
        <v>1176</v>
      </c>
      <c r="D322" s="1" t="s">
        <v>71</v>
      </c>
      <c r="E322" s="1" t="s">
        <v>65</v>
      </c>
      <c r="F322" s="1" t="s">
        <v>1177</v>
      </c>
      <c r="H322" t="str">
        <f>"0099478897"</f>
        <v>0099478897</v>
      </c>
      <c r="I322" t="str">
        <f>"9780099478898"</f>
        <v>9780099478898</v>
      </c>
      <c r="J322" s="1">
        <v>5.0</v>
      </c>
      <c r="K322" s="1">
        <v>4.12</v>
      </c>
      <c r="L322" s="1" t="s">
        <v>968</v>
      </c>
      <c r="M322" s="1" t="s">
        <v>40</v>
      </c>
      <c r="N322" s="1">
        <v>297.0</v>
      </c>
      <c r="O322" s="1">
        <v>2007.0</v>
      </c>
      <c r="P322" s="1">
        <v>2005.0</v>
      </c>
      <c r="Q322" s="2">
        <v>41359.0</v>
      </c>
      <c r="R322" s="2">
        <v>41351.0</v>
      </c>
      <c r="U322" s="1" t="s">
        <v>41</v>
      </c>
      <c r="Y322" s="1">
        <v>1.0</v>
      </c>
      <c r="AB322" s="1">
        <v>0.0</v>
      </c>
    </row>
    <row r="323">
      <c r="A323" s="1">
        <v>1.3105894E7</v>
      </c>
      <c r="B323" s="1" t="s">
        <v>1323</v>
      </c>
      <c r="C323" s="1" t="s">
        <v>1243</v>
      </c>
      <c r="D323" s="1" t="s">
        <v>120</v>
      </c>
      <c r="E323" s="1" t="s">
        <v>36</v>
      </c>
      <c r="F323" s="1" t="s">
        <v>1244</v>
      </c>
      <c r="H323" t="str">
        <f>"1602571732"</f>
        <v>1602571732</v>
      </c>
      <c r="I323" t="str">
        <f>"9781602571730"</f>
        <v>9781602571730</v>
      </c>
      <c r="J323" s="1">
        <v>4.0</v>
      </c>
      <c r="K323" s="1">
        <v>2.84</v>
      </c>
      <c r="L323" s="1" t="s">
        <v>1324</v>
      </c>
      <c r="M323" s="1" t="s">
        <v>40</v>
      </c>
      <c r="N323" s="1">
        <v>139.0</v>
      </c>
      <c r="O323" s="1">
        <v>2009.0</v>
      </c>
      <c r="P323" s="1">
        <v>2008.0</v>
      </c>
      <c r="R323" s="2">
        <v>41352.0</v>
      </c>
      <c r="U323" s="1" t="s">
        <v>41</v>
      </c>
      <c r="Y323" s="1">
        <v>1.0</v>
      </c>
      <c r="AB323" s="1">
        <v>0.0</v>
      </c>
    </row>
    <row r="324">
      <c r="A324" s="1">
        <v>6491532.0</v>
      </c>
      <c r="B324" s="1" t="s">
        <v>1325</v>
      </c>
      <c r="C324" s="1" t="s">
        <v>424</v>
      </c>
      <c r="D324" s="1" t="s">
        <v>71</v>
      </c>
      <c r="E324" s="1" t="s">
        <v>65</v>
      </c>
      <c r="F324" s="1" t="s">
        <v>425</v>
      </c>
      <c r="H324" t="str">
        <f>"0143115685"</f>
        <v>0143115685</v>
      </c>
      <c r="I324" t="str">
        <f>"9780143115687"</f>
        <v>9780143115687</v>
      </c>
      <c r="J324" s="1">
        <v>4.0</v>
      </c>
      <c r="K324" s="1">
        <v>3.88</v>
      </c>
      <c r="L324" s="1" t="s">
        <v>269</v>
      </c>
      <c r="M324" s="1" t="s">
        <v>40</v>
      </c>
      <c r="N324" s="1">
        <v>320.0</v>
      </c>
      <c r="O324" s="1">
        <v>2009.0</v>
      </c>
      <c r="P324" s="1">
        <v>2008.0</v>
      </c>
      <c r="Q324" s="2">
        <v>41350.0</v>
      </c>
      <c r="R324" s="2">
        <v>41324.0</v>
      </c>
      <c r="U324" s="1" t="s">
        <v>41</v>
      </c>
      <c r="Y324" s="1">
        <v>1.0</v>
      </c>
      <c r="AB324" s="1">
        <v>0.0</v>
      </c>
    </row>
    <row r="325">
      <c r="A325" s="1">
        <v>3404501.0</v>
      </c>
      <c r="B325" s="1" t="s">
        <v>1326</v>
      </c>
      <c r="C325" s="1" t="s">
        <v>1327</v>
      </c>
      <c r="D325" s="1" t="s">
        <v>64</v>
      </c>
      <c r="E325" s="1" t="s">
        <v>72</v>
      </c>
      <c r="F325" s="1" t="s">
        <v>1328</v>
      </c>
      <c r="H325" t="str">
        <f>"3216304558"</f>
        <v>3216304558</v>
      </c>
      <c r="I325" t="str">
        <f>"9783216304551"</f>
        <v>9783216304551</v>
      </c>
      <c r="J325" s="1">
        <v>5.0</v>
      </c>
      <c r="K325" s="1">
        <v>3.72</v>
      </c>
      <c r="L325" s="1" t="s">
        <v>1329</v>
      </c>
      <c r="M325" s="1" t="s">
        <v>55</v>
      </c>
      <c r="N325" s="1">
        <v>292.0</v>
      </c>
      <c r="P325" s="1">
        <v>2005.0</v>
      </c>
      <c r="Q325" s="2">
        <v>41333.0</v>
      </c>
      <c r="R325" s="2">
        <v>41326.0</v>
      </c>
      <c r="U325" s="1" t="s">
        <v>41</v>
      </c>
      <c r="Y325" s="1">
        <v>1.0</v>
      </c>
      <c r="AB325" s="1">
        <v>0.0</v>
      </c>
    </row>
    <row r="326">
      <c r="A326" s="1">
        <v>12505.0</v>
      </c>
      <c r="B326" s="1" t="s">
        <v>1330</v>
      </c>
      <c r="C326" s="1" t="s">
        <v>161</v>
      </c>
      <c r="D326" s="1" t="s">
        <v>64</v>
      </c>
      <c r="E326" s="1" t="s">
        <v>65</v>
      </c>
      <c r="F326" s="1" t="s">
        <v>162</v>
      </c>
      <c r="G326" s="1" t="s">
        <v>1331</v>
      </c>
      <c r="H326" t="str">
        <f>"0679642420"</f>
        <v>0679642420</v>
      </c>
      <c r="I326" t="str">
        <f>"9780679642428"</f>
        <v>9780679642428</v>
      </c>
      <c r="J326" s="1">
        <v>4.0</v>
      </c>
      <c r="K326" s="1">
        <v>4.19</v>
      </c>
      <c r="L326" s="1" t="s">
        <v>117</v>
      </c>
      <c r="M326" s="1" t="s">
        <v>40</v>
      </c>
      <c r="N326" s="1">
        <v>667.0</v>
      </c>
      <c r="O326" s="1">
        <v>2003.0</v>
      </c>
      <c r="P326" s="1">
        <v>1868.0</v>
      </c>
      <c r="Q326" s="2">
        <v>41315.0</v>
      </c>
      <c r="R326" s="2">
        <v>41280.0</v>
      </c>
      <c r="U326" s="1" t="s">
        <v>41</v>
      </c>
      <c r="Y326" s="1">
        <v>1.0</v>
      </c>
      <c r="AB326" s="1">
        <v>0.0</v>
      </c>
    </row>
    <row r="327">
      <c r="A327" s="1">
        <v>4271.0</v>
      </c>
      <c r="B327" s="1" t="s">
        <v>1332</v>
      </c>
      <c r="C327" s="1" t="s">
        <v>1333</v>
      </c>
      <c r="D327" s="1" t="s">
        <v>35</v>
      </c>
      <c r="E327" s="1" t="s">
        <v>65</v>
      </c>
      <c r="F327" s="1" t="s">
        <v>1334</v>
      </c>
      <c r="H327" t="str">
        <f>"0140285679"</f>
        <v>0140285679</v>
      </c>
      <c r="I327" t="str">
        <f>"9780140285673"</f>
        <v>9780140285673</v>
      </c>
      <c r="J327" s="1">
        <v>3.0</v>
      </c>
      <c r="K327" s="1">
        <v>3.79</v>
      </c>
      <c r="L327" s="1" t="s">
        <v>269</v>
      </c>
      <c r="M327" s="1" t="s">
        <v>238</v>
      </c>
      <c r="N327" s="1">
        <v>307.0</v>
      </c>
      <c r="O327" s="1">
        <v>2000.0</v>
      </c>
      <c r="P327" s="1">
        <v>1998.0</v>
      </c>
      <c r="R327" s="4">
        <v>41270.0</v>
      </c>
      <c r="U327" s="1" t="s">
        <v>41</v>
      </c>
      <c r="Y327" s="1">
        <v>1.0</v>
      </c>
      <c r="AB327" s="1">
        <v>0.0</v>
      </c>
    </row>
    <row r="328">
      <c r="A328" s="1">
        <v>1367037.0</v>
      </c>
      <c r="B328" s="1" t="s">
        <v>1335</v>
      </c>
      <c r="C328" s="1" t="s">
        <v>1336</v>
      </c>
      <c r="D328" s="1" t="s">
        <v>120</v>
      </c>
      <c r="E328" s="1" t="s">
        <v>278</v>
      </c>
      <c r="F328" s="1" t="s">
        <v>1337</v>
      </c>
      <c r="H328" t="str">
        <f>"2253161195"</f>
        <v>2253161195</v>
      </c>
      <c r="I328" t="str">
        <f>"9782253161196"</f>
        <v>9782253161196</v>
      </c>
      <c r="J328" s="1">
        <v>3.0</v>
      </c>
      <c r="K328" s="1">
        <v>3.77</v>
      </c>
      <c r="L328" s="1" t="s">
        <v>983</v>
      </c>
      <c r="M328" s="1" t="s">
        <v>238</v>
      </c>
      <c r="N328" s="1">
        <v>572.0</v>
      </c>
      <c r="O328" s="1">
        <v>2004.0</v>
      </c>
      <c r="P328" s="1">
        <v>1893.0</v>
      </c>
      <c r="Q328" s="4">
        <v>41270.0</v>
      </c>
      <c r="R328" s="2">
        <v>41250.0</v>
      </c>
      <c r="U328" s="1" t="s">
        <v>41</v>
      </c>
      <c r="Y328" s="1">
        <v>1.0</v>
      </c>
      <c r="AB328" s="1">
        <v>0.0</v>
      </c>
    </row>
    <row r="329">
      <c r="A329" s="1">
        <v>338798.0</v>
      </c>
      <c r="B329" s="1" t="s">
        <v>1338</v>
      </c>
      <c r="C329" s="1" t="s">
        <v>1339</v>
      </c>
      <c r="D329" s="1" t="s">
        <v>304</v>
      </c>
      <c r="E329" s="1" t="s">
        <v>65</v>
      </c>
      <c r="F329" s="1" t="s">
        <v>1340</v>
      </c>
      <c r="G329" s="1" t="s">
        <v>1341</v>
      </c>
      <c r="H329" t="str">
        <f>"0679722769"</f>
        <v>0679722769</v>
      </c>
      <c r="I329" t="str">
        <f>"9780679722762"</f>
        <v>9780679722762</v>
      </c>
      <c r="J329" s="1">
        <v>4.0</v>
      </c>
      <c r="K329" s="1">
        <v>3.74</v>
      </c>
      <c r="L329" s="1" t="s">
        <v>361</v>
      </c>
      <c r="M329" s="1" t="s">
        <v>40</v>
      </c>
      <c r="N329" s="1">
        <v>783.0</v>
      </c>
      <c r="O329" s="1">
        <v>1990.0</v>
      </c>
      <c r="P329" s="1">
        <v>1922.0</v>
      </c>
      <c r="Q329" s="4">
        <v>41259.0</v>
      </c>
      <c r="R329" s="4">
        <v>41226.0</v>
      </c>
      <c r="U329" s="1" t="s">
        <v>41</v>
      </c>
      <c r="Y329" s="1">
        <v>1.0</v>
      </c>
      <c r="AB329" s="1">
        <v>0.0</v>
      </c>
    </row>
    <row r="330">
      <c r="A330" s="1">
        <v>1.4700836E7</v>
      </c>
      <c r="B330" s="1" t="s">
        <v>1342</v>
      </c>
      <c r="C330" s="1" t="s">
        <v>1343</v>
      </c>
      <c r="D330" s="1" t="s">
        <v>78</v>
      </c>
      <c r="E330" s="1" t="s">
        <v>72</v>
      </c>
      <c r="F330" s="1" t="s">
        <v>1344</v>
      </c>
      <c r="H330" t="str">
        <f>"3531171747"</f>
        <v>3531171747</v>
      </c>
      <c r="I330" t="str">
        <f>"9783531171746"</f>
        <v>9783531171746</v>
      </c>
      <c r="J330" s="1">
        <v>4.0</v>
      </c>
      <c r="K330" s="1">
        <v>4.0</v>
      </c>
      <c r="L330" s="1" t="s">
        <v>1345</v>
      </c>
      <c r="M330" s="1" t="s">
        <v>40</v>
      </c>
      <c r="N330" s="1">
        <v>251.0</v>
      </c>
      <c r="O330" s="1">
        <v>2011.0</v>
      </c>
      <c r="P330" s="1">
        <v>2011.0</v>
      </c>
      <c r="R330" s="2">
        <v>41250.0</v>
      </c>
      <c r="U330" s="1" t="s">
        <v>41</v>
      </c>
      <c r="Y330" s="1">
        <v>1.0</v>
      </c>
      <c r="AB330" s="1">
        <v>0.0</v>
      </c>
    </row>
    <row r="331">
      <c r="A331" s="1">
        <v>1.3501176E7</v>
      </c>
      <c r="B331" s="1" t="s">
        <v>1346</v>
      </c>
      <c r="C331" s="1" t="s">
        <v>1347</v>
      </c>
      <c r="D331" s="1" t="s">
        <v>35</v>
      </c>
      <c r="E331" s="1" t="s">
        <v>36</v>
      </c>
      <c r="F331" s="1" t="s">
        <v>1348</v>
      </c>
      <c r="H331" t="str">
        <f>"9737071018"</f>
        <v>9737071018</v>
      </c>
      <c r="I331" t="str">
        <f>""</f>
        <v/>
      </c>
      <c r="J331" s="1">
        <v>4.0</v>
      </c>
      <c r="K331" s="1">
        <v>3.44</v>
      </c>
      <c r="L331" s="1" t="s">
        <v>39</v>
      </c>
      <c r="M331" s="1" t="s">
        <v>40</v>
      </c>
      <c r="N331" s="1">
        <v>312.0</v>
      </c>
      <c r="O331" s="1">
        <v>2011.0</v>
      </c>
      <c r="P331" s="1">
        <v>1993.0</v>
      </c>
      <c r="R331" s="2">
        <v>41248.0</v>
      </c>
      <c r="U331" s="1" t="s">
        <v>41</v>
      </c>
      <c r="Y331" s="1">
        <v>1.0</v>
      </c>
      <c r="AB331" s="1">
        <v>0.0</v>
      </c>
    </row>
    <row r="332">
      <c r="A332" s="1">
        <v>4900.0</v>
      </c>
      <c r="B332" s="1" t="s">
        <v>945</v>
      </c>
      <c r="C332" s="1" t="s">
        <v>946</v>
      </c>
      <c r="D332" s="1" t="s">
        <v>35</v>
      </c>
      <c r="E332" s="1" t="s">
        <v>65</v>
      </c>
      <c r="F332" s="1" t="s">
        <v>947</v>
      </c>
      <c r="H332" t="str">
        <f>"1892295490"</f>
        <v>1892295490</v>
      </c>
      <c r="I332" t="str">
        <f>"9781892295491"</f>
        <v>9781892295491</v>
      </c>
      <c r="J332" s="1">
        <v>1.0</v>
      </c>
      <c r="K332" s="1">
        <v>3.42</v>
      </c>
      <c r="L332" s="1" t="s">
        <v>1349</v>
      </c>
      <c r="M332" s="1" t="s">
        <v>40</v>
      </c>
      <c r="N332" s="1">
        <v>188.0</v>
      </c>
      <c r="O332" s="1">
        <v>2003.0</v>
      </c>
      <c r="P332" s="1">
        <v>1899.0</v>
      </c>
      <c r="Q332" s="4">
        <v>41232.0</v>
      </c>
      <c r="R332" s="4">
        <v>41223.0</v>
      </c>
      <c r="U332" s="1" t="s">
        <v>41</v>
      </c>
      <c r="Y332" s="1">
        <v>1.0</v>
      </c>
      <c r="AB332" s="1">
        <v>0.0</v>
      </c>
    </row>
    <row r="333">
      <c r="A333" s="1">
        <v>2956.0</v>
      </c>
      <c r="B333" s="1" t="s">
        <v>1350</v>
      </c>
      <c r="C333" s="1" t="s">
        <v>1044</v>
      </c>
      <c r="D333" s="1" t="s">
        <v>71</v>
      </c>
      <c r="E333" s="1" t="s">
        <v>36</v>
      </c>
      <c r="F333" s="1" t="s">
        <v>1045</v>
      </c>
      <c r="G333" s="1" t="s">
        <v>1046</v>
      </c>
      <c r="H333" t="str">
        <f>"0142437174"</f>
        <v>0142437174</v>
      </c>
      <c r="I333" t="str">
        <f>"9780142437179"</f>
        <v>9780142437179</v>
      </c>
      <c r="J333" s="1">
        <v>3.0</v>
      </c>
      <c r="K333" s="1">
        <v>3.81</v>
      </c>
      <c r="L333" s="1" t="s">
        <v>68</v>
      </c>
      <c r="M333" s="1" t="s">
        <v>40</v>
      </c>
      <c r="N333" s="1">
        <v>327.0</v>
      </c>
      <c r="O333" s="1">
        <v>2002.0</v>
      </c>
      <c r="P333" s="1">
        <v>1884.0</v>
      </c>
      <c r="R333" s="2">
        <v>41169.0</v>
      </c>
      <c r="U333" s="1" t="s">
        <v>41</v>
      </c>
      <c r="Y333" s="1">
        <v>1.0</v>
      </c>
      <c r="AB333" s="1">
        <v>0.0</v>
      </c>
    </row>
    <row r="334">
      <c r="A334" s="1">
        <v>18490.0</v>
      </c>
      <c r="B334" s="1" t="s">
        <v>1351</v>
      </c>
      <c r="C334" s="1" t="s">
        <v>1352</v>
      </c>
      <c r="D334" s="1" t="s">
        <v>35</v>
      </c>
      <c r="E334" s="1" t="s">
        <v>65</v>
      </c>
      <c r="F334" s="1" t="s">
        <v>1353</v>
      </c>
      <c r="G334" s="1" t="s">
        <v>1354</v>
      </c>
      <c r="H334" t="str">
        <f>"0141439475"</f>
        <v>0141439475</v>
      </c>
      <c r="I334" t="str">
        <f>"9780141439471"</f>
        <v>9780141439471</v>
      </c>
      <c r="J334" s="1">
        <v>3.0</v>
      </c>
      <c r="K334" s="1">
        <v>3.77</v>
      </c>
      <c r="L334" s="1" t="s">
        <v>1018</v>
      </c>
      <c r="M334" s="1" t="s">
        <v>40</v>
      </c>
      <c r="N334" s="1">
        <v>273.0</v>
      </c>
      <c r="O334" s="1">
        <v>2003.0</v>
      </c>
      <c r="P334" s="1">
        <v>1818.0</v>
      </c>
      <c r="R334" s="2">
        <v>41169.0</v>
      </c>
      <c r="U334" s="1" t="s">
        <v>41</v>
      </c>
      <c r="Y334" s="1">
        <v>1.0</v>
      </c>
      <c r="AB334" s="1">
        <v>0.0</v>
      </c>
    </row>
    <row r="335">
      <c r="A335" s="1">
        <v>12296.0</v>
      </c>
      <c r="B335" s="1" t="s">
        <v>1355</v>
      </c>
      <c r="C335" s="1" t="s">
        <v>1356</v>
      </c>
      <c r="D335" s="1" t="s">
        <v>71</v>
      </c>
      <c r="E335" s="1" t="s">
        <v>65</v>
      </c>
      <c r="F335" s="1" t="s">
        <v>1357</v>
      </c>
      <c r="G335" s="1" t="s">
        <v>1358</v>
      </c>
      <c r="H335" t="str">
        <f>"0142437263"</f>
        <v>0142437263</v>
      </c>
      <c r="I335" t="str">
        <f>"9780142437261"</f>
        <v>9780142437261</v>
      </c>
      <c r="J335" s="1">
        <v>2.0</v>
      </c>
      <c r="K335" s="1">
        <v>3.38</v>
      </c>
      <c r="L335" s="1" t="s">
        <v>269</v>
      </c>
      <c r="M335" s="1" t="s">
        <v>40</v>
      </c>
      <c r="N335" s="1">
        <v>238.0</v>
      </c>
      <c r="O335" s="1">
        <v>2003.0</v>
      </c>
      <c r="P335" s="1">
        <v>1850.0</v>
      </c>
      <c r="R335" s="2">
        <v>41169.0</v>
      </c>
      <c r="U335" s="1" t="s">
        <v>41</v>
      </c>
      <c r="Y335" s="1">
        <v>1.0</v>
      </c>
      <c r="AB335" s="1">
        <v>0.0</v>
      </c>
    </row>
    <row r="336">
      <c r="A336" s="1">
        <v>31463.0</v>
      </c>
      <c r="B336" s="1" t="s">
        <v>1359</v>
      </c>
      <c r="C336" s="1" t="s">
        <v>1360</v>
      </c>
      <c r="D336" s="1" t="s">
        <v>35</v>
      </c>
      <c r="E336" s="1" t="s">
        <v>65</v>
      </c>
      <c r="F336" s="1" t="s">
        <v>1361</v>
      </c>
      <c r="G336" s="1" t="s">
        <v>1362</v>
      </c>
      <c r="H336" t="str">
        <f>"0141439653"</f>
        <v>0141439653</v>
      </c>
      <c r="I336" t="str">
        <f>"9780141439655"</f>
        <v>9780141439655</v>
      </c>
      <c r="J336" s="1">
        <v>1.0</v>
      </c>
      <c r="K336" s="1">
        <v>3.93</v>
      </c>
      <c r="L336" s="1" t="s">
        <v>269</v>
      </c>
      <c r="M336" s="1" t="s">
        <v>40</v>
      </c>
      <c r="N336" s="1">
        <v>433.0</v>
      </c>
      <c r="O336" s="1">
        <v>2003.0</v>
      </c>
      <c r="P336" s="1">
        <v>1874.0</v>
      </c>
      <c r="R336" s="2">
        <v>41169.0</v>
      </c>
      <c r="U336" s="1" t="s">
        <v>41</v>
      </c>
      <c r="Y336" s="1">
        <v>1.0</v>
      </c>
      <c r="AB336" s="1">
        <v>0.0</v>
      </c>
    </row>
    <row r="337">
      <c r="A337" s="1">
        <v>264.0</v>
      </c>
      <c r="B337" s="1" t="s">
        <v>1363</v>
      </c>
      <c r="C337" s="1" t="s">
        <v>1093</v>
      </c>
      <c r="D337" s="1" t="s">
        <v>71</v>
      </c>
      <c r="E337" s="1" t="s">
        <v>65</v>
      </c>
      <c r="F337" s="1" t="s">
        <v>1094</v>
      </c>
      <c r="G337" s="1" t="s">
        <v>1364</v>
      </c>
      <c r="H337" t="str">
        <f>"0141439637"</f>
        <v>0141439637</v>
      </c>
      <c r="I337" t="str">
        <f>"9780141439631"</f>
        <v>9780141439631</v>
      </c>
      <c r="J337" s="1">
        <v>2.0</v>
      </c>
      <c r="K337" s="1">
        <v>3.77</v>
      </c>
      <c r="L337" s="1" t="s">
        <v>68</v>
      </c>
      <c r="M337" s="1" t="s">
        <v>40</v>
      </c>
      <c r="N337" s="1">
        <v>797.0</v>
      </c>
      <c r="O337" s="1">
        <v>2003.0</v>
      </c>
      <c r="P337" s="1">
        <v>1881.0</v>
      </c>
      <c r="R337" s="2">
        <v>41169.0</v>
      </c>
      <c r="U337" s="1" t="s">
        <v>41</v>
      </c>
      <c r="Y337" s="1">
        <v>1.0</v>
      </c>
      <c r="AB337" s="1">
        <v>0.0</v>
      </c>
    </row>
    <row r="338">
      <c r="A338" s="1">
        <v>2165.0</v>
      </c>
      <c r="B338" s="1" t="s">
        <v>1365</v>
      </c>
      <c r="C338" s="1" t="s">
        <v>958</v>
      </c>
      <c r="D338" s="1" t="s">
        <v>71</v>
      </c>
      <c r="E338" s="1" t="s">
        <v>65</v>
      </c>
      <c r="F338" s="1" t="s">
        <v>959</v>
      </c>
      <c r="H338" t="str">
        <f>"0684830493"</f>
        <v>0684830493</v>
      </c>
      <c r="I338" t="str">
        <f>"9780684830490"</f>
        <v>9780684830490</v>
      </c>
      <c r="J338" s="1">
        <v>3.0</v>
      </c>
      <c r="K338" s="1">
        <v>3.75</v>
      </c>
      <c r="L338" s="1" t="s">
        <v>356</v>
      </c>
      <c r="M338" s="1" t="s">
        <v>55</v>
      </c>
      <c r="N338" s="1">
        <v>132.0</v>
      </c>
      <c r="O338" s="1">
        <v>1996.0</v>
      </c>
      <c r="P338" s="1">
        <v>1952.0</v>
      </c>
      <c r="R338" s="2">
        <v>41169.0</v>
      </c>
      <c r="U338" s="1" t="s">
        <v>41</v>
      </c>
      <c r="Y338" s="1">
        <v>1.0</v>
      </c>
      <c r="AB338" s="1">
        <v>0.0</v>
      </c>
    </row>
    <row r="339">
      <c r="A339" s="1">
        <v>343.0</v>
      </c>
      <c r="B339" s="1" t="s">
        <v>1366</v>
      </c>
      <c r="C339" s="1" t="s">
        <v>1367</v>
      </c>
      <c r="D339" s="1" t="s">
        <v>95</v>
      </c>
      <c r="E339" s="1" t="s">
        <v>65</v>
      </c>
      <c r="F339" s="1" t="s">
        <v>1368</v>
      </c>
      <c r="G339" s="1" t="s">
        <v>1369</v>
      </c>
      <c r="H339" t="str">
        <f>"0140120831"</f>
        <v>0140120831</v>
      </c>
      <c r="I339" t="str">
        <f>"9780140120837"</f>
        <v>9780140120837</v>
      </c>
      <c r="J339" s="1">
        <v>4.0</v>
      </c>
      <c r="K339" s="1">
        <v>4.01</v>
      </c>
      <c r="L339" s="1" t="s">
        <v>269</v>
      </c>
      <c r="M339" s="1" t="s">
        <v>40</v>
      </c>
      <c r="N339" s="1">
        <v>263.0</v>
      </c>
      <c r="O339" s="1">
        <v>1987.0</v>
      </c>
      <c r="P339" s="1">
        <v>1985.0</v>
      </c>
      <c r="R339" s="2">
        <v>41169.0</v>
      </c>
      <c r="U339" s="1" t="s">
        <v>41</v>
      </c>
      <c r="Y339" s="1">
        <v>1.0</v>
      </c>
      <c r="AB339" s="1">
        <v>0.0</v>
      </c>
    </row>
    <row r="340">
      <c r="A340" s="1">
        <v>1740663.0</v>
      </c>
      <c r="B340" s="1" t="s">
        <v>1370</v>
      </c>
      <c r="C340" s="1" t="s">
        <v>1371</v>
      </c>
      <c r="D340" s="1" t="s">
        <v>120</v>
      </c>
      <c r="E340" s="1" t="s">
        <v>278</v>
      </c>
      <c r="F340" s="1" t="s">
        <v>1372</v>
      </c>
      <c r="H340" t="str">
        <f>"2246545919"</f>
        <v>2246545919</v>
      </c>
      <c r="I340" t="str">
        <f>"9782246545910"</f>
        <v>9782246545910</v>
      </c>
      <c r="J340" s="1">
        <v>2.0</v>
      </c>
      <c r="K340" s="1">
        <v>2.69</v>
      </c>
      <c r="L340" s="1" t="s">
        <v>1373</v>
      </c>
      <c r="N340" s="1">
        <v>262.0</v>
      </c>
      <c r="O340" s="1">
        <v>2005.0</v>
      </c>
      <c r="P340" s="1">
        <v>2005.0</v>
      </c>
      <c r="R340" s="2">
        <v>41169.0</v>
      </c>
      <c r="U340" s="1" t="s">
        <v>41</v>
      </c>
      <c r="Y340" s="1">
        <v>1.0</v>
      </c>
      <c r="AB340" s="1">
        <v>0.0</v>
      </c>
    </row>
    <row r="341">
      <c r="A341" s="1">
        <v>3100880.0</v>
      </c>
      <c r="B341" s="1" t="s">
        <v>1374</v>
      </c>
      <c r="C341" s="1" t="s">
        <v>869</v>
      </c>
      <c r="D341" s="1" t="s">
        <v>870</v>
      </c>
      <c r="E341" s="1" t="s">
        <v>36</v>
      </c>
      <c r="F341" s="1" t="s">
        <v>871</v>
      </c>
      <c r="G341" s="1" t="s">
        <v>1375</v>
      </c>
      <c r="H341" t="str">
        <f>""</f>
        <v/>
      </c>
      <c r="I341" t="str">
        <f>"9789734607297"</f>
        <v>9789734607297</v>
      </c>
      <c r="J341" s="1">
        <v>1.0</v>
      </c>
      <c r="K341" s="1">
        <v>3.43</v>
      </c>
      <c r="L341" s="1" t="s">
        <v>448</v>
      </c>
      <c r="M341" s="1" t="s">
        <v>40</v>
      </c>
      <c r="N341" s="1">
        <v>328.0</v>
      </c>
      <c r="O341" s="1">
        <v>2008.0</v>
      </c>
      <c r="P341" s="1">
        <v>1993.0</v>
      </c>
      <c r="R341" s="2">
        <v>41169.0</v>
      </c>
      <c r="U341" s="1" t="s">
        <v>41</v>
      </c>
      <c r="Y341" s="1">
        <v>1.0</v>
      </c>
      <c r="AB341" s="1">
        <v>0.0</v>
      </c>
    </row>
    <row r="342">
      <c r="A342" s="1">
        <v>249747.0</v>
      </c>
      <c r="B342" s="1" t="s">
        <v>1376</v>
      </c>
      <c r="C342" s="1" t="s">
        <v>1377</v>
      </c>
      <c r="D342" s="1" t="s">
        <v>304</v>
      </c>
      <c r="E342" s="1" t="s">
        <v>36</v>
      </c>
      <c r="F342" s="1" t="s">
        <v>1378</v>
      </c>
      <c r="H342" t="str">
        <f>"0786817879"</f>
        <v>0786817879</v>
      </c>
      <c r="I342" t="str">
        <f>"9780786817870"</f>
        <v>9780786817870</v>
      </c>
      <c r="J342" s="1">
        <v>2.0</v>
      </c>
      <c r="K342" s="1">
        <v>3.83</v>
      </c>
      <c r="L342" s="1" t="s">
        <v>385</v>
      </c>
      <c r="M342" s="1" t="s">
        <v>40</v>
      </c>
      <c r="N342" s="1">
        <v>316.0</v>
      </c>
      <c r="O342" s="1">
        <v>2003.0</v>
      </c>
      <c r="P342" s="1">
        <v>2001.0</v>
      </c>
      <c r="R342" s="4">
        <v>41226.0</v>
      </c>
      <c r="U342" s="1" t="s">
        <v>41</v>
      </c>
      <c r="Y342" s="1">
        <v>1.0</v>
      </c>
      <c r="AB342" s="1">
        <v>0.0</v>
      </c>
    </row>
    <row r="343">
      <c r="A343" s="1">
        <v>4381.0</v>
      </c>
      <c r="B343" s="1" t="s">
        <v>1379</v>
      </c>
      <c r="C343" s="1" t="s">
        <v>1380</v>
      </c>
      <c r="D343" s="1" t="s">
        <v>71</v>
      </c>
      <c r="E343" s="1" t="s">
        <v>65</v>
      </c>
      <c r="F343" s="1" t="s">
        <v>1381</v>
      </c>
      <c r="G343" s="1" t="s">
        <v>1382</v>
      </c>
      <c r="H343" t="str">
        <f>"0307347974"</f>
        <v>0307347974</v>
      </c>
      <c r="I343" t="str">
        <f>"9780307347978"</f>
        <v>9780307347978</v>
      </c>
      <c r="J343" s="1">
        <v>4.0</v>
      </c>
      <c r="K343" s="1">
        <v>3.98</v>
      </c>
      <c r="L343" s="1" t="s">
        <v>1383</v>
      </c>
      <c r="M343" s="1" t="s">
        <v>238</v>
      </c>
      <c r="N343" s="1">
        <v>175.0</v>
      </c>
      <c r="O343" s="1">
        <v>2004.0</v>
      </c>
      <c r="P343" s="1">
        <v>1953.0</v>
      </c>
      <c r="Q343" s="2">
        <v>41220.0</v>
      </c>
      <c r="R343" s="2">
        <v>41214.0</v>
      </c>
      <c r="U343" s="1" t="s">
        <v>41</v>
      </c>
      <c r="Y343" s="1">
        <v>1.0</v>
      </c>
      <c r="AB343" s="1">
        <v>0.0</v>
      </c>
    </row>
    <row r="344">
      <c r="A344" s="1">
        <v>17184.0</v>
      </c>
      <c r="B344" s="1" t="s">
        <v>1384</v>
      </c>
      <c r="C344" s="1" t="s">
        <v>1385</v>
      </c>
      <c r="D344" s="1" t="s">
        <v>35</v>
      </c>
      <c r="E344" s="1" t="s">
        <v>65</v>
      </c>
      <c r="F344" s="1" t="s">
        <v>1386</v>
      </c>
      <c r="H344" t="str">
        <f>"0451528522"</f>
        <v>0451528522</v>
      </c>
      <c r="I344" t="str">
        <f>"9780451528520"</f>
        <v>9780451528520</v>
      </c>
      <c r="J344" s="1">
        <v>3.0</v>
      </c>
      <c r="K344" s="1">
        <v>3.63</v>
      </c>
      <c r="L344" s="1" t="s">
        <v>1387</v>
      </c>
      <c r="M344" s="1" t="s">
        <v>40</v>
      </c>
      <c r="N344" s="1">
        <v>192.0</v>
      </c>
      <c r="O344" s="1">
        <v>2002.0</v>
      </c>
      <c r="P344" s="1">
        <v>1897.0</v>
      </c>
      <c r="Q344" s="2">
        <v>41175.0</v>
      </c>
      <c r="R344" s="2">
        <v>41170.0</v>
      </c>
      <c r="U344" s="1" t="s">
        <v>41</v>
      </c>
      <c r="Y344" s="1">
        <v>1.0</v>
      </c>
      <c r="AB344" s="1">
        <v>0.0</v>
      </c>
    </row>
    <row r="345">
      <c r="A345" s="1">
        <v>19501.0</v>
      </c>
      <c r="B345" s="1" t="s">
        <v>1388</v>
      </c>
      <c r="C345" s="1" t="s">
        <v>1389</v>
      </c>
      <c r="D345" s="1" t="s">
        <v>71</v>
      </c>
      <c r="E345" s="1" t="s">
        <v>65</v>
      </c>
      <c r="F345" s="1" t="s">
        <v>1390</v>
      </c>
      <c r="H345" t="str">
        <f>"0143038419"</f>
        <v>0143038419</v>
      </c>
      <c r="I345" t="str">
        <f>"9780143038412"</f>
        <v>9780143038412</v>
      </c>
      <c r="J345" s="1">
        <v>3.0</v>
      </c>
      <c r="K345" s="1">
        <v>3.53</v>
      </c>
      <c r="L345" s="1" t="s">
        <v>464</v>
      </c>
      <c r="M345" s="1" t="s">
        <v>40</v>
      </c>
      <c r="N345" s="1">
        <v>334.0</v>
      </c>
      <c r="O345" s="1">
        <v>2007.0</v>
      </c>
      <c r="P345" s="1">
        <v>2006.0</v>
      </c>
      <c r="R345" s="2">
        <v>41170.0</v>
      </c>
      <c r="U345" s="1" t="s">
        <v>41</v>
      </c>
      <c r="Y345" s="1">
        <v>1.0</v>
      </c>
      <c r="AB345" s="1">
        <v>0.0</v>
      </c>
    </row>
    <row r="346">
      <c r="A346" s="1">
        <v>2099052.0</v>
      </c>
      <c r="B346" s="1" t="s">
        <v>1391</v>
      </c>
      <c r="C346" s="1" t="s">
        <v>1392</v>
      </c>
      <c r="D346" s="1" t="s">
        <v>120</v>
      </c>
      <c r="E346" s="1" t="s">
        <v>278</v>
      </c>
      <c r="F346" s="1" t="s">
        <v>1393</v>
      </c>
      <c r="H346" t="str">
        <f>"2290329878"</f>
        <v>2290329878</v>
      </c>
      <c r="I346" t="str">
        <f>"9782290329870"</f>
        <v>9782290329870</v>
      </c>
      <c r="J346" s="1">
        <v>3.0</v>
      </c>
      <c r="K346" s="1">
        <v>3.29</v>
      </c>
      <c r="L346" s="1" t="s">
        <v>1394</v>
      </c>
      <c r="M346" s="1" t="s">
        <v>238</v>
      </c>
      <c r="N346" s="1">
        <v>157.0</v>
      </c>
      <c r="O346" s="1">
        <v>2004.0</v>
      </c>
      <c r="P346" s="1">
        <v>2002.0</v>
      </c>
      <c r="R346" s="2">
        <v>41170.0</v>
      </c>
      <c r="U346" s="1" t="s">
        <v>41</v>
      </c>
      <c r="Y346" s="1">
        <v>1.0</v>
      </c>
      <c r="AB346" s="1">
        <v>0.0</v>
      </c>
    </row>
    <row r="347">
      <c r="A347" s="1">
        <v>4836.0</v>
      </c>
      <c r="B347" s="1" t="s">
        <v>1395</v>
      </c>
      <c r="C347" s="1" t="s">
        <v>817</v>
      </c>
      <c r="D347" s="1" t="s">
        <v>354</v>
      </c>
      <c r="E347" s="1" t="s">
        <v>65</v>
      </c>
      <c r="F347" s="1" t="s">
        <v>818</v>
      </c>
      <c r="H347" t="str">
        <f>"0099421860"</f>
        <v>0099421860</v>
      </c>
      <c r="I347" t="str">
        <f>"9780099421863"</f>
        <v>9780099421863</v>
      </c>
      <c r="J347" s="1">
        <v>4.0</v>
      </c>
      <c r="K347" s="1">
        <v>3.29</v>
      </c>
      <c r="L347" s="1" t="s">
        <v>361</v>
      </c>
      <c r="M347" s="1" t="s">
        <v>40</v>
      </c>
      <c r="N347" s="1">
        <v>272.0</v>
      </c>
      <c r="O347" s="1">
        <v>2002.0</v>
      </c>
      <c r="P347" s="1">
        <v>2001.0</v>
      </c>
      <c r="R347" s="2">
        <v>41170.0</v>
      </c>
      <c r="U347" s="1" t="s">
        <v>41</v>
      </c>
      <c r="Y347" s="1">
        <v>1.0</v>
      </c>
      <c r="AB347" s="1">
        <v>0.0</v>
      </c>
    </row>
    <row r="348">
      <c r="A348" s="1">
        <v>3842683.0</v>
      </c>
      <c r="B348" s="1" t="s">
        <v>1396</v>
      </c>
      <c r="C348" s="1" t="s">
        <v>1397</v>
      </c>
      <c r="D348" s="1" t="s">
        <v>50</v>
      </c>
      <c r="E348" s="1" t="s">
        <v>36</v>
      </c>
      <c r="F348" s="1" t="s">
        <v>1398</v>
      </c>
      <c r="H348" t="str">
        <f>"9732401818"</f>
        <v>9732401818</v>
      </c>
      <c r="I348" t="str">
        <f>"9789732401811"</f>
        <v>9789732401811</v>
      </c>
      <c r="J348" s="1">
        <v>3.0</v>
      </c>
      <c r="K348" s="1">
        <v>4.11</v>
      </c>
      <c r="N348" s="1">
        <v>238.0</v>
      </c>
      <c r="P348" s="1">
        <v>1981.0</v>
      </c>
      <c r="R348" s="2">
        <v>41170.0</v>
      </c>
      <c r="U348" s="1" t="s">
        <v>41</v>
      </c>
      <c r="Y348" s="1">
        <v>1.0</v>
      </c>
      <c r="AB348" s="1">
        <v>0.0</v>
      </c>
    </row>
    <row r="349">
      <c r="A349" s="1">
        <v>822179.0</v>
      </c>
      <c r="B349" s="1" t="s">
        <v>1399</v>
      </c>
      <c r="C349" s="1" t="s">
        <v>1400</v>
      </c>
      <c r="D349" s="1" t="s">
        <v>71</v>
      </c>
      <c r="E349" s="1" t="s">
        <v>36</v>
      </c>
      <c r="F349" s="1" t="s">
        <v>1401</v>
      </c>
      <c r="H349" t="str">
        <f>"1931561842"</f>
        <v>1931561842</v>
      </c>
      <c r="I349" t="str">
        <f>"9781931561846"</f>
        <v>9781931561846</v>
      </c>
      <c r="J349" s="1">
        <v>4.0</v>
      </c>
      <c r="K349" s="1">
        <v>3.65</v>
      </c>
      <c r="L349" s="1" t="s">
        <v>1402</v>
      </c>
      <c r="M349" s="1" t="s">
        <v>40</v>
      </c>
      <c r="N349" s="1">
        <v>205.0</v>
      </c>
      <c r="O349" s="1">
        <v>2004.0</v>
      </c>
      <c r="P349" s="1">
        <v>2003.0</v>
      </c>
      <c r="R349" s="2">
        <v>41170.0</v>
      </c>
      <c r="U349" s="1" t="s">
        <v>41</v>
      </c>
      <c r="Y349" s="1">
        <v>1.0</v>
      </c>
      <c r="AB349" s="1">
        <v>0.0</v>
      </c>
    </row>
    <row r="350">
      <c r="A350" s="1">
        <v>771941.0</v>
      </c>
      <c r="B350" s="1" t="s">
        <v>1403</v>
      </c>
      <c r="C350" s="1" t="s">
        <v>1404</v>
      </c>
      <c r="D350" s="1" t="s">
        <v>141</v>
      </c>
      <c r="E350" s="1" t="s">
        <v>36</v>
      </c>
      <c r="F350" s="1" t="s">
        <v>1405</v>
      </c>
      <c r="H350" t="str">
        <f>"9587041453"</f>
        <v>9587041453</v>
      </c>
      <c r="I350" t="str">
        <f>"9789587041453"</f>
        <v>9789587041453</v>
      </c>
      <c r="J350" s="1">
        <v>4.0</v>
      </c>
      <c r="K350" s="1">
        <v>3.86</v>
      </c>
      <c r="L350" s="1" t="s">
        <v>1406</v>
      </c>
      <c r="M350" s="1" t="s">
        <v>40</v>
      </c>
      <c r="N350" s="1">
        <v>342.0</v>
      </c>
      <c r="O350" s="1">
        <v>2004.0</v>
      </c>
      <c r="P350" s="1">
        <v>2000.0</v>
      </c>
      <c r="R350" s="2">
        <v>41170.0</v>
      </c>
      <c r="U350" s="1" t="s">
        <v>41</v>
      </c>
      <c r="Y350" s="1">
        <v>1.0</v>
      </c>
      <c r="AB350" s="1">
        <v>0.0</v>
      </c>
    </row>
    <row r="351">
      <c r="A351" s="1">
        <v>768777.0</v>
      </c>
      <c r="B351" s="1" t="s">
        <v>1407</v>
      </c>
      <c r="C351" s="1" t="s">
        <v>1408</v>
      </c>
      <c r="D351" s="1" t="s">
        <v>50</v>
      </c>
      <c r="E351" s="1" t="s">
        <v>36</v>
      </c>
      <c r="F351" s="1" t="s">
        <v>1409</v>
      </c>
      <c r="H351" t="str">
        <f>""</f>
        <v/>
      </c>
      <c r="I351" t="str">
        <f>"9789735915889"</f>
        <v>9789735915889</v>
      </c>
      <c r="J351" s="1">
        <v>3.0</v>
      </c>
      <c r="K351" s="1">
        <v>3.63</v>
      </c>
      <c r="L351" s="1" t="s">
        <v>1410</v>
      </c>
      <c r="M351" s="1" t="s">
        <v>40</v>
      </c>
      <c r="N351" s="1">
        <v>288.0</v>
      </c>
      <c r="O351" s="1">
        <v>2009.0</v>
      </c>
      <c r="P351" s="1">
        <v>1930.0</v>
      </c>
      <c r="R351" s="2">
        <v>41170.0</v>
      </c>
      <c r="U351" s="1" t="s">
        <v>41</v>
      </c>
      <c r="Y351" s="1">
        <v>1.0</v>
      </c>
      <c r="AB351" s="1">
        <v>0.0</v>
      </c>
    </row>
    <row r="352">
      <c r="A352" s="1">
        <v>1241475.0</v>
      </c>
      <c r="B352" s="1" t="s">
        <v>1411</v>
      </c>
      <c r="C352" s="1" t="s">
        <v>655</v>
      </c>
      <c r="D352" s="1" t="s">
        <v>50</v>
      </c>
      <c r="E352" s="1" t="s">
        <v>36</v>
      </c>
      <c r="F352" s="1" t="s">
        <v>656</v>
      </c>
      <c r="H352" t="str">
        <f>"9735008696"</f>
        <v>9735008696</v>
      </c>
      <c r="I352" t="str">
        <f>"9789735008697"</f>
        <v>9789735008697</v>
      </c>
      <c r="J352" s="1">
        <v>3.0</v>
      </c>
      <c r="K352" s="1">
        <v>3.23</v>
      </c>
      <c r="L352" s="1" t="s">
        <v>627</v>
      </c>
      <c r="M352" s="1" t="s">
        <v>40</v>
      </c>
      <c r="N352" s="1">
        <v>176.0</v>
      </c>
      <c r="O352" s="1">
        <v>2007.0</v>
      </c>
      <c r="P352" s="1">
        <v>2004.0</v>
      </c>
      <c r="R352" s="2">
        <v>41170.0</v>
      </c>
      <c r="U352" s="1" t="s">
        <v>41</v>
      </c>
      <c r="Y352" s="1">
        <v>1.0</v>
      </c>
      <c r="AB352" s="1">
        <v>0.0</v>
      </c>
    </row>
    <row r="353">
      <c r="A353" s="1">
        <v>1150759.0</v>
      </c>
      <c r="B353" s="1" t="s">
        <v>1412</v>
      </c>
      <c r="C353" s="1" t="s">
        <v>1413</v>
      </c>
      <c r="D353" s="1" t="s">
        <v>50</v>
      </c>
      <c r="E353" s="1" t="s">
        <v>36</v>
      </c>
      <c r="F353" s="1" t="s">
        <v>1414</v>
      </c>
      <c r="H353" t="str">
        <f>"9735915588"</f>
        <v>9735915588</v>
      </c>
      <c r="I353" t="str">
        <f>"9789735915582"</f>
        <v>9789735915582</v>
      </c>
      <c r="J353" s="1">
        <v>4.0</v>
      </c>
      <c r="K353" s="1">
        <v>3.63</v>
      </c>
      <c r="L353" s="1" t="s">
        <v>1410</v>
      </c>
      <c r="M353" s="1" t="s">
        <v>40</v>
      </c>
      <c r="N353" s="1">
        <v>348.0</v>
      </c>
      <c r="O353" s="1">
        <v>2005.0</v>
      </c>
      <c r="P353" s="1">
        <v>1938.0</v>
      </c>
      <c r="R353" s="2">
        <v>41170.0</v>
      </c>
      <c r="U353" s="1" t="s">
        <v>41</v>
      </c>
      <c r="Y353" s="1">
        <v>1.0</v>
      </c>
      <c r="AB353" s="1">
        <v>0.0</v>
      </c>
    </row>
    <row r="354">
      <c r="A354" s="1">
        <v>17245.0</v>
      </c>
      <c r="B354" s="1" t="s">
        <v>1415</v>
      </c>
      <c r="C354" s="1" t="s">
        <v>1416</v>
      </c>
      <c r="D354" s="1" t="s">
        <v>304</v>
      </c>
      <c r="E354" s="1" t="s">
        <v>36</v>
      </c>
      <c r="F354" s="1" t="s">
        <v>1417</v>
      </c>
      <c r="G354" s="1" t="s">
        <v>1418</v>
      </c>
      <c r="H354" t="str">
        <f>"0393970124"</f>
        <v>0393970124</v>
      </c>
      <c r="I354" t="str">
        <f>"9780393970128"</f>
        <v>9780393970128</v>
      </c>
      <c r="J354" s="1">
        <v>3.0</v>
      </c>
      <c r="K354" s="1">
        <v>3.98</v>
      </c>
      <c r="L354" s="1" t="s">
        <v>1419</v>
      </c>
      <c r="M354" s="1" t="s">
        <v>40</v>
      </c>
      <c r="N354" s="1">
        <v>488.0</v>
      </c>
      <c r="O354" s="1">
        <v>1986.0</v>
      </c>
      <c r="P354" s="1">
        <v>1897.0</v>
      </c>
      <c r="R354" s="2">
        <v>41169.0</v>
      </c>
      <c r="U354" s="1" t="s">
        <v>41</v>
      </c>
      <c r="Y354" s="1">
        <v>1.0</v>
      </c>
      <c r="AB354" s="1">
        <v>0.0</v>
      </c>
    </row>
    <row r="355">
      <c r="A355" s="1">
        <v>71458.0</v>
      </c>
      <c r="B355" s="1" t="s">
        <v>1420</v>
      </c>
      <c r="C355" s="1" t="s">
        <v>255</v>
      </c>
      <c r="D355" s="1" t="s">
        <v>120</v>
      </c>
      <c r="E355" s="1" t="s">
        <v>36</v>
      </c>
      <c r="F355" s="1" t="s">
        <v>256</v>
      </c>
      <c r="H355" t="str">
        <f t="shared" ref="H355:I355" si="30">""</f>
        <v/>
      </c>
      <c r="I355" t="str">
        <f t="shared" si="30"/>
        <v/>
      </c>
      <c r="J355" s="1">
        <v>3.0</v>
      </c>
      <c r="K355" s="1">
        <v>3.72</v>
      </c>
      <c r="L355" s="1" t="s">
        <v>983</v>
      </c>
      <c r="M355" s="1" t="s">
        <v>238</v>
      </c>
      <c r="N355" s="1">
        <v>187.0</v>
      </c>
      <c r="O355" s="1">
        <v>2001.0</v>
      </c>
      <c r="P355" s="1">
        <v>1999.0</v>
      </c>
      <c r="R355" s="2">
        <v>41169.0</v>
      </c>
      <c r="U355" s="1" t="s">
        <v>41</v>
      </c>
      <c r="Y355" s="1">
        <v>1.0</v>
      </c>
      <c r="AB355" s="1">
        <v>0.0</v>
      </c>
    </row>
    <row r="356">
      <c r="A356" s="1">
        <v>283786.0</v>
      </c>
      <c r="B356" s="1" t="s">
        <v>1421</v>
      </c>
      <c r="C356" s="1" t="s">
        <v>1422</v>
      </c>
      <c r="D356" s="1" t="s">
        <v>35</v>
      </c>
      <c r="E356" s="1" t="s">
        <v>65</v>
      </c>
      <c r="F356" s="1" t="s">
        <v>1423</v>
      </c>
      <c r="H356" t="str">
        <f>"0880016884"</f>
        <v>0880016884</v>
      </c>
      <c r="I356" t="str">
        <f>"9780880016889"</f>
        <v>9780880016889</v>
      </c>
      <c r="J356" s="1">
        <v>4.0</v>
      </c>
      <c r="K356" s="1">
        <v>3.47</v>
      </c>
      <c r="L356" s="1" t="s">
        <v>285</v>
      </c>
      <c r="M356" s="1" t="s">
        <v>40</v>
      </c>
      <c r="N356" s="1">
        <v>192.0</v>
      </c>
      <c r="O356" s="1">
        <v>1999.0</v>
      </c>
      <c r="P356" s="1">
        <v>1992.0</v>
      </c>
      <c r="R356" s="2">
        <v>41169.0</v>
      </c>
      <c r="U356" s="1" t="s">
        <v>41</v>
      </c>
      <c r="Y356" s="1">
        <v>1.0</v>
      </c>
      <c r="AB356" s="1">
        <v>0.0</v>
      </c>
    </row>
    <row r="357">
      <c r="A357" s="1">
        <v>28921.0</v>
      </c>
      <c r="B357" s="1" t="s">
        <v>1424</v>
      </c>
      <c r="C357" s="1" t="s">
        <v>1425</v>
      </c>
      <c r="D357" s="1" t="s">
        <v>870</v>
      </c>
      <c r="E357" s="1" t="s">
        <v>65</v>
      </c>
      <c r="F357" s="1" t="s">
        <v>1426</v>
      </c>
      <c r="H357" t="str">
        <f t="shared" ref="H357:I357" si="31">""</f>
        <v/>
      </c>
      <c r="I357" t="str">
        <f t="shared" si="31"/>
        <v/>
      </c>
      <c r="J357" s="1">
        <v>4.0</v>
      </c>
      <c r="K357" s="1">
        <v>4.11</v>
      </c>
      <c r="L357" s="1" t="s">
        <v>1004</v>
      </c>
      <c r="M357" s="1" t="s">
        <v>40</v>
      </c>
      <c r="N357" s="1">
        <v>258.0</v>
      </c>
      <c r="O357" s="1">
        <v>2005.0</v>
      </c>
      <c r="P357" s="1">
        <v>1989.0</v>
      </c>
      <c r="R357" s="2">
        <v>41169.0</v>
      </c>
      <c r="U357" s="1" t="s">
        <v>41</v>
      </c>
      <c r="Y357" s="1">
        <v>1.0</v>
      </c>
      <c r="AB357" s="1">
        <v>0.0</v>
      </c>
    </row>
    <row r="358">
      <c r="A358" s="1">
        <v>2873.0</v>
      </c>
      <c r="B358" s="1" t="s">
        <v>1427</v>
      </c>
      <c r="C358" s="1" t="s">
        <v>1428</v>
      </c>
      <c r="D358" s="1" t="s">
        <v>71</v>
      </c>
      <c r="E358" s="1" t="s">
        <v>65</v>
      </c>
      <c r="F358" s="1" t="s">
        <v>1429</v>
      </c>
      <c r="H358" t="str">
        <f>"0452284449"</f>
        <v>0452284449</v>
      </c>
      <c r="I358" t="str">
        <f>"9780452284449"</f>
        <v>9780452284449</v>
      </c>
      <c r="J358" s="1">
        <v>4.0</v>
      </c>
      <c r="K358" s="1">
        <v>3.66</v>
      </c>
      <c r="L358" s="1" t="s">
        <v>269</v>
      </c>
      <c r="M358" s="1" t="s">
        <v>40</v>
      </c>
      <c r="N358" s="1">
        <v>320.0</v>
      </c>
      <c r="O358" s="1">
        <v>2003.0</v>
      </c>
      <c r="P358" s="1">
        <v>1997.0</v>
      </c>
      <c r="R358" s="2">
        <v>41169.0</v>
      </c>
      <c r="U358" s="1" t="s">
        <v>41</v>
      </c>
      <c r="Y358" s="1">
        <v>1.0</v>
      </c>
      <c r="AB358" s="1">
        <v>0.0</v>
      </c>
    </row>
    <row r="359">
      <c r="A359" s="1">
        <v>973528.0</v>
      </c>
      <c r="B359" s="1" t="s">
        <v>1430</v>
      </c>
      <c r="C359" s="1" t="s">
        <v>1431</v>
      </c>
      <c r="D359" s="1" t="s">
        <v>71</v>
      </c>
      <c r="E359" s="1" t="s">
        <v>36</v>
      </c>
      <c r="F359" s="1" t="s">
        <v>1432</v>
      </c>
      <c r="H359" t="str">
        <f>"1594201307"</f>
        <v>1594201307</v>
      </c>
      <c r="I359" t="str">
        <f>"9781594201301"</f>
        <v>9781594201301</v>
      </c>
      <c r="J359" s="1">
        <v>3.0</v>
      </c>
      <c r="K359" s="1">
        <v>3.36</v>
      </c>
      <c r="L359" s="1" t="s">
        <v>1433</v>
      </c>
      <c r="M359" s="1" t="s">
        <v>55</v>
      </c>
      <c r="N359" s="1">
        <v>272.0</v>
      </c>
      <c r="O359" s="1">
        <v>2007.0</v>
      </c>
      <c r="P359" s="1">
        <v>2007.0</v>
      </c>
      <c r="R359" s="2">
        <v>41169.0</v>
      </c>
      <c r="U359" s="1" t="s">
        <v>41</v>
      </c>
      <c r="Y359" s="1">
        <v>1.0</v>
      </c>
      <c r="AB359" s="1">
        <v>0.0</v>
      </c>
    </row>
    <row r="360">
      <c r="A360" s="1">
        <v>4772110.0</v>
      </c>
      <c r="B360" s="1" t="s">
        <v>1434</v>
      </c>
      <c r="C360" s="1" t="s">
        <v>1425</v>
      </c>
      <c r="D360" s="1" t="s">
        <v>870</v>
      </c>
      <c r="E360" s="1" t="s">
        <v>36</v>
      </c>
      <c r="F360" s="1" t="s">
        <v>1426</v>
      </c>
      <c r="H360" t="str">
        <f>"0307397874"</f>
        <v>0307397874</v>
      </c>
      <c r="I360" t="str">
        <f>"9780307397874"</f>
        <v>9780307397874</v>
      </c>
      <c r="J360" s="1">
        <v>3.0</v>
      </c>
      <c r="K360" s="1">
        <v>3.43</v>
      </c>
      <c r="L360" s="1" t="s">
        <v>1435</v>
      </c>
      <c r="M360" s="1" t="s">
        <v>55</v>
      </c>
      <c r="N360" s="1">
        <v>221.0</v>
      </c>
      <c r="O360" s="1">
        <v>2009.0</v>
      </c>
      <c r="P360" s="1">
        <v>2009.0</v>
      </c>
      <c r="R360" s="2">
        <v>41169.0</v>
      </c>
      <c r="U360" s="1" t="s">
        <v>41</v>
      </c>
      <c r="Y360" s="1">
        <v>1.0</v>
      </c>
      <c r="AB360" s="1">
        <v>0.0</v>
      </c>
    </row>
    <row r="361">
      <c r="A361" s="1">
        <v>1860831.0</v>
      </c>
      <c r="B361" s="1" t="s">
        <v>1436</v>
      </c>
      <c r="C361" s="1" t="s">
        <v>1437</v>
      </c>
      <c r="D361" s="1" t="s">
        <v>1438</v>
      </c>
      <c r="E361" s="1" t="s">
        <v>36</v>
      </c>
      <c r="F361" s="1" t="s">
        <v>1439</v>
      </c>
      <c r="H361" t="str">
        <f>"9044504320"</f>
        <v>9044504320</v>
      </c>
      <c r="I361" t="str">
        <f>"9789044504323"</f>
        <v>9789044504323</v>
      </c>
      <c r="J361" s="1">
        <v>4.0</v>
      </c>
      <c r="K361" s="1">
        <v>3.15</v>
      </c>
      <c r="L361" s="1" t="s">
        <v>1440</v>
      </c>
      <c r="M361" s="1" t="s">
        <v>55</v>
      </c>
      <c r="N361" s="1">
        <v>160.0</v>
      </c>
      <c r="O361" s="1">
        <v>2003.0</v>
      </c>
      <c r="P361" s="1">
        <v>2003.0</v>
      </c>
      <c r="R361" s="2">
        <v>41169.0</v>
      </c>
      <c r="U361" s="1" t="s">
        <v>41</v>
      </c>
      <c r="Y361" s="1">
        <v>1.0</v>
      </c>
      <c r="AB361" s="1">
        <v>0.0</v>
      </c>
    </row>
    <row r="362">
      <c r="A362" s="1">
        <v>152057.0</v>
      </c>
      <c r="B362" s="1" t="s">
        <v>1441</v>
      </c>
      <c r="C362" s="1" t="s">
        <v>908</v>
      </c>
      <c r="D362" s="1" t="s">
        <v>120</v>
      </c>
      <c r="E362" s="1" t="s">
        <v>36</v>
      </c>
      <c r="F362" s="1" t="s">
        <v>909</v>
      </c>
      <c r="H362" t="str">
        <f>"0393308456"</f>
        <v>0393308456</v>
      </c>
      <c r="I362" t="str">
        <f>"9780393308457"</f>
        <v>9780393308457</v>
      </c>
      <c r="J362" s="1">
        <v>3.0</v>
      </c>
      <c r="K362" s="1">
        <v>4.1</v>
      </c>
      <c r="L362" s="1" t="s">
        <v>346</v>
      </c>
      <c r="M362" s="1" t="s">
        <v>40</v>
      </c>
      <c r="N362" s="1">
        <v>352.0</v>
      </c>
      <c r="O362" s="1">
        <v>1992.0</v>
      </c>
      <c r="P362" s="1">
        <v>1946.0</v>
      </c>
      <c r="R362" s="2">
        <v>41169.0</v>
      </c>
      <c r="U362" s="1" t="s">
        <v>41</v>
      </c>
      <c r="Y362" s="1">
        <v>1.0</v>
      </c>
      <c r="AB362" s="1">
        <v>0.0</v>
      </c>
    </row>
    <row r="363">
      <c r="A363" s="1">
        <v>817199.0</v>
      </c>
      <c r="B363" s="1" t="s">
        <v>1442</v>
      </c>
      <c r="C363" s="1" t="s">
        <v>49</v>
      </c>
      <c r="D363" s="1" t="s">
        <v>50</v>
      </c>
      <c r="E363" s="1" t="s">
        <v>36</v>
      </c>
      <c r="F363" s="1" t="s">
        <v>51</v>
      </c>
      <c r="H363" t="str">
        <f>"9735004100"</f>
        <v>9735004100</v>
      </c>
      <c r="I363" t="str">
        <f>"9789735004101"</f>
        <v>9789735004101</v>
      </c>
      <c r="J363" s="1">
        <v>2.0</v>
      </c>
      <c r="K363" s="1">
        <v>3.93</v>
      </c>
      <c r="L363" s="1" t="s">
        <v>627</v>
      </c>
      <c r="M363" s="1" t="s">
        <v>40</v>
      </c>
      <c r="N363" s="1">
        <v>200.0</v>
      </c>
      <c r="O363" s="1">
        <v>2003.0</v>
      </c>
      <c r="P363" s="1">
        <v>1933.0</v>
      </c>
      <c r="R363" s="2">
        <v>41169.0</v>
      </c>
      <c r="U363" s="1" t="s">
        <v>41</v>
      </c>
      <c r="Y363" s="1">
        <v>1.0</v>
      </c>
      <c r="AB363" s="1">
        <v>0.0</v>
      </c>
    </row>
    <row r="364">
      <c r="A364" s="1">
        <v>11713.0</v>
      </c>
      <c r="B364" s="1" t="s">
        <v>1443</v>
      </c>
      <c r="C364" s="1" t="s">
        <v>1444</v>
      </c>
      <c r="D364" s="1" t="s">
        <v>1445</v>
      </c>
      <c r="E364" s="1" t="s">
        <v>65</v>
      </c>
      <c r="F364" s="1" t="s">
        <v>1446</v>
      </c>
      <c r="H364" t="str">
        <f>"0771068719"</f>
        <v>0771068719</v>
      </c>
      <c r="I364" t="str">
        <f>"9780771068713"</f>
        <v>9780771068713</v>
      </c>
      <c r="J364" s="1">
        <v>3.0</v>
      </c>
      <c r="K364" s="1">
        <v>3.88</v>
      </c>
      <c r="L364" s="1" t="s">
        <v>1447</v>
      </c>
      <c r="M364" s="1" t="s">
        <v>55</v>
      </c>
      <c r="N364" s="1">
        <v>320.0</v>
      </c>
      <c r="O364" s="1">
        <v>2006.0</v>
      </c>
      <c r="P364" s="1">
        <v>1992.0</v>
      </c>
      <c r="R364" s="2">
        <v>41170.0</v>
      </c>
      <c r="U364" s="1" t="s">
        <v>41</v>
      </c>
      <c r="Y364" s="1">
        <v>1.0</v>
      </c>
      <c r="AB364" s="1">
        <v>0.0</v>
      </c>
    </row>
    <row r="365">
      <c r="A365" s="1">
        <v>71728.0</v>
      </c>
      <c r="B365" s="1" t="s">
        <v>1448</v>
      </c>
      <c r="C365" s="1" t="s">
        <v>1449</v>
      </c>
      <c r="D365" s="1" t="s">
        <v>71</v>
      </c>
      <c r="E365" s="1" t="s">
        <v>36</v>
      </c>
      <c r="F365" s="1" t="s">
        <v>1450</v>
      </c>
      <c r="G365" s="1" t="s">
        <v>1451</v>
      </c>
      <c r="H365" t="str">
        <f>"0743278909"</f>
        <v>0743278909</v>
      </c>
      <c r="I365" t="str">
        <f>"9780743278904"</f>
        <v>9780743278904</v>
      </c>
      <c r="J365" s="1">
        <v>4.0</v>
      </c>
      <c r="K365" s="1">
        <v>3.81</v>
      </c>
      <c r="L365" s="1" t="s">
        <v>356</v>
      </c>
      <c r="M365" s="1" t="s">
        <v>40</v>
      </c>
      <c r="N365" s="1">
        <v>112.0</v>
      </c>
      <c r="O365" s="1">
        <v>2006.0</v>
      </c>
      <c r="P365" s="1">
        <v>1970.0</v>
      </c>
      <c r="R365" s="2">
        <v>41170.0</v>
      </c>
      <c r="U365" s="1" t="s">
        <v>41</v>
      </c>
      <c r="Y365" s="1">
        <v>1.0</v>
      </c>
      <c r="AB365" s="1">
        <v>0.0</v>
      </c>
    </row>
    <row r="366">
      <c r="A366" s="1">
        <v>215175.0</v>
      </c>
      <c r="B366" s="1" t="s">
        <v>1452</v>
      </c>
      <c r="C366" s="1" t="s">
        <v>1453</v>
      </c>
      <c r="D366" s="1" t="s">
        <v>1454</v>
      </c>
      <c r="E366" s="1" t="s">
        <v>36</v>
      </c>
      <c r="F366" s="1" t="s">
        <v>1455</v>
      </c>
      <c r="H366" t="str">
        <f>"0753817071"</f>
        <v>0753817071</v>
      </c>
      <c r="I366" t="str">
        <f>"9780753817070"</f>
        <v>9780753817070</v>
      </c>
      <c r="J366" s="1">
        <v>3.0</v>
      </c>
      <c r="K366" s="1">
        <v>3.24</v>
      </c>
      <c r="L366" s="1" t="s">
        <v>1456</v>
      </c>
      <c r="M366" s="1" t="s">
        <v>40</v>
      </c>
      <c r="O366" s="1">
        <v>2003.0</v>
      </c>
      <c r="P366" s="1">
        <v>2002.0</v>
      </c>
      <c r="R366" s="2">
        <v>41169.0</v>
      </c>
      <c r="U366" s="1" t="s">
        <v>41</v>
      </c>
      <c r="Y366" s="1">
        <v>1.0</v>
      </c>
      <c r="AB366" s="1">
        <v>0.0</v>
      </c>
    </row>
    <row r="367">
      <c r="A367" s="1">
        <v>1010836.0</v>
      </c>
      <c r="B367" s="1" t="s">
        <v>1457</v>
      </c>
      <c r="C367" s="1" t="s">
        <v>49</v>
      </c>
      <c r="D367" s="1" t="s">
        <v>50</v>
      </c>
      <c r="E367" s="1" t="s">
        <v>36</v>
      </c>
      <c r="F367" s="1" t="s">
        <v>51</v>
      </c>
      <c r="G367" s="1" t="s">
        <v>1458</v>
      </c>
      <c r="H367" t="str">
        <f>"2868697801"</f>
        <v>2868697801</v>
      </c>
      <c r="I367" t="str">
        <f>"9782868697806"</f>
        <v>9782868697806</v>
      </c>
      <c r="J367" s="1">
        <v>4.0</v>
      </c>
      <c r="K367" s="1">
        <v>3.83</v>
      </c>
      <c r="L367" s="1" t="s">
        <v>1459</v>
      </c>
      <c r="M367" s="1" t="s">
        <v>40</v>
      </c>
      <c r="N367" s="1">
        <v>246.0</v>
      </c>
      <c r="O367" s="1">
        <v>1993.0</v>
      </c>
      <c r="P367" s="1">
        <v>1989.0</v>
      </c>
      <c r="R367" s="2">
        <v>41169.0</v>
      </c>
      <c r="U367" s="1" t="s">
        <v>41</v>
      </c>
      <c r="Y367" s="1">
        <v>1.0</v>
      </c>
      <c r="AB367" s="1">
        <v>0.0</v>
      </c>
    </row>
    <row r="368">
      <c r="A368" s="1">
        <v>1.0787281E7</v>
      </c>
      <c r="B368" s="1" t="s">
        <v>1460</v>
      </c>
      <c r="C368" s="1" t="s">
        <v>49</v>
      </c>
      <c r="D368" s="1" t="s">
        <v>50</v>
      </c>
      <c r="E368" s="1" t="s">
        <v>36</v>
      </c>
      <c r="F368" s="1" t="s">
        <v>51</v>
      </c>
      <c r="H368" t="str">
        <f>"9735006405"</f>
        <v>9735006405</v>
      </c>
      <c r="I368" t="str">
        <f>"9789735006402"</f>
        <v>9789735006402</v>
      </c>
      <c r="J368" s="1">
        <v>4.0</v>
      </c>
      <c r="K368" s="1">
        <v>4.08</v>
      </c>
      <c r="L368" s="1" t="s">
        <v>627</v>
      </c>
      <c r="M368" s="1" t="s">
        <v>60</v>
      </c>
      <c r="N368" s="1">
        <v>321.0</v>
      </c>
      <c r="O368" s="1">
        <v>2004.0</v>
      </c>
      <c r="P368" s="1">
        <v>1963.0</v>
      </c>
      <c r="R368" s="2">
        <v>41169.0</v>
      </c>
      <c r="U368" s="1" t="s">
        <v>41</v>
      </c>
      <c r="Y368" s="1">
        <v>1.0</v>
      </c>
      <c r="AB368" s="1">
        <v>0.0</v>
      </c>
    </row>
    <row r="369">
      <c r="A369" s="1">
        <v>4638006.0</v>
      </c>
      <c r="B369" s="1" t="s">
        <v>1461</v>
      </c>
      <c r="C369" s="1" t="s">
        <v>49</v>
      </c>
      <c r="D369" s="1" t="s">
        <v>50</v>
      </c>
      <c r="E369" s="1" t="s">
        <v>36</v>
      </c>
      <c r="F369" s="1" t="s">
        <v>51</v>
      </c>
      <c r="H369" t="str">
        <f>""</f>
        <v/>
      </c>
      <c r="I369" t="str">
        <f>"9789736753985"</f>
        <v>9789736753985</v>
      </c>
      <c r="J369" s="1">
        <v>4.0</v>
      </c>
      <c r="K369" s="1">
        <v>4.39</v>
      </c>
      <c r="L369" s="1" t="s">
        <v>1462</v>
      </c>
      <c r="M369" s="1" t="s">
        <v>55</v>
      </c>
      <c r="N369" s="1">
        <v>336.0</v>
      </c>
      <c r="O369" s="1">
        <v>2010.0</v>
      </c>
      <c r="P369" s="1">
        <v>1955.0</v>
      </c>
      <c r="R369" s="2">
        <v>41169.0</v>
      </c>
      <c r="U369" s="1" t="s">
        <v>41</v>
      </c>
      <c r="Y369" s="1">
        <v>1.0</v>
      </c>
      <c r="AB369" s="1">
        <v>0.0</v>
      </c>
    </row>
    <row r="370">
      <c r="A370" s="1">
        <v>2153110.0</v>
      </c>
      <c r="B370" s="1" t="s">
        <v>1463</v>
      </c>
      <c r="C370" s="1" t="s">
        <v>49</v>
      </c>
      <c r="D370" s="1" t="s">
        <v>50</v>
      </c>
      <c r="E370" s="1" t="s">
        <v>36</v>
      </c>
      <c r="F370" s="1" t="s">
        <v>51</v>
      </c>
      <c r="H370" t="str">
        <f>"9735004097"</f>
        <v>9735004097</v>
      </c>
      <c r="I370" t="str">
        <f>"9789735004095"</f>
        <v>9789735004095</v>
      </c>
      <c r="J370" s="1">
        <v>5.0</v>
      </c>
      <c r="K370" s="1">
        <v>4.15</v>
      </c>
      <c r="L370" s="1" t="s">
        <v>627</v>
      </c>
      <c r="M370" s="1" t="s">
        <v>40</v>
      </c>
      <c r="N370" s="1">
        <v>144.0</v>
      </c>
      <c r="O370" s="1">
        <v>2003.0</v>
      </c>
      <c r="P370" s="1">
        <v>1940.0</v>
      </c>
      <c r="R370" s="2">
        <v>41169.0</v>
      </c>
      <c r="U370" s="1" t="s">
        <v>41</v>
      </c>
      <c r="Y370" s="1">
        <v>1.0</v>
      </c>
      <c r="AB370" s="1">
        <v>0.0</v>
      </c>
    </row>
    <row r="371">
      <c r="A371" s="1">
        <v>96123.0</v>
      </c>
      <c r="B371" s="1" t="s">
        <v>1464</v>
      </c>
      <c r="C371" s="1" t="s">
        <v>1465</v>
      </c>
      <c r="D371" s="1" t="s">
        <v>71</v>
      </c>
      <c r="E371" s="1" t="s">
        <v>36</v>
      </c>
      <c r="F371" s="1" t="s">
        <v>1466</v>
      </c>
      <c r="G371" s="1" t="s">
        <v>1467</v>
      </c>
      <c r="H371" t="str">
        <f>"1416522913"</f>
        <v>1416522913</v>
      </c>
      <c r="I371" t="str">
        <f>"9781416522911"</f>
        <v>9781416522911</v>
      </c>
      <c r="J371" s="1">
        <v>4.0</v>
      </c>
      <c r="K371" s="1">
        <v>4.18</v>
      </c>
      <c r="L371" s="1" t="s">
        <v>1128</v>
      </c>
      <c r="M371" s="1" t="s">
        <v>40</v>
      </c>
      <c r="N371" s="1">
        <v>480.0</v>
      </c>
      <c r="O371" s="1">
        <v>2005.0</v>
      </c>
      <c r="P371" s="1">
        <v>1974.0</v>
      </c>
      <c r="R371" s="2">
        <v>41169.0</v>
      </c>
      <c r="U371" s="1" t="s">
        <v>41</v>
      </c>
      <c r="Y371" s="1">
        <v>1.0</v>
      </c>
      <c r="AB371" s="1">
        <v>0.0</v>
      </c>
    </row>
    <row r="372">
      <c r="A372" s="1">
        <v>968.0</v>
      </c>
      <c r="B372" s="1" t="s">
        <v>1468</v>
      </c>
      <c r="C372" s="1" t="s">
        <v>1469</v>
      </c>
      <c r="D372" s="1" t="s">
        <v>71</v>
      </c>
      <c r="E372" s="1" t="s">
        <v>65</v>
      </c>
      <c r="F372" s="1" t="s">
        <v>1470</v>
      </c>
      <c r="H372" t="str">
        <f>"0307277674"</f>
        <v>0307277674</v>
      </c>
      <c r="I372" t="str">
        <f>"9780307277671"</f>
        <v>9780307277671</v>
      </c>
      <c r="J372" s="1">
        <v>3.0</v>
      </c>
      <c r="K372" s="1">
        <v>3.81</v>
      </c>
      <c r="L372" s="1" t="s">
        <v>169</v>
      </c>
      <c r="M372" s="1" t="s">
        <v>40</v>
      </c>
      <c r="N372" s="1">
        <v>481.0</v>
      </c>
      <c r="O372" s="1">
        <v>2006.0</v>
      </c>
      <c r="P372" s="1">
        <v>2003.0</v>
      </c>
      <c r="R372" s="2">
        <v>41169.0</v>
      </c>
      <c r="U372" s="1" t="s">
        <v>41</v>
      </c>
      <c r="Y372" s="1">
        <v>1.0</v>
      </c>
      <c r="AB372" s="1">
        <v>0.0</v>
      </c>
    </row>
    <row r="373">
      <c r="A373" s="1">
        <v>256566.0</v>
      </c>
      <c r="B373" s="1" t="s">
        <v>1471</v>
      </c>
      <c r="C373" s="1" t="s">
        <v>1116</v>
      </c>
      <c r="D373" s="1" t="s">
        <v>71</v>
      </c>
      <c r="E373" s="1" t="s">
        <v>65</v>
      </c>
      <c r="F373" s="1" t="s">
        <v>1117</v>
      </c>
      <c r="H373" t="str">
        <f>"0060529709"</f>
        <v>0060529709</v>
      </c>
      <c r="I373" t="str">
        <f>"9780060529703"</f>
        <v>9780060529703</v>
      </c>
      <c r="J373" s="1">
        <v>3.0</v>
      </c>
      <c r="K373" s="1">
        <v>3.9</v>
      </c>
      <c r="L373" s="1" t="s">
        <v>451</v>
      </c>
      <c r="M373" s="1" t="s">
        <v>40</v>
      </c>
      <c r="N373" s="1">
        <v>276.0</v>
      </c>
      <c r="O373" s="1">
        <v>2003.0</v>
      </c>
      <c r="P373" s="1">
        <v>2002.0</v>
      </c>
      <c r="R373" s="2">
        <v>41169.0</v>
      </c>
      <c r="U373" s="1" t="s">
        <v>41</v>
      </c>
      <c r="Y373" s="1">
        <v>1.0</v>
      </c>
      <c r="AB373" s="1">
        <v>0.0</v>
      </c>
    </row>
    <row r="374">
      <c r="A374" s="1">
        <v>1427.0</v>
      </c>
      <c r="B374" s="1" t="s">
        <v>1472</v>
      </c>
      <c r="C374" s="1" t="s">
        <v>1473</v>
      </c>
      <c r="D374" s="1" t="s">
        <v>1474</v>
      </c>
      <c r="E374" s="1" t="s">
        <v>36</v>
      </c>
      <c r="F374" s="1" t="s">
        <v>1475</v>
      </c>
      <c r="G374" s="1" t="s">
        <v>53</v>
      </c>
      <c r="H374" t="str">
        <f>"0060832819"</f>
        <v>0060832819</v>
      </c>
      <c r="I374" t="str">
        <f>"9780060832810"</f>
        <v>9780060832810</v>
      </c>
      <c r="J374" s="1">
        <v>3.0</v>
      </c>
      <c r="K374" s="1">
        <v>3.57</v>
      </c>
      <c r="L374" s="1" t="s">
        <v>338</v>
      </c>
      <c r="M374" s="1" t="s">
        <v>40</v>
      </c>
      <c r="N374" s="1">
        <v>336.0</v>
      </c>
      <c r="O374" s="1">
        <v>2006.0</v>
      </c>
      <c r="P374" s="1">
        <v>2005.0</v>
      </c>
      <c r="R374" s="2">
        <v>41169.0</v>
      </c>
      <c r="U374" s="1" t="s">
        <v>41</v>
      </c>
      <c r="Y374" s="1">
        <v>1.0</v>
      </c>
      <c r="AB374" s="1">
        <v>0.0</v>
      </c>
    </row>
    <row r="375">
      <c r="A375" s="1">
        <v>1430.0</v>
      </c>
      <c r="B375" s="1" t="s">
        <v>1476</v>
      </c>
      <c r="C375" s="1" t="s">
        <v>1473</v>
      </c>
      <c r="D375" s="1" t="s">
        <v>1474</v>
      </c>
      <c r="E375" s="1" t="s">
        <v>36</v>
      </c>
      <c r="F375" s="1" t="s">
        <v>1475</v>
      </c>
      <c r="G375" s="1" t="s">
        <v>53</v>
      </c>
      <c r="H375" t="str">
        <f>"0060589280"</f>
        <v>0060589280</v>
      </c>
      <c r="I375" t="str">
        <f>"9780060589288"</f>
        <v>9780060589288</v>
      </c>
      <c r="J375" s="1">
        <v>3.0</v>
      </c>
      <c r="K375" s="1">
        <v>3.69</v>
      </c>
      <c r="L375" s="1" t="s">
        <v>338</v>
      </c>
      <c r="M375" s="1" t="s">
        <v>40</v>
      </c>
      <c r="N375" s="1">
        <v>273.0</v>
      </c>
      <c r="O375" s="1">
        <v>2003.0</v>
      </c>
      <c r="P375" s="1">
        <v>2003.0</v>
      </c>
      <c r="R375" s="2">
        <v>41169.0</v>
      </c>
      <c r="U375" s="1" t="s">
        <v>41</v>
      </c>
      <c r="Y375" s="1">
        <v>1.0</v>
      </c>
      <c r="AB375" s="1">
        <v>0.0</v>
      </c>
    </row>
    <row r="376">
      <c r="A376" s="1">
        <v>953345.0</v>
      </c>
      <c r="B376" s="1" t="s">
        <v>1477</v>
      </c>
      <c r="C376" s="1" t="s">
        <v>1478</v>
      </c>
      <c r="D376" s="1" t="s">
        <v>95</v>
      </c>
      <c r="E376" s="1" t="s">
        <v>72</v>
      </c>
      <c r="F376" s="1" t="s">
        <v>1479</v>
      </c>
      <c r="H376" t="str">
        <f>"3353011684"</f>
        <v>3353011684</v>
      </c>
      <c r="I376" t="str">
        <f>"9783353011688"</f>
        <v>9783353011688</v>
      </c>
      <c r="J376" s="1">
        <v>4.0</v>
      </c>
      <c r="K376" s="1">
        <v>3.51</v>
      </c>
      <c r="L376" s="1" t="s">
        <v>1480</v>
      </c>
      <c r="M376" s="1" t="s">
        <v>55</v>
      </c>
      <c r="N376" s="1">
        <v>156.0</v>
      </c>
      <c r="O376" s="1">
        <v>1999.0</v>
      </c>
      <c r="P376" s="1">
        <v>1999.0</v>
      </c>
      <c r="R376" s="2">
        <v>41169.0</v>
      </c>
      <c r="U376" s="1" t="s">
        <v>41</v>
      </c>
      <c r="Y376" s="1">
        <v>1.0</v>
      </c>
      <c r="AB376" s="1">
        <v>0.0</v>
      </c>
    </row>
    <row r="377">
      <c r="A377" s="1">
        <v>177780.0</v>
      </c>
      <c r="B377" s="1" t="s">
        <v>1481</v>
      </c>
      <c r="C377" s="1" t="s">
        <v>1482</v>
      </c>
      <c r="D377" s="1" t="s">
        <v>120</v>
      </c>
      <c r="E377" s="1" t="s">
        <v>278</v>
      </c>
      <c r="F377" s="1" t="s">
        <v>1483</v>
      </c>
      <c r="H377" t="str">
        <f>"0785922679"</f>
        <v>0785922679</v>
      </c>
      <c r="I377" t="str">
        <f>"9780785922674"</f>
        <v>9780785922674</v>
      </c>
      <c r="J377" s="1">
        <v>4.0</v>
      </c>
      <c r="K377" s="1">
        <v>3.97</v>
      </c>
      <c r="L377" s="1" t="s">
        <v>1114</v>
      </c>
      <c r="M377" s="1" t="s">
        <v>238</v>
      </c>
      <c r="N377" s="1">
        <v>160.0</v>
      </c>
      <c r="O377" s="1">
        <v>1972.0</v>
      </c>
      <c r="P377" s="1">
        <v>1957.0</v>
      </c>
      <c r="R377" s="2">
        <v>41169.0</v>
      </c>
      <c r="U377" s="1" t="s">
        <v>41</v>
      </c>
      <c r="Y377" s="1">
        <v>1.0</v>
      </c>
      <c r="AB377" s="1">
        <v>0.0</v>
      </c>
    </row>
    <row r="378">
      <c r="A378" s="1">
        <v>458080.0</v>
      </c>
      <c r="B378" s="1" t="s">
        <v>1484</v>
      </c>
      <c r="C378" s="1" t="s">
        <v>1485</v>
      </c>
      <c r="D378" s="1" t="s">
        <v>120</v>
      </c>
      <c r="E378" s="1" t="s">
        <v>36</v>
      </c>
      <c r="F378" s="1" t="s">
        <v>1486</v>
      </c>
      <c r="H378" t="str">
        <f>"1933633123"</f>
        <v>1933633123</v>
      </c>
      <c r="I378" t="str">
        <f>"9781933633121"</f>
        <v>9781933633121</v>
      </c>
      <c r="J378" s="1">
        <v>4.0</v>
      </c>
      <c r="K378" s="1">
        <v>3.64</v>
      </c>
      <c r="L378" s="1" t="s">
        <v>1487</v>
      </c>
      <c r="M378" s="1" t="s">
        <v>40</v>
      </c>
      <c r="N378" s="1">
        <v>187.0</v>
      </c>
      <c r="O378" s="1">
        <v>2007.0</v>
      </c>
      <c r="P378" s="1">
        <v>2005.0</v>
      </c>
      <c r="R378" s="2">
        <v>41169.0</v>
      </c>
      <c r="U378" s="1" t="s">
        <v>41</v>
      </c>
      <c r="Y378" s="1">
        <v>1.0</v>
      </c>
      <c r="AB378" s="1">
        <v>0.0</v>
      </c>
    </row>
    <row r="379">
      <c r="A379" s="1">
        <v>22034.0</v>
      </c>
      <c r="B379" s="1" t="s">
        <v>1488</v>
      </c>
      <c r="C379" s="1" t="s">
        <v>1489</v>
      </c>
      <c r="D379" s="1" t="s">
        <v>71</v>
      </c>
      <c r="E379" s="1" t="s">
        <v>65</v>
      </c>
      <c r="F379" s="1" t="s">
        <v>1490</v>
      </c>
      <c r="G379" s="1" t="s">
        <v>1491</v>
      </c>
      <c r="H379" t="str">
        <f>"0451205766"</f>
        <v>0451205766</v>
      </c>
      <c r="I379" t="str">
        <f>"9780451205766"</f>
        <v>9780451205766</v>
      </c>
      <c r="J379" s="1">
        <v>4.0</v>
      </c>
      <c r="K379" s="1">
        <v>4.37</v>
      </c>
      <c r="L379" s="1" t="s">
        <v>1492</v>
      </c>
      <c r="M379" s="1" t="s">
        <v>40</v>
      </c>
      <c r="N379" s="1">
        <v>448.0</v>
      </c>
      <c r="O379" s="1">
        <v>2002.0</v>
      </c>
      <c r="P379" s="1">
        <v>1969.0</v>
      </c>
      <c r="R379" s="2">
        <v>41169.0</v>
      </c>
      <c r="U379" s="1" t="s">
        <v>41</v>
      </c>
      <c r="Y379" s="1">
        <v>1.0</v>
      </c>
      <c r="AB379" s="1">
        <v>0.0</v>
      </c>
    </row>
    <row r="380">
      <c r="A380" s="1">
        <v>233436.0</v>
      </c>
      <c r="B380" s="1" t="s">
        <v>1493</v>
      </c>
      <c r="C380" s="1" t="s">
        <v>1494</v>
      </c>
      <c r="D380" s="1" t="s">
        <v>35</v>
      </c>
      <c r="E380" s="1" t="s">
        <v>65</v>
      </c>
      <c r="F380" s="1" t="s">
        <v>1495</v>
      </c>
      <c r="H380" t="str">
        <f>""</f>
        <v/>
      </c>
      <c r="I380" t="str">
        <f>"9780007792146"</f>
        <v>9780007792146</v>
      </c>
      <c r="J380" s="1">
        <v>5.0</v>
      </c>
      <c r="K380" s="1">
        <v>3.79</v>
      </c>
      <c r="L380" s="1" t="s">
        <v>451</v>
      </c>
      <c r="M380" s="1" t="s">
        <v>40</v>
      </c>
      <c r="N380" s="1">
        <v>176.0</v>
      </c>
      <c r="O380" s="1">
        <v>2007.0</v>
      </c>
      <c r="P380" s="1">
        <v>1959.0</v>
      </c>
      <c r="R380" s="2">
        <v>41169.0</v>
      </c>
      <c r="U380" s="1" t="s">
        <v>41</v>
      </c>
      <c r="Y380" s="1">
        <v>1.0</v>
      </c>
      <c r="AB380" s="1">
        <v>0.0</v>
      </c>
    </row>
    <row r="381">
      <c r="A381" s="1">
        <v>6334.0</v>
      </c>
      <c r="B381" s="1" t="s">
        <v>1496</v>
      </c>
      <c r="C381" s="1" t="s">
        <v>1425</v>
      </c>
      <c r="D381" s="1" t="s">
        <v>870</v>
      </c>
      <c r="E381" s="1" t="s">
        <v>36</v>
      </c>
      <c r="F381" s="1" t="s">
        <v>1426</v>
      </c>
      <c r="H381" t="str">
        <f>"1400078776"</f>
        <v>1400078776</v>
      </c>
      <c r="I381" t="str">
        <f>"9781400078776"</f>
        <v>9781400078776</v>
      </c>
      <c r="J381" s="1">
        <v>4.0</v>
      </c>
      <c r="K381" s="1">
        <v>3.81</v>
      </c>
      <c r="L381" s="1" t="s">
        <v>999</v>
      </c>
      <c r="M381" s="1" t="s">
        <v>40</v>
      </c>
      <c r="N381" s="1">
        <v>288.0</v>
      </c>
      <c r="O381" s="1">
        <v>2010.0</v>
      </c>
      <c r="P381" s="1">
        <v>2005.0</v>
      </c>
      <c r="R381" s="2">
        <v>41169.0</v>
      </c>
      <c r="U381" s="1" t="s">
        <v>41</v>
      </c>
      <c r="Y381" s="1">
        <v>1.0</v>
      </c>
      <c r="AB381" s="1">
        <v>0.0</v>
      </c>
    </row>
    <row r="382">
      <c r="A382" s="1">
        <v>28922.0</v>
      </c>
      <c r="B382" s="1" t="s">
        <v>1497</v>
      </c>
      <c r="C382" s="1" t="s">
        <v>1425</v>
      </c>
      <c r="D382" s="1" t="s">
        <v>870</v>
      </c>
      <c r="E382" s="1" t="s">
        <v>65</v>
      </c>
      <c r="F382" s="1" t="s">
        <v>1426</v>
      </c>
      <c r="H382" t="str">
        <f>"0571225365"</f>
        <v>0571225365</v>
      </c>
      <c r="I382" t="str">
        <f>"9780571225361"</f>
        <v>9780571225361</v>
      </c>
      <c r="J382" s="1">
        <v>5.0</v>
      </c>
      <c r="K382" s="1">
        <v>3.74</v>
      </c>
      <c r="L382" s="1" t="s">
        <v>815</v>
      </c>
      <c r="M382" s="1" t="s">
        <v>40</v>
      </c>
      <c r="N382" s="1">
        <v>206.0</v>
      </c>
      <c r="O382" s="1">
        <v>2005.0</v>
      </c>
      <c r="P382" s="1">
        <v>1986.0</v>
      </c>
      <c r="R382" s="2">
        <v>41169.0</v>
      </c>
      <c r="U382" s="1" t="s">
        <v>41</v>
      </c>
      <c r="Y382" s="1">
        <v>1.0</v>
      </c>
      <c r="AB382" s="1">
        <v>0.0</v>
      </c>
    </row>
    <row r="383">
      <c r="A383" s="1">
        <v>333538.0</v>
      </c>
      <c r="B383" s="1" t="s">
        <v>1498</v>
      </c>
      <c r="C383" s="1" t="s">
        <v>1499</v>
      </c>
      <c r="D383" s="1" t="s">
        <v>440</v>
      </c>
      <c r="E383" s="1" t="s">
        <v>65</v>
      </c>
      <c r="F383" s="1" t="s">
        <v>1500</v>
      </c>
      <c r="G383" s="1" t="s">
        <v>1501</v>
      </c>
      <c r="H383" t="str">
        <f>"0805211063"</f>
        <v>0805211063</v>
      </c>
      <c r="I383" t="str">
        <f>"9780805211061"</f>
        <v>9780805211061</v>
      </c>
      <c r="J383" s="1">
        <v>5.0</v>
      </c>
      <c r="K383" s="1">
        <v>3.97</v>
      </c>
      <c r="L383" s="1" t="s">
        <v>881</v>
      </c>
      <c r="M383" s="1" t="s">
        <v>40</v>
      </c>
      <c r="N383" s="1">
        <v>316.0</v>
      </c>
      <c r="O383" s="1">
        <v>1998.0</v>
      </c>
      <c r="P383" s="1">
        <v>1926.0</v>
      </c>
      <c r="R383" s="2">
        <v>41169.0</v>
      </c>
      <c r="U383" s="1" t="s">
        <v>41</v>
      </c>
      <c r="Y383" s="1">
        <v>1.0</v>
      </c>
      <c r="AB383" s="1">
        <v>0.0</v>
      </c>
    </row>
    <row r="384">
      <c r="A384" s="1">
        <v>468488.0</v>
      </c>
      <c r="B384" s="1" t="s">
        <v>1502</v>
      </c>
      <c r="C384" s="1" t="s">
        <v>1503</v>
      </c>
      <c r="D384" s="1" t="s">
        <v>35</v>
      </c>
      <c r="E384" s="1" t="s">
        <v>65</v>
      </c>
      <c r="F384" s="1" t="s">
        <v>1504</v>
      </c>
      <c r="H384" t="str">
        <f>"1564780813"</f>
        <v>1564780813</v>
      </c>
      <c r="I384" t="str">
        <f>"9781564780812"</f>
        <v>9781564780812</v>
      </c>
      <c r="J384" s="1">
        <v>4.0</v>
      </c>
      <c r="K384" s="1">
        <v>3.83</v>
      </c>
      <c r="L384" s="1" t="s">
        <v>1048</v>
      </c>
      <c r="M384" s="1" t="s">
        <v>40</v>
      </c>
      <c r="N384" s="1">
        <v>236.0</v>
      </c>
      <c r="O384" s="1">
        <v>2015.0</v>
      </c>
      <c r="P384" s="1">
        <v>1989.0</v>
      </c>
      <c r="R384" s="2">
        <v>41169.0</v>
      </c>
      <c r="U384" s="1" t="s">
        <v>41</v>
      </c>
      <c r="Y384" s="1">
        <v>1.0</v>
      </c>
      <c r="AB384" s="1">
        <v>0.0</v>
      </c>
    </row>
    <row r="385">
      <c r="A385" s="1">
        <v>75519.0</v>
      </c>
      <c r="B385" s="1" t="s">
        <v>1505</v>
      </c>
      <c r="C385" s="1" t="s">
        <v>255</v>
      </c>
      <c r="D385" s="1" t="s">
        <v>120</v>
      </c>
      <c r="E385" s="1" t="s">
        <v>278</v>
      </c>
      <c r="F385" s="1" t="s">
        <v>256</v>
      </c>
      <c r="H385" t="str">
        <f>"2253152846"</f>
        <v>2253152846</v>
      </c>
      <c r="I385" t="str">
        <f>"9782253152842"</f>
        <v>9782253152842</v>
      </c>
      <c r="J385" s="1">
        <v>5.0</v>
      </c>
      <c r="K385" s="1">
        <v>3.85</v>
      </c>
      <c r="L385" s="1" t="s">
        <v>983</v>
      </c>
      <c r="M385" s="1" t="s">
        <v>238</v>
      </c>
      <c r="N385" s="1">
        <v>156.0</v>
      </c>
      <c r="O385" s="1">
        <v>2004.0</v>
      </c>
      <c r="P385" s="1">
        <v>2000.0</v>
      </c>
      <c r="R385" s="2">
        <v>41169.0</v>
      </c>
      <c r="U385" s="1" t="s">
        <v>41</v>
      </c>
      <c r="Y385" s="1">
        <v>1.0</v>
      </c>
      <c r="AB385" s="1">
        <v>0.0</v>
      </c>
    </row>
    <row r="386">
      <c r="A386" s="1">
        <v>120461.0</v>
      </c>
      <c r="B386" s="1" t="s">
        <v>1506</v>
      </c>
      <c r="C386" s="1" t="s">
        <v>1507</v>
      </c>
      <c r="D386" s="1" t="s">
        <v>120</v>
      </c>
      <c r="E386" s="1" t="s">
        <v>36</v>
      </c>
      <c r="F386" s="1" t="s">
        <v>1508</v>
      </c>
      <c r="H386" t="str">
        <f>"2226135022"</f>
        <v>2226135022</v>
      </c>
      <c r="I386" t="str">
        <f>"9782226135025"</f>
        <v>9782226135025</v>
      </c>
      <c r="J386" s="1">
        <v>5.0</v>
      </c>
      <c r="K386" s="1">
        <v>4.21</v>
      </c>
      <c r="L386" s="1" t="s">
        <v>257</v>
      </c>
      <c r="M386" s="1" t="s">
        <v>40</v>
      </c>
      <c r="N386" s="1">
        <v>100.0</v>
      </c>
      <c r="O386" s="1">
        <v>2002.0</v>
      </c>
      <c r="P386" s="1">
        <v>2002.0</v>
      </c>
      <c r="R386" s="2">
        <v>41169.0</v>
      </c>
      <c r="U386" s="1" t="s">
        <v>41</v>
      </c>
      <c r="Y386" s="1">
        <v>1.0</v>
      </c>
      <c r="AB386" s="1">
        <v>0.0</v>
      </c>
    </row>
    <row r="387">
      <c r="A387" s="1">
        <v>1845.0</v>
      </c>
      <c r="B387" s="1" t="s">
        <v>1509</v>
      </c>
      <c r="C387" s="1" t="s">
        <v>1510</v>
      </c>
      <c r="D387" s="1" t="s">
        <v>71</v>
      </c>
      <c r="E387" s="1" t="s">
        <v>65</v>
      </c>
      <c r="F387" s="1" t="s">
        <v>1511</v>
      </c>
      <c r="H387" t="str">
        <f>"0385486804"</f>
        <v>0385486804</v>
      </c>
      <c r="I387" t="str">
        <f>"9780385486804"</f>
        <v>9780385486804</v>
      </c>
      <c r="J387" s="1">
        <v>4.0</v>
      </c>
      <c r="K387" s="1">
        <v>3.96</v>
      </c>
      <c r="L387" s="1" t="s">
        <v>1512</v>
      </c>
      <c r="M387" s="1" t="s">
        <v>40</v>
      </c>
      <c r="N387" s="1">
        <v>207.0</v>
      </c>
      <c r="O387" s="1">
        <v>1997.0</v>
      </c>
      <c r="P387" s="1">
        <v>1996.0</v>
      </c>
      <c r="R387" s="2">
        <v>41169.0</v>
      </c>
      <c r="U387" s="1" t="s">
        <v>41</v>
      </c>
      <c r="Y387" s="1">
        <v>1.0</v>
      </c>
      <c r="AB387" s="1">
        <v>0.0</v>
      </c>
    </row>
    <row r="388">
      <c r="A388" s="1">
        <v>243705.0</v>
      </c>
      <c r="B388" s="1" t="s">
        <v>1513</v>
      </c>
      <c r="C388" s="1" t="s">
        <v>1514</v>
      </c>
      <c r="D388" s="1" t="s">
        <v>35</v>
      </c>
      <c r="E388" s="1" t="s">
        <v>65</v>
      </c>
      <c r="F388" s="1" t="s">
        <v>1515</v>
      </c>
      <c r="G388" s="1" t="s">
        <v>1516</v>
      </c>
      <c r="H388" t="str">
        <f>"0099470470"</f>
        <v>0099470470</v>
      </c>
      <c r="I388" t="str">
        <f>"9780099470472"</f>
        <v>9780099470472</v>
      </c>
      <c r="J388" s="1">
        <v>5.0</v>
      </c>
      <c r="K388" s="1">
        <v>3.99</v>
      </c>
      <c r="L388" s="1" t="s">
        <v>361</v>
      </c>
      <c r="M388" s="1" t="s">
        <v>40</v>
      </c>
      <c r="N388" s="1">
        <v>283.0</v>
      </c>
      <c r="O388" s="1">
        <v>1998.0</v>
      </c>
      <c r="P388" s="1">
        <v>1963.0</v>
      </c>
      <c r="R388" s="2">
        <v>41169.0</v>
      </c>
      <c r="U388" s="1" t="s">
        <v>41</v>
      </c>
      <c r="Y388" s="1">
        <v>1.0</v>
      </c>
      <c r="AB388" s="1">
        <v>0.0</v>
      </c>
    </row>
    <row r="389">
      <c r="A389" s="1">
        <v>4214.0</v>
      </c>
      <c r="B389" s="1" t="s">
        <v>1517</v>
      </c>
      <c r="C389" s="1" t="s">
        <v>1518</v>
      </c>
      <c r="D389" s="1" t="s">
        <v>1224</v>
      </c>
      <c r="E389" s="1" t="s">
        <v>65</v>
      </c>
      <c r="F389" s="1" t="s">
        <v>1519</v>
      </c>
      <c r="H389" t="str">
        <f>"0770430074"</f>
        <v>0770430074</v>
      </c>
      <c r="I389" t="str">
        <f>"9780770430078"</f>
        <v>9780770430078</v>
      </c>
      <c r="J389" s="1">
        <v>5.0</v>
      </c>
      <c r="K389" s="1">
        <v>3.89</v>
      </c>
      <c r="L389" s="1" t="s">
        <v>1520</v>
      </c>
      <c r="M389" s="1" t="s">
        <v>40</v>
      </c>
      <c r="N389" s="1">
        <v>460.0</v>
      </c>
      <c r="O389" s="1">
        <v>2006.0</v>
      </c>
      <c r="P389" s="1">
        <v>2001.0</v>
      </c>
      <c r="R389" s="2">
        <v>41169.0</v>
      </c>
      <c r="U389" s="1" t="s">
        <v>41</v>
      </c>
      <c r="Y389" s="1">
        <v>1.0</v>
      </c>
      <c r="AB389" s="1">
        <v>0.0</v>
      </c>
    </row>
    <row r="390">
      <c r="A390" s="1">
        <v>22911.0</v>
      </c>
      <c r="B390" s="1" t="s">
        <v>1521</v>
      </c>
      <c r="C390" s="1" t="s">
        <v>1499</v>
      </c>
      <c r="D390" s="1" t="s">
        <v>440</v>
      </c>
      <c r="E390" s="1" t="s">
        <v>65</v>
      </c>
      <c r="F390" s="1" t="s">
        <v>1500</v>
      </c>
      <c r="H390" t="str">
        <f>"0805210644"</f>
        <v>0805210644</v>
      </c>
      <c r="I390" t="str">
        <f>"9780805210644"</f>
        <v>9780805210644</v>
      </c>
      <c r="J390" s="1">
        <v>5.0</v>
      </c>
      <c r="K390" s="1">
        <v>3.75</v>
      </c>
      <c r="L390" s="1" t="s">
        <v>881</v>
      </c>
      <c r="M390" s="1" t="s">
        <v>40</v>
      </c>
      <c r="N390" s="1">
        <v>336.0</v>
      </c>
      <c r="O390" s="1">
        <v>1996.0</v>
      </c>
      <c r="P390" s="1">
        <v>1927.0</v>
      </c>
      <c r="R390" s="2">
        <v>41169.0</v>
      </c>
      <c r="U390" s="1" t="s">
        <v>41</v>
      </c>
      <c r="Y390" s="1">
        <v>1.0</v>
      </c>
      <c r="AB390" s="1">
        <v>0.0</v>
      </c>
    </row>
    <row r="391">
      <c r="A391" s="1">
        <v>295.0</v>
      </c>
      <c r="B391" s="1" t="s">
        <v>1522</v>
      </c>
      <c r="C391" s="1" t="s">
        <v>1523</v>
      </c>
      <c r="D391" s="1" t="s">
        <v>35</v>
      </c>
      <c r="E391" s="1" t="s">
        <v>36</v>
      </c>
      <c r="F391" s="1" t="s">
        <v>1524</v>
      </c>
      <c r="H391" t="str">
        <f>"0753453800"</f>
        <v>0753453800</v>
      </c>
      <c r="I391" t="str">
        <f>"9780753453803"</f>
        <v>9780753453803</v>
      </c>
      <c r="J391" s="1">
        <v>3.0</v>
      </c>
      <c r="K391" s="1">
        <v>3.83</v>
      </c>
      <c r="L391" s="1" t="s">
        <v>1525</v>
      </c>
      <c r="M391" s="1" t="s">
        <v>55</v>
      </c>
      <c r="N391" s="1">
        <v>311.0</v>
      </c>
      <c r="O391" s="1">
        <v>2001.0</v>
      </c>
      <c r="P391" s="1">
        <v>1882.0</v>
      </c>
      <c r="R391" s="2">
        <v>41169.0</v>
      </c>
      <c r="U391" s="1" t="s">
        <v>41</v>
      </c>
      <c r="Y391" s="1">
        <v>1.0</v>
      </c>
      <c r="AB391" s="1">
        <v>0.0</v>
      </c>
    </row>
    <row r="392">
      <c r="A392" s="1">
        <v>865.0</v>
      </c>
      <c r="B392" s="1" t="s">
        <v>1526</v>
      </c>
      <c r="C392" s="1" t="s">
        <v>1473</v>
      </c>
      <c r="D392" s="1" t="s">
        <v>1474</v>
      </c>
      <c r="E392" s="1" t="s">
        <v>36</v>
      </c>
      <c r="F392" s="1" t="s">
        <v>1475</v>
      </c>
      <c r="G392" s="1" t="s">
        <v>1527</v>
      </c>
      <c r="H392" t="str">
        <f>"0061122416"</f>
        <v>0061122416</v>
      </c>
      <c r="I392" t="str">
        <f>"9780061122415"</f>
        <v>9780061122415</v>
      </c>
      <c r="J392" s="1">
        <v>4.0</v>
      </c>
      <c r="K392" s="1">
        <v>3.84</v>
      </c>
      <c r="L392" s="1" t="s">
        <v>1528</v>
      </c>
      <c r="M392" s="1" t="s">
        <v>40</v>
      </c>
      <c r="N392" s="1">
        <v>197.0</v>
      </c>
      <c r="O392" s="1">
        <v>1993.0</v>
      </c>
      <c r="P392" s="1">
        <v>1988.0</v>
      </c>
      <c r="R392" s="2">
        <v>41169.0</v>
      </c>
      <c r="U392" s="1" t="s">
        <v>41</v>
      </c>
      <c r="Y392" s="1">
        <v>1.0</v>
      </c>
      <c r="AB392" s="1">
        <v>0.0</v>
      </c>
    </row>
    <row r="393">
      <c r="A393" s="1">
        <v>117833.0</v>
      </c>
      <c r="B393" s="1" t="s">
        <v>1529</v>
      </c>
      <c r="C393" s="1" t="s">
        <v>1530</v>
      </c>
      <c r="D393" s="1" t="s">
        <v>64</v>
      </c>
      <c r="E393" s="1" t="s">
        <v>65</v>
      </c>
      <c r="F393" s="1" t="s">
        <v>1531</v>
      </c>
      <c r="G393" s="1" t="s">
        <v>1532</v>
      </c>
      <c r="H393" t="str">
        <f>"0679760806"</f>
        <v>0679760806</v>
      </c>
      <c r="I393" t="str">
        <f>"9780679760801"</f>
        <v>9780679760801</v>
      </c>
      <c r="J393" s="1">
        <v>5.0</v>
      </c>
      <c r="K393" s="1">
        <v>4.31</v>
      </c>
      <c r="L393" s="1" t="s">
        <v>1533</v>
      </c>
      <c r="M393" s="1" t="s">
        <v>40</v>
      </c>
      <c r="N393" s="1">
        <v>373.0</v>
      </c>
      <c r="O393" s="1">
        <v>1996.0</v>
      </c>
      <c r="P393" s="1">
        <v>1967.0</v>
      </c>
      <c r="R393" s="2">
        <v>41169.0</v>
      </c>
      <c r="U393" s="1" t="s">
        <v>41</v>
      </c>
      <c r="Y393" s="1">
        <v>1.0</v>
      </c>
      <c r="AB393" s="1">
        <v>0.0</v>
      </c>
    </row>
    <row r="394">
      <c r="A394" s="1">
        <v>5326.0</v>
      </c>
      <c r="B394" s="1" t="s">
        <v>1534</v>
      </c>
      <c r="C394" s="1" t="s">
        <v>1535</v>
      </c>
      <c r="D394" s="1" t="s">
        <v>35</v>
      </c>
      <c r="E394" s="1" t="s">
        <v>36</v>
      </c>
      <c r="F394" s="1" t="s">
        <v>1536</v>
      </c>
      <c r="H394" t="str">
        <f>"1561797464"</f>
        <v>1561797464</v>
      </c>
      <c r="I394" t="str">
        <f>"9781561797462"</f>
        <v>9781561797462</v>
      </c>
      <c r="J394" s="1">
        <v>4.0</v>
      </c>
      <c r="K394" s="1">
        <v>4.03</v>
      </c>
      <c r="L394" s="1" t="s">
        <v>1537</v>
      </c>
      <c r="M394" s="1" t="s">
        <v>40</v>
      </c>
      <c r="N394" s="1">
        <v>104.0</v>
      </c>
      <c r="O394" s="1">
        <v>1999.0</v>
      </c>
      <c r="P394" s="1">
        <v>1843.0</v>
      </c>
      <c r="R394" s="2">
        <v>41169.0</v>
      </c>
      <c r="U394" s="1" t="s">
        <v>41</v>
      </c>
      <c r="Y394" s="1">
        <v>1.0</v>
      </c>
      <c r="AB394" s="1">
        <v>0.0</v>
      </c>
    </row>
    <row r="395">
      <c r="A395" s="1">
        <v>17690.0</v>
      </c>
      <c r="B395" s="1" t="s">
        <v>1538</v>
      </c>
      <c r="C395" s="1" t="s">
        <v>1499</v>
      </c>
      <c r="D395" s="1" t="s">
        <v>440</v>
      </c>
      <c r="E395" s="1" t="s">
        <v>65</v>
      </c>
      <c r="F395" s="1" t="s">
        <v>1500</v>
      </c>
      <c r="G395" s="1" t="s">
        <v>1539</v>
      </c>
      <c r="H395" t="str">
        <f>"0099428644"</f>
        <v>0099428644</v>
      </c>
      <c r="I395" t="str">
        <f>"9780099428640"</f>
        <v>9780099428640</v>
      </c>
      <c r="J395" s="1">
        <v>5.0</v>
      </c>
      <c r="K395" s="1">
        <v>3.99</v>
      </c>
      <c r="L395" s="1" t="s">
        <v>1540</v>
      </c>
      <c r="M395" s="1" t="s">
        <v>40</v>
      </c>
      <c r="N395" s="1">
        <v>255.0</v>
      </c>
      <c r="O395" s="1">
        <v>2001.0</v>
      </c>
      <c r="P395" s="1">
        <v>1925.0</v>
      </c>
      <c r="R395" s="2">
        <v>41169.0</v>
      </c>
      <c r="U395" s="1" t="s">
        <v>41</v>
      </c>
      <c r="Y395" s="1">
        <v>1.0</v>
      </c>
      <c r="AB395" s="1">
        <v>0.0</v>
      </c>
    </row>
    <row r="396">
      <c r="A396" s="1">
        <v>251688.0</v>
      </c>
      <c r="B396" s="1" t="s">
        <v>1541</v>
      </c>
      <c r="C396" s="1" t="s">
        <v>1542</v>
      </c>
      <c r="D396" s="1" t="s">
        <v>71</v>
      </c>
      <c r="E396" s="1" t="s">
        <v>65</v>
      </c>
      <c r="F396" s="1" t="s">
        <v>1543</v>
      </c>
      <c r="H396" t="str">
        <f>"0679745653"</f>
        <v>0679745653</v>
      </c>
      <c r="I396" t="str">
        <f>"9780679745655"</f>
        <v>9780679745655</v>
      </c>
      <c r="J396" s="1">
        <v>5.0</v>
      </c>
      <c r="K396" s="1">
        <v>3.89</v>
      </c>
      <c r="L396" s="1" t="s">
        <v>999</v>
      </c>
      <c r="M396" s="1" t="s">
        <v>40</v>
      </c>
      <c r="N396" s="1">
        <v>142.0</v>
      </c>
      <c r="O396" s="1">
        <v>1993.0</v>
      </c>
      <c r="P396" s="1">
        <v>1958.0</v>
      </c>
      <c r="R396" s="2">
        <v>41169.0</v>
      </c>
      <c r="U396" s="1" t="s">
        <v>41</v>
      </c>
      <c r="Y396" s="1">
        <v>1.0</v>
      </c>
      <c r="AB396" s="1">
        <v>0.0</v>
      </c>
    </row>
    <row r="397">
      <c r="A397" s="1">
        <v>11012.0</v>
      </c>
      <c r="B397" s="1" t="s">
        <v>1544</v>
      </c>
      <c r="C397" s="1" t="s">
        <v>1339</v>
      </c>
      <c r="D397" s="1" t="s">
        <v>304</v>
      </c>
      <c r="E397" s="1" t="s">
        <v>65</v>
      </c>
      <c r="F397" s="1" t="s">
        <v>1340</v>
      </c>
      <c r="G397" s="1" t="s">
        <v>1545</v>
      </c>
      <c r="H397" t="str">
        <f>"0192839993"</f>
        <v>0192839993</v>
      </c>
      <c r="I397" t="str">
        <f>"9780192839992"</f>
        <v>9780192839992</v>
      </c>
      <c r="J397" s="1">
        <v>4.0</v>
      </c>
      <c r="K397" s="1">
        <v>3.86</v>
      </c>
      <c r="L397" s="1" t="s">
        <v>311</v>
      </c>
      <c r="M397" s="1" t="s">
        <v>40</v>
      </c>
      <c r="N397" s="1">
        <v>207.0</v>
      </c>
      <c r="O397" s="1">
        <v>2001.0</v>
      </c>
      <c r="P397" s="1">
        <v>1914.0</v>
      </c>
      <c r="R397" s="2">
        <v>41169.0</v>
      </c>
      <c r="U397" s="1" t="s">
        <v>41</v>
      </c>
      <c r="Y397" s="1">
        <v>1.0</v>
      </c>
      <c r="AB397" s="1">
        <v>0.0</v>
      </c>
    </row>
    <row r="398">
      <c r="A398" s="1">
        <v>93.0</v>
      </c>
      <c r="B398" s="1" t="s">
        <v>1546</v>
      </c>
      <c r="C398" s="1" t="s">
        <v>1547</v>
      </c>
      <c r="D398" s="1" t="s">
        <v>522</v>
      </c>
      <c r="E398" s="1" t="s">
        <v>36</v>
      </c>
      <c r="F398" s="1" t="s">
        <v>1548</v>
      </c>
      <c r="G398" s="1" t="s">
        <v>1549</v>
      </c>
      <c r="H398" t="str">
        <f>"0753454947"</f>
        <v>0753454947</v>
      </c>
      <c r="I398" t="str">
        <f>"9780753454947"</f>
        <v>9780753454947</v>
      </c>
      <c r="J398" s="1">
        <v>2.0</v>
      </c>
      <c r="K398" s="1">
        <v>3.98</v>
      </c>
      <c r="L398" s="1" t="s">
        <v>1525</v>
      </c>
      <c r="M398" s="1" t="s">
        <v>40</v>
      </c>
      <c r="N398" s="1">
        <v>352.0</v>
      </c>
      <c r="O398" s="1">
        <v>2002.0</v>
      </c>
      <c r="P398" s="1">
        <v>1880.0</v>
      </c>
      <c r="R398" s="2">
        <v>41169.0</v>
      </c>
      <c r="U398" s="1" t="s">
        <v>41</v>
      </c>
      <c r="Y398" s="1">
        <v>1.0</v>
      </c>
      <c r="AB398" s="1">
        <v>0.0</v>
      </c>
    </row>
    <row r="399">
      <c r="A399" s="1">
        <v>32829.0</v>
      </c>
      <c r="B399" s="1" t="s">
        <v>1550</v>
      </c>
      <c r="C399" s="1" t="s">
        <v>1551</v>
      </c>
      <c r="D399" s="1" t="s">
        <v>120</v>
      </c>
      <c r="E399" s="1" t="s">
        <v>36</v>
      </c>
      <c r="F399" s="1" t="s">
        <v>1552</v>
      </c>
      <c r="H399" t="str">
        <f>"0553213970"</f>
        <v>0553213970</v>
      </c>
      <c r="I399" t="str">
        <f>"9780553213973"</f>
        <v>9780553213973</v>
      </c>
      <c r="J399" s="1">
        <v>4.0</v>
      </c>
      <c r="K399" s="1">
        <v>3.85</v>
      </c>
      <c r="L399" s="1" t="s">
        <v>1553</v>
      </c>
      <c r="M399" s="1" t="s">
        <v>40</v>
      </c>
      <c r="N399" s="1">
        <v>240.0</v>
      </c>
      <c r="O399" s="1">
        <v>2006.0</v>
      </c>
      <c r="P399" s="1">
        <v>1864.0</v>
      </c>
      <c r="R399" s="2">
        <v>41169.0</v>
      </c>
      <c r="U399" s="1" t="s">
        <v>41</v>
      </c>
      <c r="Y399" s="1">
        <v>1.0</v>
      </c>
      <c r="AB399" s="1">
        <v>0.0</v>
      </c>
    </row>
    <row r="400">
      <c r="A400" s="1">
        <v>7588.0</v>
      </c>
      <c r="B400" s="1" t="s">
        <v>1554</v>
      </c>
      <c r="C400" s="1" t="s">
        <v>1339</v>
      </c>
      <c r="D400" s="1" t="s">
        <v>304</v>
      </c>
      <c r="E400" s="1" t="s">
        <v>65</v>
      </c>
      <c r="F400" s="1" t="s">
        <v>1340</v>
      </c>
      <c r="G400" s="1" t="s">
        <v>1555</v>
      </c>
      <c r="H400" t="str">
        <f>"0142437344"</f>
        <v>0142437344</v>
      </c>
      <c r="I400" t="str">
        <f>"9780142437346"</f>
        <v>9780142437346</v>
      </c>
      <c r="J400" s="1">
        <v>3.0</v>
      </c>
      <c r="K400" s="1">
        <v>3.61</v>
      </c>
      <c r="L400" s="1" t="s">
        <v>68</v>
      </c>
      <c r="M400" s="1" t="s">
        <v>40</v>
      </c>
      <c r="N400" s="1">
        <v>329.0</v>
      </c>
      <c r="O400" s="1">
        <v>2003.0</v>
      </c>
      <c r="P400" s="1">
        <v>1916.0</v>
      </c>
      <c r="R400" s="2">
        <v>41169.0</v>
      </c>
      <c r="U400" s="1" t="s">
        <v>41</v>
      </c>
      <c r="Y400" s="1">
        <v>1.0</v>
      </c>
      <c r="AB400" s="1">
        <v>0.0</v>
      </c>
    </row>
    <row r="401">
      <c r="A401" s="1">
        <v>8909.0</v>
      </c>
      <c r="B401" s="1" t="s">
        <v>1556</v>
      </c>
      <c r="C401" s="1" t="s">
        <v>1385</v>
      </c>
      <c r="D401" s="1" t="s">
        <v>35</v>
      </c>
      <c r="E401" s="1" t="s">
        <v>65</v>
      </c>
      <c r="F401" s="1" t="s">
        <v>1386</v>
      </c>
      <c r="G401" s="1" t="s">
        <v>1557</v>
      </c>
      <c r="H401" t="str">
        <f>"0375759239"</f>
        <v>0375759239</v>
      </c>
      <c r="I401" t="str">
        <f>"9780375759239"</f>
        <v>9780375759239</v>
      </c>
      <c r="J401" s="1">
        <v>3.0</v>
      </c>
      <c r="K401" s="1">
        <v>3.81</v>
      </c>
      <c r="L401" s="1" t="s">
        <v>117</v>
      </c>
      <c r="M401" s="1" t="s">
        <v>40</v>
      </c>
      <c r="N401" s="1">
        <v>192.0</v>
      </c>
      <c r="O401" s="1">
        <v>2002.0</v>
      </c>
      <c r="P401" s="1">
        <v>1898.0</v>
      </c>
      <c r="R401" s="2">
        <v>41169.0</v>
      </c>
      <c r="U401" s="1" t="s">
        <v>41</v>
      </c>
      <c r="Y401" s="1">
        <v>1.0</v>
      </c>
      <c r="AB401" s="1">
        <v>0.0</v>
      </c>
    </row>
    <row r="402">
      <c r="A402" s="1">
        <v>10975.0</v>
      </c>
      <c r="B402" s="1" t="s">
        <v>1558</v>
      </c>
      <c r="C402" s="1" t="s">
        <v>1559</v>
      </c>
      <c r="D402" s="1" t="s">
        <v>71</v>
      </c>
      <c r="E402" s="1" t="s">
        <v>65</v>
      </c>
      <c r="F402" s="1" t="s">
        <v>1560</v>
      </c>
      <c r="H402" t="str">
        <f t="shared" ref="H402:I402" si="32">""</f>
        <v/>
      </c>
      <c r="I402" t="str">
        <f t="shared" si="32"/>
        <v/>
      </c>
      <c r="J402" s="1">
        <v>4.0</v>
      </c>
      <c r="K402" s="1">
        <v>3.86</v>
      </c>
      <c r="L402" s="1" t="s">
        <v>361</v>
      </c>
      <c r="M402" s="1" t="s">
        <v>40</v>
      </c>
      <c r="N402" s="1">
        <v>326.0</v>
      </c>
      <c r="O402" s="1">
        <v>1990.0</v>
      </c>
      <c r="P402" s="1">
        <v>1929.0</v>
      </c>
      <c r="R402" s="2">
        <v>41169.0</v>
      </c>
      <c r="U402" s="1" t="s">
        <v>41</v>
      </c>
      <c r="Y402" s="1">
        <v>1.0</v>
      </c>
      <c r="AB402" s="1">
        <v>0.0</v>
      </c>
    </row>
    <row r="403">
      <c r="A403" s="1">
        <v>14942.0</v>
      </c>
      <c r="B403" s="1" t="s">
        <v>1561</v>
      </c>
      <c r="C403" s="1" t="s">
        <v>1562</v>
      </c>
      <c r="D403" s="1" t="s">
        <v>35</v>
      </c>
      <c r="E403" s="1" t="s">
        <v>65</v>
      </c>
      <c r="F403" s="1" t="s">
        <v>1563</v>
      </c>
      <c r="G403" s="1" t="s">
        <v>1564</v>
      </c>
      <c r="H403" t="str">
        <f>"0151009988"</f>
        <v>0151009988</v>
      </c>
      <c r="I403" t="str">
        <f>"9780151009985"</f>
        <v>9780151009985</v>
      </c>
      <c r="J403" s="1">
        <v>2.0</v>
      </c>
      <c r="K403" s="1">
        <v>3.79</v>
      </c>
      <c r="L403" s="1" t="s">
        <v>54</v>
      </c>
      <c r="M403" s="1" t="s">
        <v>55</v>
      </c>
      <c r="N403" s="1">
        <v>194.0</v>
      </c>
      <c r="O403" s="1">
        <v>2002.0</v>
      </c>
      <c r="P403" s="1">
        <v>1921.0</v>
      </c>
      <c r="R403" s="2">
        <v>41169.0</v>
      </c>
      <c r="U403" s="1" t="s">
        <v>41</v>
      </c>
      <c r="Y403" s="1">
        <v>1.0</v>
      </c>
      <c r="AB403" s="1">
        <v>0.0</v>
      </c>
    </row>
    <row r="404">
      <c r="A404" s="1">
        <v>54479.0</v>
      </c>
      <c r="B404" s="1" t="s">
        <v>1565</v>
      </c>
      <c r="C404" s="1" t="s">
        <v>1551</v>
      </c>
      <c r="D404" s="1" t="s">
        <v>120</v>
      </c>
      <c r="E404" s="1" t="s">
        <v>36</v>
      </c>
      <c r="F404" s="1" t="s">
        <v>1552</v>
      </c>
      <c r="G404" s="1" t="s">
        <v>1566</v>
      </c>
      <c r="H404" t="str">
        <f>"014044906X"</f>
        <v>014044906X</v>
      </c>
      <c r="I404" t="str">
        <f>"9780140449068"</f>
        <v>9780140449068</v>
      </c>
      <c r="J404" s="1">
        <v>3.0</v>
      </c>
      <c r="K404" s="1">
        <v>3.91</v>
      </c>
      <c r="L404" s="1" t="s">
        <v>269</v>
      </c>
      <c r="M404" s="1" t="s">
        <v>40</v>
      </c>
      <c r="N404" s="1">
        <v>252.0</v>
      </c>
      <c r="O404" s="1">
        <v>2004.0</v>
      </c>
      <c r="P404" s="1">
        <v>1872.0</v>
      </c>
      <c r="R404" s="2">
        <v>41169.0</v>
      </c>
      <c r="U404" s="1" t="s">
        <v>41</v>
      </c>
      <c r="Y404" s="1">
        <v>1.0</v>
      </c>
      <c r="AB404" s="1">
        <v>0.0</v>
      </c>
    </row>
    <row r="405">
      <c r="A405" s="1">
        <v>70401.0</v>
      </c>
      <c r="B405" s="1" t="s">
        <v>1567</v>
      </c>
      <c r="C405" s="1" t="s">
        <v>866</v>
      </c>
      <c r="D405" s="1" t="s">
        <v>71</v>
      </c>
      <c r="E405" s="1" t="s">
        <v>65</v>
      </c>
      <c r="F405" s="1" t="s">
        <v>867</v>
      </c>
      <c r="H405" t="str">
        <f>"0140042598"</f>
        <v>0140042598</v>
      </c>
      <c r="I405" t="str">
        <f>"9780140042597"</f>
        <v>9780140042597</v>
      </c>
      <c r="J405" s="1">
        <v>5.0</v>
      </c>
      <c r="K405" s="1">
        <v>3.63</v>
      </c>
      <c r="L405" s="1" t="s">
        <v>269</v>
      </c>
      <c r="M405" s="1" t="s">
        <v>40</v>
      </c>
      <c r="N405" s="1">
        <v>307.0</v>
      </c>
      <c r="O405" s="1">
        <v>1976.0</v>
      </c>
      <c r="P405" s="1">
        <v>1955.0</v>
      </c>
      <c r="R405" s="2">
        <v>41169.0</v>
      </c>
      <c r="U405" s="1" t="s">
        <v>41</v>
      </c>
      <c r="Y405" s="1">
        <v>1.0</v>
      </c>
      <c r="AB405" s="1">
        <v>0.0</v>
      </c>
    </row>
    <row r="406">
      <c r="A406" s="1">
        <v>33507.0</v>
      </c>
      <c r="B406" s="1" t="s">
        <v>1568</v>
      </c>
      <c r="C406" s="1" t="s">
        <v>1551</v>
      </c>
      <c r="D406" s="1" t="s">
        <v>120</v>
      </c>
      <c r="E406" s="1" t="s">
        <v>36</v>
      </c>
      <c r="F406" s="1" t="s">
        <v>1552</v>
      </c>
      <c r="G406" s="1" t="s">
        <v>1569</v>
      </c>
      <c r="H406" t="str">
        <f>"076072850X"</f>
        <v>076072850X</v>
      </c>
      <c r="I406" t="str">
        <f>"9780760728505"</f>
        <v>9780760728505</v>
      </c>
      <c r="J406" s="1">
        <v>3.0</v>
      </c>
      <c r="K406" s="1">
        <v>3.87</v>
      </c>
      <c r="L406" s="1" t="s">
        <v>1570</v>
      </c>
      <c r="M406" s="1" t="s">
        <v>55</v>
      </c>
      <c r="N406" s="1">
        <v>394.0</v>
      </c>
      <c r="O406" s="1">
        <v>2002.0</v>
      </c>
      <c r="P406" s="1">
        <v>1869.0</v>
      </c>
      <c r="R406" s="2">
        <v>41169.0</v>
      </c>
      <c r="U406" s="1" t="s">
        <v>41</v>
      </c>
      <c r="Y406" s="1">
        <v>1.0</v>
      </c>
      <c r="AB406" s="1">
        <v>0.0</v>
      </c>
    </row>
    <row r="407">
      <c r="A407" s="1">
        <v>30597.0</v>
      </c>
      <c r="B407" s="1" t="s">
        <v>1571</v>
      </c>
      <c r="C407" s="1" t="s">
        <v>1572</v>
      </c>
      <c r="D407" s="1" t="s">
        <v>120</v>
      </c>
      <c r="E407" s="1" t="s">
        <v>36</v>
      </c>
      <c r="F407" s="1" t="s">
        <v>1573</v>
      </c>
      <c r="G407" s="1" t="s">
        <v>1574</v>
      </c>
      <c r="H407" t="str">
        <f>"0451527887"</f>
        <v>0451527887</v>
      </c>
      <c r="I407" t="str">
        <f>"9780451527882"</f>
        <v>9780451527882</v>
      </c>
      <c r="J407" s="1">
        <v>3.0</v>
      </c>
      <c r="K407" s="1">
        <v>3.98</v>
      </c>
      <c r="L407" s="1" t="s">
        <v>1387</v>
      </c>
      <c r="M407" s="1" t="s">
        <v>40</v>
      </c>
      <c r="N407" s="1">
        <v>510.0</v>
      </c>
      <c r="O407" s="1">
        <v>2001.0</v>
      </c>
      <c r="P407" s="1">
        <v>1831.0</v>
      </c>
      <c r="R407" s="2">
        <v>41169.0</v>
      </c>
      <c r="U407" s="1" t="s">
        <v>41</v>
      </c>
      <c r="Y407" s="1">
        <v>1.0</v>
      </c>
      <c r="AB407" s="1">
        <v>0.0</v>
      </c>
    </row>
    <row r="408">
      <c r="A408" s="1">
        <v>8921.0</v>
      </c>
      <c r="B408" s="1" t="s">
        <v>1575</v>
      </c>
      <c r="C408" s="1" t="s">
        <v>1576</v>
      </c>
      <c r="D408" s="1" t="s">
        <v>35</v>
      </c>
      <c r="E408" s="1" t="s">
        <v>65</v>
      </c>
      <c r="F408" s="1" t="s">
        <v>1577</v>
      </c>
      <c r="G408" s="1" t="s">
        <v>1578</v>
      </c>
      <c r="H408" t="str">
        <f>"0451528018"</f>
        <v>0451528018</v>
      </c>
      <c r="I408" t="str">
        <f>"9780451528018"</f>
        <v>9780451528018</v>
      </c>
      <c r="J408" s="1">
        <v>4.0</v>
      </c>
      <c r="K408" s="1">
        <v>4.1</v>
      </c>
      <c r="L408" s="1" t="s">
        <v>475</v>
      </c>
      <c r="M408" s="1" t="s">
        <v>238</v>
      </c>
      <c r="N408" s="1">
        <v>256.0</v>
      </c>
      <c r="O408" s="1">
        <v>2001.0</v>
      </c>
      <c r="P408" s="1">
        <v>1902.0</v>
      </c>
      <c r="R408" s="2">
        <v>41169.0</v>
      </c>
      <c r="U408" s="1" t="s">
        <v>41</v>
      </c>
      <c r="Y408" s="1">
        <v>1.0</v>
      </c>
      <c r="AB408" s="1">
        <v>0.0</v>
      </c>
    </row>
    <row r="409">
      <c r="A409" s="1">
        <v>3590.0</v>
      </c>
      <c r="B409" s="1" t="s">
        <v>1579</v>
      </c>
      <c r="C409" s="1" t="s">
        <v>1576</v>
      </c>
      <c r="D409" s="1" t="s">
        <v>35</v>
      </c>
      <c r="E409" s="1" t="s">
        <v>65</v>
      </c>
      <c r="F409" s="1" t="s">
        <v>1577</v>
      </c>
      <c r="H409" t="str">
        <f>"0192835084"</f>
        <v>0192835084</v>
      </c>
      <c r="I409" t="str">
        <f>"9780192835086"</f>
        <v>9780192835086</v>
      </c>
      <c r="J409" s="1">
        <v>5.0</v>
      </c>
      <c r="K409" s="1">
        <v>4.3</v>
      </c>
      <c r="L409" s="1" t="s">
        <v>311</v>
      </c>
      <c r="M409" s="1" t="s">
        <v>40</v>
      </c>
      <c r="N409" s="1">
        <v>339.0</v>
      </c>
      <c r="O409" s="1">
        <v>1998.0</v>
      </c>
      <c r="P409" s="1">
        <v>1892.0</v>
      </c>
      <c r="R409" s="2">
        <v>41169.0</v>
      </c>
      <c r="U409" s="1" t="s">
        <v>41</v>
      </c>
      <c r="Y409" s="1">
        <v>1.0</v>
      </c>
      <c r="AB409" s="1">
        <v>0.0</v>
      </c>
    </row>
    <row r="410">
      <c r="A410" s="1">
        <v>227463.0</v>
      </c>
      <c r="B410" s="1" t="s">
        <v>1580</v>
      </c>
      <c r="C410" s="1" t="s">
        <v>1581</v>
      </c>
      <c r="D410" s="1" t="s">
        <v>35</v>
      </c>
      <c r="E410" s="1" t="s">
        <v>65</v>
      </c>
      <c r="F410" s="1" t="s">
        <v>1582</v>
      </c>
      <c r="H410" t="str">
        <f>"0393312836"</f>
        <v>0393312836</v>
      </c>
      <c r="I410" t="str">
        <f>"9780393312836"</f>
        <v>9780393312836</v>
      </c>
      <c r="J410" s="1">
        <v>5.0</v>
      </c>
      <c r="K410" s="1">
        <v>3.99</v>
      </c>
      <c r="L410" s="1" t="s">
        <v>346</v>
      </c>
      <c r="M410" s="1" t="s">
        <v>40</v>
      </c>
      <c r="N410" s="1">
        <v>212.0</v>
      </c>
      <c r="O410" s="1">
        <v>1995.0</v>
      </c>
      <c r="P410" s="1">
        <v>1962.0</v>
      </c>
      <c r="R410" s="2">
        <v>41169.0</v>
      </c>
      <c r="U410" s="1" t="s">
        <v>41</v>
      </c>
      <c r="Y410" s="1">
        <v>1.0</v>
      </c>
      <c r="AB410" s="1">
        <v>0.0</v>
      </c>
    </row>
    <row r="411">
      <c r="A411" s="1">
        <v>12938.0</v>
      </c>
      <c r="B411" s="1" t="s">
        <v>1583</v>
      </c>
      <c r="C411" s="1" t="s">
        <v>146</v>
      </c>
      <c r="D411" s="1" t="s">
        <v>35</v>
      </c>
      <c r="E411" s="1" t="s">
        <v>65</v>
      </c>
      <c r="F411" s="1" t="s">
        <v>147</v>
      </c>
      <c r="H411" t="str">
        <f>"074348276X"</f>
        <v>074348276X</v>
      </c>
      <c r="I411" t="str">
        <f>"9780743482769"</f>
        <v>9780743482769</v>
      </c>
      <c r="J411" s="1">
        <v>5.0</v>
      </c>
      <c r="K411" s="1">
        <v>3.9</v>
      </c>
      <c r="L411" s="1" t="s">
        <v>1584</v>
      </c>
      <c r="M411" s="1" t="s">
        <v>40</v>
      </c>
      <c r="N411" s="1">
        <v>316.0</v>
      </c>
      <c r="O411" s="1">
        <v>2004.0</v>
      </c>
      <c r="P411" s="1">
        <v>1603.0</v>
      </c>
      <c r="R411" s="2">
        <v>41169.0</v>
      </c>
      <c r="U411" s="1" t="s">
        <v>41</v>
      </c>
      <c r="Y411" s="1">
        <v>1.0</v>
      </c>
      <c r="AB411" s="1">
        <v>0.0</v>
      </c>
    </row>
    <row r="412">
      <c r="A412" s="1">
        <v>49552.0</v>
      </c>
      <c r="B412" s="1" t="s">
        <v>1585</v>
      </c>
      <c r="C412" s="1" t="s">
        <v>119</v>
      </c>
      <c r="D412" s="1" t="s">
        <v>120</v>
      </c>
      <c r="E412" s="1" t="s">
        <v>278</v>
      </c>
      <c r="F412" s="1" t="s">
        <v>121</v>
      </c>
      <c r="G412" s="1" t="s">
        <v>1586</v>
      </c>
      <c r="H412" t="str">
        <f t="shared" ref="H412:I412" si="33">""</f>
        <v/>
      </c>
      <c r="I412" t="str">
        <f t="shared" si="33"/>
        <v/>
      </c>
      <c r="J412" s="1">
        <v>5.0</v>
      </c>
      <c r="K412" s="1">
        <v>3.97</v>
      </c>
      <c r="L412" s="1" t="s">
        <v>1533</v>
      </c>
      <c r="M412" s="1" t="s">
        <v>40</v>
      </c>
      <c r="N412" s="1">
        <v>123.0</v>
      </c>
      <c r="O412" s="1">
        <v>1989.0</v>
      </c>
      <c r="P412" s="1">
        <v>1942.0</v>
      </c>
      <c r="R412" s="2">
        <v>41169.0</v>
      </c>
      <c r="U412" s="1" t="s">
        <v>41</v>
      </c>
      <c r="Y412" s="1">
        <v>1.0</v>
      </c>
      <c r="AB412" s="1">
        <v>0.0</v>
      </c>
    </row>
    <row r="413">
      <c r="A413" s="1">
        <v>2932.0</v>
      </c>
      <c r="B413" s="1" t="s">
        <v>1587</v>
      </c>
      <c r="C413" s="1" t="s">
        <v>1588</v>
      </c>
      <c r="D413" s="1" t="s">
        <v>35</v>
      </c>
      <c r="E413" s="1" t="s">
        <v>36</v>
      </c>
      <c r="F413" s="1" t="s">
        <v>1589</v>
      </c>
      <c r="G413" s="1" t="s">
        <v>1590</v>
      </c>
      <c r="H413" t="str">
        <f>"0375757325"</f>
        <v>0375757325</v>
      </c>
      <c r="I413" t="str">
        <f>"9780375757327"</f>
        <v>9780375757327</v>
      </c>
      <c r="J413" s="1">
        <v>3.0</v>
      </c>
      <c r="K413" s="1">
        <v>3.66</v>
      </c>
      <c r="L413" s="1" t="s">
        <v>117</v>
      </c>
      <c r="M413" s="1" t="s">
        <v>40</v>
      </c>
      <c r="N413" s="1">
        <v>320.0</v>
      </c>
      <c r="O413" s="1">
        <v>2001.0</v>
      </c>
      <c r="P413" s="1">
        <v>1719.0</v>
      </c>
      <c r="R413" s="2">
        <v>41169.0</v>
      </c>
      <c r="U413" s="1" t="s">
        <v>41</v>
      </c>
      <c r="Y413" s="1">
        <v>1.0</v>
      </c>
      <c r="AB413" s="1">
        <v>0.0</v>
      </c>
    </row>
    <row r="414">
      <c r="A414" s="1">
        <v>485894.0</v>
      </c>
      <c r="B414" s="1" t="s">
        <v>1591</v>
      </c>
      <c r="C414" s="1" t="s">
        <v>1499</v>
      </c>
      <c r="D414" s="1" t="s">
        <v>440</v>
      </c>
      <c r="E414" s="1" t="s">
        <v>36</v>
      </c>
      <c r="F414" s="1" t="s">
        <v>1500</v>
      </c>
      <c r="G414" s="1" t="s">
        <v>1592</v>
      </c>
      <c r="H414" t="str">
        <f>"0553213695"</f>
        <v>0553213695</v>
      </c>
      <c r="I414" t="str">
        <f>"9780553213690"</f>
        <v>9780553213690</v>
      </c>
      <c r="J414" s="1">
        <v>5.0</v>
      </c>
      <c r="K414" s="1">
        <v>3.8</v>
      </c>
      <c r="L414" s="1" t="s">
        <v>1593</v>
      </c>
      <c r="M414" s="1" t="s">
        <v>40</v>
      </c>
      <c r="N414" s="1">
        <v>201.0</v>
      </c>
      <c r="O414" s="1">
        <v>1972.0</v>
      </c>
      <c r="P414" s="1">
        <v>1915.0</v>
      </c>
      <c r="R414" s="2">
        <v>41169.0</v>
      </c>
      <c r="U414" s="1" t="s">
        <v>41</v>
      </c>
      <c r="Y414" s="1">
        <v>1.0</v>
      </c>
      <c r="AB414" s="1">
        <v>0.0</v>
      </c>
    </row>
    <row r="415">
      <c r="A415" s="1">
        <v>58696.0</v>
      </c>
      <c r="B415" s="1" t="s">
        <v>1594</v>
      </c>
      <c r="C415" s="1" t="s">
        <v>1535</v>
      </c>
      <c r="D415" s="1" t="s">
        <v>35</v>
      </c>
      <c r="E415" s="1" t="s">
        <v>36</v>
      </c>
      <c r="F415" s="1" t="s">
        <v>1536</v>
      </c>
      <c r="G415" s="1" t="s">
        <v>1595</v>
      </c>
      <c r="H415" t="str">
        <f>"0140439447"</f>
        <v>0140439447</v>
      </c>
      <c r="I415" t="str">
        <f>"9780140439441"</f>
        <v>9780140439441</v>
      </c>
      <c r="J415" s="1">
        <v>2.0</v>
      </c>
      <c r="K415" s="1">
        <v>3.97</v>
      </c>
      <c r="L415" s="1" t="s">
        <v>1018</v>
      </c>
      <c r="M415" s="1" t="s">
        <v>40</v>
      </c>
      <c r="N415" s="1">
        <v>882.0</v>
      </c>
      <c r="O415" s="1">
        <v>2004.0</v>
      </c>
      <c r="P415" s="1">
        <v>1849.0</v>
      </c>
      <c r="R415" s="2">
        <v>41169.0</v>
      </c>
      <c r="U415" s="1" t="s">
        <v>41</v>
      </c>
      <c r="Y415" s="1">
        <v>1.0</v>
      </c>
      <c r="AB415" s="1">
        <v>0.0</v>
      </c>
    </row>
    <row r="416">
      <c r="A416" s="1">
        <v>51496.0</v>
      </c>
      <c r="B416" s="1" t="s">
        <v>1596</v>
      </c>
      <c r="C416" s="1" t="s">
        <v>1523</v>
      </c>
      <c r="D416" s="1" t="s">
        <v>35</v>
      </c>
      <c r="E416" s="1" t="s">
        <v>36</v>
      </c>
      <c r="F416" s="1" t="s">
        <v>1524</v>
      </c>
      <c r="G416" s="1" t="s">
        <v>1597</v>
      </c>
      <c r="H416" t="str">
        <f>"0451528956"</f>
        <v>0451528956</v>
      </c>
      <c r="I416" t="str">
        <f>"9780451528957"</f>
        <v>9780451528957</v>
      </c>
      <c r="J416" s="1">
        <v>4.0</v>
      </c>
      <c r="K416" s="1">
        <v>3.8</v>
      </c>
      <c r="L416" s="1" t="s">
        <v>1387</v>
      </c>
      <c r="M416" s="1" t="s">
        <v>40</v>
      </c>
      <c r="N416" s="1">
        <v>144.0</v>
      </c>
      <c r="O416" s="1">
        <v>2003.0</v>
      </c>
      <c r="P416" s="1">
        <v>1886.0</v>
      </c>
      <c r="R416" s="2">
        <v>41169.0</v>
      </c>
      <c r="U416" s="1" t="s">
        <v>41</v>
      </c>
      <c r="Y416" s="1">
        <v>1.0</v>
      </c>
      <c r="AB416" s="1">
        <v>0.0</v>
      </c>
    </row>
    <row r="417">
      <c r="A417" s="1">
        <v>7733.0</v>
      </c>
      <c r="B417" s="1" t="s">
        <v>1598</v>
      </c>
      <c r="C417" s="1" t="s">
        <v>1599</v>
      </c>
      <c r="D417" s="1" t="s">
        <v>304</v>
      </c>
      <c r="E417" s="1" t="s">
        <v>36</v>
      </c>
      <c r="F417" s="1" t="s">
        <v>1600</v>
      </c>
      <c r="G417" s="1" t="s">
        <v>1601</v>
      </c>
      <c r="H417" t="str">
        <f>"0141439491"</f>
        <v>0141439491</v>
      </c>
      <c r="I417" t="str">
        <f>"9780141439495"</f>
        <v>9780141439495</v>
      </c>
      <c r="J417" s="1">
        <v>3.0</v>
      </c>
      <c r="K417" s="1">
        <v>3.56</v>
      </c>
      <c r="L417" s="1" t="s">
        <v>68</v>
      </c>
      <c r="M417" s="1" t="s">
        <v>40</v>
      </c>
      <c r="N417" s="1">
        <v>306.0</v>
      </c>
      <c r="O417" s="1">
        <v>2003.0</v>
      </c>
      <c r="P417" s="1">
        <v>1726.0</v>
      </c>
      <c r="R417" s="2">
        <v>41169.0</v>
      </c>
      <c r="U417" s="1" t="s">
        <v>41</v>
      </c>
      <c r="Y417" s="1">
        <v>1.0</v>
      </c>
      <c r="AB417" s="1">
        <v>0.0</v>
      </c>
    </row>
    <row r="418">
      <c r="A418" s="1">
        <v>157993.0</v>
      </c>
      <c r="B418" s="1" t="s">
        <v>1602</v>
      </c>
      <c r="C418" s="1" t="s">
        <v>1603</v>
      </c>
      <c r="D418" s="1" t="s">
        <v>120</v>
      </c>
      <c r="E418" s="1" t="s">
        <v>36</v>
      </c>
      <c r="F418" s="1" t="s">
        <v>1604</v>
      </c>
      <c r="G418" s="1" t="s">
        <v>1605</v>
      </c>
      <c r="H418" t="str">
        <f>"0156012197"</f>
        <v>0156012197</v>
      </c>
      <c r="I418" t="str">
        <f>"9780156012195"</f>
        <v>9780156012195</v>
      </c>
      <c r="J418" s="1">
        <v>5.0</v>
      </c>
      <c r="K418" s="1">
        <v>4.29</v>
      </c>
      <c r="L418" s="1" t="s">
        <v>1606</v>
      </c>
      <c r="M418" s="1" t="s">
        <v>40</v>
      </c>
      <c r="N418" s="1">
        <v>93.0</v>
      </c>
      <c r="O418" s="1">
        <v>2000.0</v>
      </c>
      <c r="P418" s="1">
        <v>1943.0</v>
      </c>
      <c r="R418" s="2">
        <v>41169.0</v>
      </c>
      <c r="U418" s="1" t="s">
        <v>41</v>
      </c>
      <c r="Y418" s="1">
        <v>1.0</v>
      </c>
      <c r="AB418" s="1">
        <v>0.0</v>
      </c>
    </row>
    <row r="419">
      <c r="A419" s="1">
        <v>7190.0</v>
      </c>
      <c r="B419" s="1" t="s">
        <v>1607</v>
      </c>
      <c r="C419" s="1" t="s">
        <v>1608</v>
      </c>
      <c r="D419" s="1" t="s">
        <v>120</v>
      </c>
      <c r="E419" s="1" t="s">
        <v>36</v>
      </c>
      <c r="F419" s="1" t="s">
        <v>1609</v>
      </c>
      <c r="H419" t="str">
        <f t="shared" ref="H419:I419" si="34">""</f>
        <v/>
      </c>
      <c r="I419" t="str">
        <f t="shared" si="34"/>
        <v/>
      </c>
      <c r="J419" s="1">
        <v>3.0</v>
      </c>
      <c r="K419" s="1">
        <v>4.07</v>
      </c>
      <c r="L419" s="1" t="s">
        <v>117</v>
      </c>
      <c r="M419" s="1" t="s">
        <v>40</v>
      </c>
      <c r="N419" s="1">
        <v>625.0</v>
      </c>
      <c r="O419" s="1">
        <v>2001.0</v>
      </c>
      <c r="P419" s="1">
        <v>1844.0</v>
      </c>
      <c r="R419" s="2">
        <v>41169.0</v>
      </c>
      <c r="U419" s="1" t="s">
        <v>41</v>
      </c>
      <c r="Y419" s="1">
        <v>1.0</v>
      </c>
      <c r="AB419" s="1">
        <v>0.0</v>
      </c>
    </row>
    <row r="420">
      <c r="A420" s="1">
        <v>168668.0</v>
      </c>
      <c r="B420" s="1" t="s">
        <v>1610</v>
      </c>
      <c r="C420" s="1" t="s">
        <v>1611</v>
      </c>
      <c r="D420" s="1" t="s">
        <v>71</v>
      </c>
      <c r="E420" s="1" t="s">
        <v>65</v>
      </c>
      <c r="F420" s="1" t="s">
        <v>1612</v>
      </c>
      <c r="H420" t="str">
        <f>"0684833395"</f>
        <v>0684833395</v>
      </c>
      <c r="I420" t="str">
        <f>"9780684833392"</f>
        <v>9780684833392</v>
      </c>
      <c r="J420" s="1">
        <v>5.0</v>
      </c>
      <c r="K420" s="1">
        <v>3.98</v>
      </c>
      <c r="L420" s="1" t="s">
        <v>380</v>
      </c>
      <c r="M420" s="1" t="s">
        <v>40</v>
      </c>
      <c r="N420" s="1">
        <v>453.0</v>
      </c>
      <c r="O420" s="1">
        <v>2004.0</v>
      </c>
      <c r="P420" s="1">
        <v>1961.0</v>
      </c>
      <c r="R420" s="2">
        <v>41169.0</v>
      </c>
      <c r="U420" s="1" t="s">
        <v>41</v>
      </c>
      <c r="Y420" s="1">
        <v>1.0</v>
      </c>
      <c r="AB420" s="1">
        <v>0.0</v>
      </c>
    </row>
    <row r="421">
      <c r="A421" s="1">
        <v>7604.0</v>
      </c>
      <c r="B421" s="1" t="s">
        <v>1613</v>
      </c>
      <c r="C421" s="1" t="s">
        <v>1614</v>
      </c>
      <c r="D421" s="1" t="s">
        <v>64</v>
      </c>
      <c r="E421" s="1" t="s">
        <v>65</v>
      </c>
      <c r="F421" s="1" t="s">
        <v>1615</v>
      </c>
      <c r="G421" s="1" t="s">
        <v>1616</v>
      </c>
      <c r="H421" t="str">
        <f t="shared" ref="H421:I421" si="35">""</f>
        <v/>
      </c>
      <c r="I421" t="str">
        <f t="shared" si="35"/>
        <v/>
      </c>
      <c r="J421" s="1">
        <v>5.0</v>
      </c>
      <c r="K421" s="1">
        <v>3.89</v>
      </c>
      <c r="L421" s="1" t="s">
        <v>1018</v>
      </c>
      <c r="M421" s="1" t="s">
        <v>40</v>
      </c>
      <c r="N421" s="1">
        <v>417.0</v>
      </c>
      <c r="O421" s="1">
        <v>1995.0</v>
      </c>
      <c r="P421" s="1">
        <v>1955.0</v>
      </c>
      <c r="R421" s="2">
        <v>41169.0</v>
      </c>
      <c r="U421" s="1" t="s">
        <v>41</v>
      </c>
      <c r="Y421" s="1">
        <v>1.0</v>
      </c>
      <c r="AB421" s="1">
        <v>0.0</v>
      </c>
    </row>
    <row r="422">
      <c r="A422" s="1">
        <v>1371.0</v>
      </c>
      <c r="B422" s="1" t="s">
        <v>1617</v>
      </c>
      <c r="C422" s="1" t="s">
        <v>1080</v>
      </c>
      <c r="D422" s="1" t="s">
        <v>125</v>
      </c>
      <c r="E422" s="1" t="s">
        <v>36</v>
      </c>
      <c r="F422" s="1" t="s">
        <v>1081</v>
      </c>
      <c r="G422" s="1" t="s">
        <v>1618</v>
      </c>
      <c r="H422" t="str">
        <f>"0140275363"</f>
        <v>0140275363</v>
      </c>
      <c r="I422" t="str">
        <f>"9780140275360"</f>
        <v>9780140275360</v>
      </c>
      <c r="J422" s="1">
        <v>5.0</v>
      </c>
      <c r="K422" s="1">
        <v>3.84</v>
      </c>
      <c r="L422" s="1" t="s">
        <v>68</v>
      </c>
      <c r="M422" s="1" t="s">
        <v>40</v>
      </c>
      <c r="N422" s="1">
        <v>683.0</v>
      </c>
      <c r="O422" s="1">
        <v>1999.0</v>
      </c>
      <c r="P422" s="1">
        <v>-750.0</v>
      </c>
      <c r="R422" s="2">
        <v>41169.0</v>
      </c>
      <c r="U422" s="1" t="s">
        <v>41</v>
      </c>
      <c r="Y422" s="1">
        <v>1.0</v>
      </c>
      <c r="AB422" s="1">
        <v>0.0</v>
      </c>
    </row>
    <row r="423">
      <c r="A423" s="1">
        <v>24213.0</v>
      </c>
      <c r="B423" s="1" t="s">
        <v>1619</v>
      </c>
      <c r="C423" s="1" t="s">
        <v>1620</v>
      </c>
      <c r="D423" s="1" t="s">
        <v>35</v>
      </c>
      <c r="E423" s="1" t="s">
        <v>65</v>
      </c>
      <c r="F423" s="1" t="s">
        <v>1621</v>
      </c>
      <c r="G423" s="1" t="s">
        <v>1622</v>
      </c>
      <c r="H423" t="str">
        <f>"0451527747"</f>
        <v>0451527747</v>
      </c>
      <c r="I423" t="str">
        <f>"9780451527745"</f>
        <v>9780451527745</v>
      </c>
      <c r="J423" s="1">
        <v>4.0</v>
      </c>
      <c r="K423" s="1">
        <v>4.07</v>
      </c>
      <c r="L423" s="1" t="s">
        <v>1623</v>
      </c>
      <c r="M423" s="1" t="s">
        <v>238</v>
      </c>
      <c r="N423" s="1">
        <v>239.0</v>
      </c>
      <c r="O423" s="1">
        <v>2000.0</v>
      </c>
      <c r="P423" s="1">
        <v>1872.0</v>
      </c>
      <c r="R423" s="2">
        <v>41169.0</v>
      </c>
      <c r="U423" s="1" t="s">
        <v>41</v>
      </c>
      <c r="Y423" s="1">
        <v>1.0</v>
      </c>
      <c r="AB423" s="1">
        <v>0.0</v>
      </c>
    </row>
    <row r="424">
      <c r="A424" s="1">
        <v>1622.0</v>
      </c>
      <c r="B424" s="1" t="s">
        <v>1624</v>
      </c>
      <c r="C424" s="1" t="s">
        <v>146</v>
      </c>
      <c r="D424" s="1" t="s">
        <v>35</v>
      </c>
      <c r="E424" s="1" t="s">
        <v>65</v>
      </c>
      <c r="F424" s="1" t="s">
        <v>147</v>
      </c>
      <c r="G424" s="1" t="s">
        <v>1625</v>
      </c>
      <c r="H424" t="str">
        <f>"0743477545"</f>
        <v>0743477545</v>
      </c>
      <c r="I424" t="str">
        <f>"9780743477543"</f>
        <v>9780743477543</v>
      </c>
      <c r="J424" s="1">
        <v>5.0</v>
      </c>
      <c r="K424" s="1">
        <v>3.94</v>
      </c>
      <c r="L424" s="1" t="s">
        <v>1626</v>
      </c>
      <c r="M424" s="1" t="s">
        <v>40</v>
      </c>
      <c r="N424" s="1">
        <v>298.0</v>
      </c>
      <c r="O424" s="1">
        <v>2016.0</v>
      </c>
      <c r="P424" s="1">
        <v>1595.0</v>
      </c>
      <c r="R424" s="2">
        <v>41169.0</v>
      </c>
      <c r="U424" s="1" t="s">
        <v>41</v>
      </c>
      <c r="Y424" s="1">
        <v>1.0</v>
      </c>
      <c r="AB424" s="1">
        <v>0.0</v>
      </c>
    </row>
    <row r="425">
      <c r="A425" s="1">
        <v>48855.0</v>
      </c>
      <c r="B425" s="1" t="s">
        <v>1627</v>
      </c>
      <c r="C425" s="1" t="s">
        <v>1628</v>
      </c>
      <c r="D425" s="1" t="s">
        <v>95</v>
      </c>
      <c r="E425" s="1" t="s">
        <v>65</v>
      </c>
      <c r="F425" s="1" t="s">
        <v>1629</v>
      </c>
      <c r="G425" s="1" t="s">
        <v>1630</v>
      </c>
      <c r="H425" t="str">
        <f>"0553296981"</f>
        <v>0553296981</v>
      </c>
      <c r="I425" t="str">
        <f>"9780553296983"</f>
        <v>9780553296983</v>
      </c>
      <c r="J425" s="1">
        <v>2.0</v>
      </c>
      <c r="K425" s="1">
        <v>4.12</v>
      </c>
      <c r="L425" s="1" t="s">
        <v>1553</v>
      </c>
      <c r="M425" s="1" t="s">
        <v>238</v>
      </c>
      <c r="N425" s="1">
        <v>304.0</v>
      </c>
      <c r="O425" s="1">
        <v>1993.0</v>
      </c>
      <c r="P425" s="1">
        <v>1947.0</v>
      </c>
      <c r="R425" s="2">
        <v>41169.0</v>
      </c>
      <c r="U425" s="1" t="s">
        <v>41</v>
      </c>
      <c r="Y425" s="1">
        <v>1.0</v>
      </c>
      <c r="AB425" s="1">
        <v>0.0</v>
      </c>
    </row>
    <row r="426">
      <c r="A426" s="1">
        <v>5129.0</v>
      </c>
      <c r="B426" s="1" t="s">
        <v>1631</v>
      </c>
      <c r="C426" s="1" t="s">
        <v>1010</v>
      </c>
      <c r="D426" s="1" t="s">
        <v>35</v>
      </c>
      <c r="E426" s="1" t="s">
        <v>65</v>
      </c>
      <c r="F426" s="1" t="s">
        <v>1011</v>
      </c>
      <c r="H426" t="str">
        <f>"0060929871"</f>
        <v>0060929871</v>
      </c>
      <c r="I426" t="str">
        <f>"9780060929879"</f>
        <v>9780060929879</v>
      </c>
      <c r="J426" s="1">
        <v>4.0</v>
      </c>
      <c r="K426" s="1">
        <v>3.98</v>
      </c>
      <c r="L426" s="1" t="s">
        <v>1632</v>
      </c>
      <c r="M426" s="1" t="s">
        <v>40</v>
      </c>
      <c r="N426" s="1">
        <v>288.0</v>
      </c>
      <c r="O426" s="1">
        <v>1998.0</v>
      </c>
      <c r="P426" s="1">
        <v>1932.0</v>
      </c>
      <c r="R426" s="2">
        <v>41169.0</v>
      </c>
      <c r="U426" s="1" t="s">
        <v>41</v>
      </c>
      <c r="Y426" s="1">
        <v>1.0</v>
      </c>
      <c r="AB426" s="1">
        <v>0.0</v>
      </c>
    </row>
    <row r="427">
      <c r="A427" s="1">
        <v>24280.0</v>
      </c>
      <c r="B427" s="1" t="s">
        <v>1633</v>
      </c>
      <c r="C427" s="1" t="s">
        <v>1572</v>
      </c>
      <c r="D427" s="1" t="s">
        <v>120</v>
      </c>
      <c r="E427" s="1" t="s">
        <v>278</v>
      </c>
      <c r="F427" s="1" t="s">
        <v>1573</v>
      </c>
      <c r="G427" s="1" t="s">
        <v>1634</v>
      </c>
      <c r="H427" t="str">
        <f>"0451525264"</f>
        <v>0451525264</v>
      </c>
      <c r="I427" t="str">
        <f>"9780451525260"</f>
        <v>9780451525260</v>
      </c>
      <c r="J427" s="1">
        <v>4.0</v>
      </c>
      <c r="K427" s="1">
        <v>4.16</v>
      </c>
      <c r="L427" s="1" t="s">
        <v>1387</v>
      </c>
      <c r="M427" s="1" t="s">
        <v>238</v>
      </c>
      <c r="N427" s="1">
        <v>1463.0</v>
      </c>
      <c r="O427" s="1">
        <v>1987.0</v>
      </c>
      <c r="P427" s="1">
        <v>1862.0</v>
      </c>
      <c r="R427" s="2">
        <v>41169.0</v>
      </c>
      <c r="U427" s="1" t="s">
        <v>41</v>
      </c>
      <c r="Y427" s="1">
        <v>1.0</v>
      </c>
      <c r="AB427" s="1">
        <v>0.0</v>
      </c>
    </row>
    <row r="428">
      <c r="A428" s="1">
        <v>5297.0</v>
      </c>
      <c r="B428" s="1" t="s">
        <v>1635</v>
      </c>
      <c r="C428" s="1" t="s">
        <v>1207</v>
      </c>
      <c r="D428" s="1" t="s">
        <v>304</v>
      </c>
      <c r="E428" s="1" t="s">
        <v>65</v>
      </c>
      <c r="F428" s="1" t="s">
        <v>1208</v>
      </c>
      <c r="G428" s="1" t="s">
        <v>1636</v>
      </c>
      <c r="H428" t="str">
        <f>"0375751513"</f>
        <v>0375751513</v>
      </c>
      <c r="I428" t="str">
        <f>"9780375751516"</f>
        <v>9780375751516</v>
      </c>
      <c r="J428" s="1">
        <v>5.0</v>
      </c>
      <c r="K428" s="1">
        <v>4.06</v>
      </c>
      <c r="L428" s="1" t="s">
        <v>1637</v>
      </c>
      <c r="M428" s="1" t="s">
        <v>40</v>
      </c>
      <c r="N428" s="1">
        <v>367.0</v>
      </c>
      <c r="O428" s="1">
        <v>2004.0</v>
      </c>
      <c r="P428" s="1">
        <v>1890.0</v>
      </c>
      <c r="R428" s="2">
        <v>41169.0</v>
      </c>
      <c r="U428" s="1" t="s">
        <v>41</v>
      </c>
      <c r="Y428" s="1">
        <v>1.0</v>
      </c>
      <c r="AB428" s="1">
        <v>0.0</v>
      </c>
    </row>
    <row r="429">
      <c r="A429" s="1">
        <v>2623.0</v>
      </c>
      <c r="B429" s="1" t="s">
        <v>1638</v>
      </c>
      <c r="C429" s="1" t="s">
        <v>1535</v>
      </c>
      <c r="D429" s="1" t="s">
        <v>35</v>
      </c>
      <c r="E429" s="1" t="s">
        <v>65</v>
      </c>
      <c r="F429" s="1" t="s">
        <v>1536</v>
      </c>
      <c r="G429" s="1" t="s">
        <v>1639</v>
      </c>
      <c r="H429" t="str">
        <f>"0192833596"</f>
        <v>0192833596</v>
      </c>
      <c r="I429" t="str">
        <f>"9780192833594"</f>
        <v>9780192833594</v>
      </c>
      <c r="J429" s="1">
        <v>4.0</v>
      </c>
      <c r="K429" s="1">
        <v>3.76</v>
      </c>
      <c r="L429" s="1" t="s">
        <v>311</v>
      </c>
      <c r="M429" s="1" t="s">
        <v>40</v>
      </c>
      <c r="N429" s="1">
        <v>505.0</v>
      </c>
      <c r="O429" s="1">
        <v>1998.0</v>
      </c>
      <c r="P429" s="1">
        <v>1860.0</v>
      </c>
      <c r="R429" s="2">
        <v>41169.0</v>
      </c>
      <c r="U429" s="1" t="s">
        <v>41</v>
      </c>
      <c r="Y429" s="1">
        <v>1.0</v>
      </c>
      <c r="AB429" s="1">
        <v>0.0</v>
      </c>
    </row>
    <row r="430">
      <c r="A430" s="1">
        <v>6969.0</v>
      </c>
      <c r="B430" s="1" t="s">
        <v>1640</v>
      </c>
      <c r="C430" s="1" t="s">
        <v>1641</v>
      </c>
      <c r="D430" s="1" t="s">
        <v>35</v>
      </c>
      <c r="E430" s="1" t="s">
        <v>65</v>
      </c>
      <c r="F430" s="1" t="s">
        <v>1642</v>
      </c>
      <c r="G430" s="1" t="s">
        <v>1643</v>
      </c>
      <c r="H430" t="str">
        <f>"0141439580"</f>
        <v>0141439580</v>
      </c>
      <c r="I430" t="str">
        <f>"9780141439587"</f>
        <v>9780141439587</v>
      </c>
      <c r="J430" s="1">
        <v>2.0</v>
      </c>
      <c r="K430" s="1">
        <v>3.99</v>
      </c>
      <c r="L430" s="1" t="s">
        <v>269</v>
      </c>
      <c r="M430" s="1" t="s">
        <v>40</v>
      </c>
      <c r="N430" s="1">
        <v>474.0</v>
      </c>
      <c r="O430" s="1">
        <v>2003.0</v>
      </c>
      <c r="P430" s="1">
        <v>1815.0</v>
      </c>
      <c r="R430" s="2">
        <v>41169.0</v>
      </c>
      <c r="U430" s="1" t="s">
        <v>41</v>
      </c>
      <c r="Y430" s="1">
        <v>1.0</v>
      </c>
      <c r="AB430" s="1">
        <v>0.0</v>
      </c>
    </row>
    <row r="431">
      <c r="A431" s="1">
        <v>890.0</v>
      </c>
      <c r="B431" s="1" t="s">
        <v>1644</v>
      </c>
      <c r="C431" s="1" t="s">
        <v>313</v>
      </c>
      <c r="D431" s="1" t="s">
        <v>71</v>
      </c>
      <c r="E431" s="1" t="s">
        <v>65</v>
      </c>
      <c r="F431" s="1" t="s">
        <v>314</v>
      </c>
      <c r="H431" t="str">
        <f>"0142000671"</f>
        <v>0142000671</v>
      </c>
      <c r="I431" t="str">
        <f>"9780142000670"</f>
        <v>9780142000670</v>
      </c>
      <c r="J431" s="1">
        <v>3.0</v>
      </c>
      <c r="K431" s="1">
        <v>3.85</v>
      </c>
      <c r="L431" s="1" t="s">
        <v>269</v>
      </c>
      <c r="M431" s="1" t="s">
        <v>40</v>
      </c>
      <c r="N431" s="1">
        <v>112.0</v>
      </c>
      <c r="O431" s="1">
        <v>2002.0</v>
      </c>
      <c r="P431" s="1">
        <v>1937.0</v>
      </c>
      <c r="R431" s="2">
        <v>41169.0</v>
      </c>
      <c r="U431" s="1" t="s">
        <v>41</v>
      </c>
      <c r="Y431" s="1">
        <v>1.0</v>
      </c>
      <c r="AB431" s="1">
        <v>0.0</v>
      </c>
    </row>
    <row r="432">
      <c r="A432" s="1">
        <v>18135.0</v>
      </c>
      <c r="B432" s="1" t="s">
        <v>1645</v>
      </c>
      <c r="C432" s="1" t="s">
        <v>146</v>
      </c>
      <c r="D432" s="1" t="s">
        <v>35</v>
      </c>
      <c r="E432" s="1" t="s">
        <v>65</v>
      </c>
      <c r="F432" s="1" t="s">
        <v>147</v>
      </c>
      <c r="G432" s="1" t="s">
        <v>1646</v>
      </c>
      <c r="H432" t="str">
        <f>"0743477111"</f>
        <v>0743477111</v>
      </c>
      <c r="I432" t="str">
        <f>"9780743477116"</f>
        <v>9780743477116</v>
      </c>
      <c r="J432" s="1">
        <v>5.0</v>
      </c>
      <c r="K432" s="1">
        <v>3.74</v>
      </c>
      <c r="L432" s="1" t="s">
        <v>1647</v>
      </c>
      <c r="M432" s="1" t="s">
        <v>238</v>
      </c>
      <c r="N432" s="1">
        <v>283.0</v>
      </c>
      <c r="O432" s="1">
        <v>2004.0</v>
      </c>
      <c r="P432" s="1">
        <v>1597.0</v>
      </c>
      <c r="R432" s="2">
        <v>41169.0</v>
      </c>
      <c r="U432" s="1" t="s">
        <v>41</v>
      </c>
      <c r="Y432" s="1">
        <v>1.0</v>
      </c>
      <c r="AB432" s="1">
        <v>0.0</v>
      </c>
    </row>
    <row r="433">
      <c r="A433" s="1">
        <v>7624.0</v>
      </c>
      <c r="B433" s="1" t="s">
        <v>1648</v>
      </c>
      <c r="C433" s="1" t="s">
        <v>1649</v>
      </c>
      <c r="D433" s="1" t="s">
        <v>35</v>
      </c>
      <c r="E433" s="1" t="s">
        <v>65</v>
      </c>
      <c r="F433" s="1" t="s">
        <v>1650</v>
      </c>
      <c r="H433" t="str">
        <f>"0140283331"</f>
        <v>0140283331</v>
      </c>
      <c r="I433" t="str">
        <f>"9780140283334"</f>
        <v>9780140283334</v>
      </c>
      <c r="J433" s="1">
        <v>5.0</v>
      </c>
      <c r="K433" s="1">
        <v>3.66</v>
      </c>
      <c r="L433" s="1" t="s">
        <v>269</v>
      </c>
      <c r="M433" s="1" t="s">
        <v>40</v>
      </c>
      <c r="N433" s="1">
        <v>182.0</v>
      </c>
      <c r="O433" s="1">
        <v>1999.0</v>
      </c>
      <c r="P433" s="1">
        <v>1954.0</v>
      </c>
      <c r="R433" s="2">
        <v>41169.0</v>
      </c>
      <c r="U433" s="1" t="s">
        <v>41</v>
      </c>
      <c r="Y433" s="1">
        <v>1.0</v>
      </c>
      <c r="AB433" s="1">
        <v>0.0</v>
      </c>
    </row>
    <row r="434">
      <c r="A434" s="1">
        <v>7613.0</v>
      </c>
      <c r="B434" s="1" t="s">
        <v>1651</v>
      </c>
      <c r="C434" s="1" t="s">
        <v>1179</v>
      </c>
      <c r="D434" s="1" t="s">
        <v>35</v>
      </c>
      <c r="E434" s="1" t="s">
        <v>65</v>
      </c>
      <c r="F434" s="1" t="s">
        <v>1180</v>
      </c>
      <c r="H434" t="str">
        <f>"0452284244"</f>
        <v>0452284244</v>
      </c>
      <c r="I434" t="str">
        <f>"9780452284241"</f>
        <v>9780452284241</v>
      </c>
      <c r="J434" s="1">
        <v>5.0</v>
      </c>
      <c r="K434" s="1">
        <v>3.9</v>
      </c>
      <c r="L434" s="1" t="s">
        <v>1492</v>
      </c>
      <c r="M434" s="1" t="s">
        <v>40</v>
      </c>
      <c r="N434" s="1">
        <v>122.0</v>
      </c>
      <c r="O434" s="1">
        <v>2003.0</v>
      </c>
      <c r="P434" s="1">
        <v>1945.0</v>
      </c>
      <c r="R434" s="2">
        <v>41169.0</v>
      </c>
      <c r="U434" s="1" t="s">
        <v>41</v>
      </c>
      <c r="Y434" s="1">
        <v>1.0</v>
      </c>
      <c r="AB434" s="1">
        <v>0.0</v>
      </c>
    </row>
    <row r="435">
      <c r="A435" s="1">
        <v>5470.0</v>
      </c>
      <c r="B435" s="6">
        <v>1984.0</v>
      </c>
      <c r="C435" s="1" t="s">
        <v>1179</v>
      </c>
      <c r="D435" s="1" t="s">
        <v>35</v>
      </c>
      <c r="E435" s="1" t="s">
        <v>65</v>
      </c>
      <c r="F435" s="1" t="s">
        <v>1180</v>
      </c>
      <c r="G435" s="1" t="s">
        <v>1110</v>
      </c>
      <c r="H435" t="str">
        <f>"0451524934"</f>
        <v>0451524934</v>
      </c>
      <c r="I435" t="str">
        <f>"9780451524935"</f>
        <v>9780451524935</v>
      </c>
      <c r="J435" s="1">
        <v>5.0</v>
      </c>
      <c r="K435" s="1">
        <v>4.16</v>
      </c>
      <c r="L435" s="1" t="s">
        <v>1652</v>
      </c>
      <c r="M435" s="1" t="s">
        <v>238</v>
      </c>
      <c r="N435" s="1">
        <v>328.0</v>
      </c>
      <c r="O435" s="1">
        <v>1950.0</v>
      </c>
      <c r="P435" s="1">
        <v>1949.0</v>
      </c>
      <c r="R435" s="2">
        <v>41169.0</v>
      </c>
      <c r="U435" s="1" t="s">
        <v>41</v>
      </c>
      <c r="Y435" s="1">
        <v>1.0</v>
      </c>
      <c r="AB435" s="1">
        <v>0.0</v>
      </c>
    </row>
    <row r="436">
      <c r="A436" s="1">
        <v>6185.0</v>
      </c>
      <c r="B436" s="1" t="s">
        <v>1653</v>
      </c>
      <c r="C436" s="1" t="s">
        <v>1654</v>
      </c>
      <c r="D436" s="1" t="s">
        <v>35</v>
      </c>
      <c r="E436" s="1" t="s">
        <v>65</v>
      </c>
      <c r="F436" s="1" t="s">
        <v>1655</v>
      </c>
      <c r="G436" s="1" t="s">
        <v>1656</v>
      </c>
      <c r="H436" t="str">
        <f>"0393978893"</f>
        <v>0393978893</v>
      </c>
      <c r="I436" t="str">
        <f>"9780393978896"</f>
        <v>9780393978896</v>
      </c>
      <c r="J436" s="1">
        <v>3.0</v>
      </c>
      <c r="K436" s="1">
        <v>3.84</v>
      </c>
      <c r="L436" s="1" t="s">
        <v>1419</v>
      </c>
      <c r="M436" s="1" t="s">
        <v>40</v>
      </c>
      <c r="N436" s="1">
        <v>464.0</v>
      </c>
      <c r="O436" s="1">
        <v>2002.0</v>
      </c>
      <c r="P436" s="1">
        <v>1847.0</v>
      </c>
      <c r="R436" s="2">
        <v>41169.0</v>
      </c>
      <c r="U436" s="1" t="s">
        <v>41</v>
      </c>
      <c r="Y436" s="1">
        <v>1.0</v>
      </c>
      <c r="AB436" s="1">
        <v>0.0</v>
      </c>
    </row>
    <row r="437">
      <c r="A437" s="1">
        <v>5107.0</v>
      </c>
      <c r="B437" s="1" t="s">
        <v>1657</v>
      </c>
      <c r="C437" s="1" t="s">
        <v>1193</v>
      </c>
      <c r="D437" s="1" t="s">
        <v>71</v>
      </c>
      <c r="E437" s="1" t="s">
        <v>36</v>
      </c>
      <c r="F437" s="1" t="s">
        <v>1194</v>
      </c>
      <c r="H437" t="str">
        <f>"0316769177"</f>
        <v>0316769177</v>
      </c>
      <c r="I437" t="str">
        <f>"9780316769174"</f>
        <v>9780316769174</v>
      </c>
      <c r="J437" s="1">
        <v>5.0</v>
      </c>
      <c r="K437" s="1">
        <v>3.8</v>
      </c>
      <c r="L437" s="1" t="s">
        <v>1658</v>
      </c>
      <c r="M437" s="1" t="s">
        <v>40</v>
      </c>
      <c r="N437" s="1">
        <v>277.0</v>
      </c>
      <c r="O437" s="1">
        <v>2001.0</v>
      </c>
      <c r="P437" s="1">
        <v>1951.0</v>
      </c>
      <c r="R437" s="2">
        <v>41169.0</v>
      </c>
      <c r="U437" s="1" t="s">
        <v>41</v>
      </c>
      <c r="Y437" s="1">
        <v>1.0</v>
      </c>
      <c r="AB437" s="1">
        <v>0.0</v>
      </c>
    </row>
    <row r="438">
      <c r="A438" s="1">
        <v>4671.0</v>
      </c>
      <c r="B438" s="1" t="s">
        <v>1659</v>
      </c>
      <c r="C438" s="1" t="s">
        <v>415</v>
      </c>
      <c r="D438" s="1" t="s">
        <v>71</v>
      </c>
      <c r="E438" s="1" t="s">
        <v>65</v>
      </c>
      <c r="F438" s="1" t="s">
        <v>416</v>
      </c>
      <c r="G438" s="1" t="s">
        <v>962</v>
      </c>
      <c r="H438" t="str">
        <f t="shared" ref="H438:I438" si="36">""</f>
        <v/>
      </c>
      <c r="I438" t="str">
        <f t="shared" si="36"/>
        <v/>
      </c>
      <c r="J438" s="1">
        <v>4.0</v>
      </c>
      <c r="K438" s="1">
        <v>3.9</v>
      </c>
      <c r="L438" s="1" t="s">
        <v>356</v>
      </c>
      <c r="M438" s="1" t="s">
        <v>40</v>
      </c>
      <c r="N438" s="1">
        <v>180.0</v>
      </c>
      <c r="O438" s="1">
        <v>2004.0</v>
      </c>
      <c r="P438" s="1">
        <v>1925.0</v>
      </c>
      <c r="R438" s="2">
        <v>41169.0</v>
      </c>
      <c r="U438" s="1" t="s">
        <v>41</v>
      </c>
      <c r="Y438" s="1">
        <v>1.0</v>
      </c>
      <c r="AB438" s="1">
        <v>0.0</v>
      </c>
    </row>
    <row r="439">
      <c r="A439" s="1">
        <v>10210.0</v>
      </c>
      <c r="B439" s="1" t="s">
        <v>1660</v>
      </c>
      <c r="C439" s="1" t="s">
        <v>1661</v>
      </c>
      <c r="D439" s="1" t="s">
        <v>35</v>
      </c>
      <c r="E439" s="1" t="s">
        <v>65</v>
      </c>
      <c r="F439" s="1" t="s">
        <v>1662</v>
      </c>
      <c r="G439" s="1" t="s">
        <v>1663</v>
      </c>
      <c r="H439" t="str">
        <f>"0142437204"</f>
        <v>0142437204</v>
      </c>
      <c r="I439" t="str">
        <f>"9780142437209"</f>
        <v>9780142437209</v>
      </c>
      <c r="J439" s="1">
        <v>3.0</v>
      </c>
      <c r="K439" s="1">
        <v>4.11</v>
      </c>
      <c r="L439" s="1" t="s">
        <v>1018</v>
      </c>
      <c r="M439" s="1" t="s">
        <v>40</v>
      </c>
      <c r="N439" s="1">
        <v>507.0</v>
      </c>
      <c r="O439" s="1">
        <v>2003.0</v>
      </c>
      <c r="P439" s="1">
        <v>1847.0</v>
      </c>
      <c r="R439" s="2">
        <v>41169.0</v>
      </c>
      <c r="U439" s="1" t="s">
        <v>41</v>
      </c>
      <c r="Y439" s="1">
        <v>1.0</v>
      </c>
      <c r="AB439" s="1">
        <v>0.0</v>
      </c>
    </row>
    <row r="440">
      <c r="A440" s="1">
        <v>1885.0</v>
      </c>
      <c r="B440" s="1" t="s">
        <v>1664</v>
      </c>
      <c r="C440" s="1" t="s">
        <v>1641</v>
      </c>
      <c r="D440" s="1" t="s">
        <v>35</v>
      </c>
      <c r="E440" s="1" t="s">
        <v>65</v>
      </c>
      <c r="F440" s="1" t="s">
        <v>1642</v>
      </c>
      <c r="G440" s="1" t="s">
        <v>1665</v>
      </c>
      <c r="H440" t="str">
        <f>"0679783261"</f>
        <v>0679783261</v>
      </c>
      <c r="I440" t="str">
        <f>"9780679783268"</f>
        <v>9780679783268</v>
      </c>
      <c r="J440" s="1">
        <v>3.0</v>
      </c>
      <c r="K440" s="1">
        <v>4.25</v>
      </c>
      <c r="L440" s="1" t="s">
        <v>117</v>
      </c>
      <c r="M440" s="1" t="s">
        <v>40</v>
      </c>
      <c r="N440" s="1">
        <v>279.0</v>
      </c>
      <c r="O440" s="1">
        <v>2000.0</v>
      </c>
      <c r="P440" s="1">
        <v>1813.0</v>
      </c>
      <c r="R440" s="2">
        <v>41169.0</v>
      </c>
      <c r="U440" s="1" t="s">
        <v>41</v>
      </c>
      <c r="Y440" s="1">
        <v>1.0</v>
      </c>
      <c r="AB440" s="1">
        <v>0.0</v>
      </c>
    </row>
  </sheetData>
  <autoFilter ref="$A$1:$AI$440">
    <filterColumn colId="20">
      <filters>
        <filter val="read"/>
      </filters>
    </filterColumn>
  </autoFilter>
  <conditionalFormatting sqref="J65">
    <cfRule type="expression" dxfId="0" priority="1">
      <formula>0</formula>
    </cfRule>
  </conditionalFormatting>
  <hyperlinks>
    <hyperlink r:id="rId1" ref="L14"/>
  </hyperlinks>
  <drawing r:id="rId2"/>
</worksheet>
</file>