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Škola - FIT\7.semestr\MSP - Statistika a pravděpodobnost\Projekt\"/>
    </mc:Choice>
  </mc:AlternateContent>
  <xr:revisionPtr revIDLastSave="0" documentId="13_ncr:1_{56CB1F85-C5BA-4C2F-ADD9-554AFD38E830}" xr6:coauthVersionLast="47" xr6:coauthVersionMax="47" xr10:uidLastSave="{00000000-0000-0000-0000-000000000000}"/>
  <bookViews>
    <workbookView xWindow="-108" yWindow="-108" windowWidth="23256" windowHeight="12576" xr2:uid="{0AA6E28C-EC5E-4602-9693-CC4A8A9F5036}"/>
  </bookViews>
  <sheets>
    <sheet name="Úkol 1" sheetId="3" r:id="rId1"/>
    <sheet name="Úkol 2" sheetId="2" r:id="rId2"/>
    <sheet name="Úkol 3" sheetId="1" r:id="rId3"/>
  </sheets>
  <definedNames>
    <definedName name="_xlnm._FilterDatabase" localSheetId="0" hidden="1">'Úkol 1'!$T$3:$V$3</definedName>
    <definedName name="_xlchart.v1.0" hidden="1">'Úkol 1'!$B$4:$B$53</definedName>
    <definedName name="_xlchart.v1.1" hidden="1">'Úkol 1'!$C$4:$C$53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2" l="1"/>
  <c r="J22" i="2"/>
  <c r="K8" i="2"/>
  <c r="L8" i="2"/>
  <c r="M8" i="2"/>
  <c r="J8" i="2"/>
  <c r="K7" i="2"/>
  <c r="L7" i="2"/>
  <c r="M7" i="2"/>
  <c r="J7" i="2"/>
  <c r="K6" i="2"/>
  <c r="L6" i="2"/>
  <c r="M6" i="2"/>
  <c r="J6" i="2"/>
  <c r="N8" i="2" l="1"/>
  <c r="J24" i="2"/>
  <c r="G6" i="3" l="1"/>
  <c r="F6" i="3"/>
  <c r="F5" i="3"/>
  <c r="G4" i="3"/>
  <c r="Y4" i="3" s="1"/>
  <c r="F4" i="3"/>
  <c r="Y3" i="3" s="1"/>
  <c r="G5" i="3"/>
  <c r="AF6" i="3"/>
  <c r="AF10" i="3" s="1"/>
  <c r="Q14" i="3"/>
  <c r="Q13" i="3"/>
  <c r="Y9" i="3"/>
  <c r="Y8" i="3"/>
  <c r="G7" i="3" l="1"/>
  <c r="G9" i="3" s="1"/>
  <c r="L14" i="3" s="1"/>
  <c r="F7" i="3"/>
  <c r="F9" i="3" s="1"/>
  <c r="I11" i="3" s="1"/>
  <c r="L17" i="3" l="1"/>
  <c r="L16" i="3"/>
  <c r="L6" i="3"/>
  <c r="L9" i="3"/>
  <c r="M8" i="3"/>
  <c r="M14" i="3"/>
  <c r="L10" i="3"/>
  <c r="M7" i="3"/>
  <c r="M10" i="3"/>
  <c r="M9" i="3"/>
  <c r="M11" i="3"/>
  <c r="M17" i="3"/>
  <c r="M5" i="3"/>
  <c r="L13" i="3"/>
  <c r="L19" i="3"/>
  <c r="L18" i="3"/>
  <c r="M6" i="3"/>
  <c r="L7" i="3"/>
  <c r="L12" i="3"/>
  <c r="M15" i="3"/>
  <c r="L15" i="3"/>
  <c r="M12" i="3"/>
  <c r="L11" i="3"/>
  <c r="M18" i="3"/>
  <c r="M13" i="3"/>
  <c r="L8" i="3"/>
  <c r="M16" i="3"/>
  <c r="I13" i="3"/>
  <c r="I14" i="3"/>
  <c r="J17" i="3"/>
  <c r="J12" i="3"/>
  <c r="J18" i="3"/>
  <c r="I8" i="3"/>
  <c r="I16" i="3"/>
  <c r="I10" i="3"/>
  <c r="J11" i="3"/>
  <c r="I18" i="3"/>
  <c r="J8" i="3"/>
  <c r="I6" i="3"/>
  <c r="L5" i="3"/>
  <c r="I12" i="3"/>
  <c r="J10" i="3"/>
  <c r="J14" i="3"/>
  <c r="J16" i="3"/>
  <c r="I7" i="3"/>
  <c r="I9" i="3"/>
  <c r="J5" i="3"/>
  <c r="I15" i="3"/>
  <c r="I17" i="3"/>
  <c r="J6" i="3"/>
  <c r="J7" i="3"/>
  <c r="I19" i="3"/>
  <c r="I5" i="3"/>
  <c r="J13" i="3"/>
  <c r="J15" i="3"/>
  <c r="J9" i="3"/>
  <c r="L20" i="3" l="1"/>
  <c r="M19" i="3"/>
  <c r="N19" i="3" s="1"/>
  <c r="I20" i="3"/>
  <c r="J19" i="3"/>
  <c r="K13" i="3"/>
  <c r="K17" i="3"/>
  <c r="K16" i="3"/>
  <c r="K15" i="3"/>
  <c r="K14" i="3"/>
  <c r="K9" i="3"/>
  <c r="K10" i="3"/>
  <c r="K7" i="3"/>
  <c r="K18" i="3"/>
  <c r="K12" i="3"/>
  <c r="K8" i="3"/>
  <c r="K11" i="3"/>
  <c r="Y7" i="3"/>
  <c r="N12" i="3"/>
  <c r="N13" i="3"/>
  <c r="N10" i="3"/>
  <c r="N9" i="3"/>
  <c r="N18" i="3"/>
  <c r="N15" i="3"/>
  <c r="N7" i="3"/>
  <c r="N14" i="3"/>
  <c r="N6" i="3"/>
  <c r="N16" i="3"/>
  <c r="N17" i="3"/>
  <c r="N8" i="3"/>
  <c r="N11" i="3"/>
  <c r="K6" i="3" l="1"/>
  <c r="K19" i="3"/>
  <c r="K5" i="3"/>
  <c r="N5" i="3"/>
  <c r="N20" i="3" s="1"/>
  <c r="G13" i="3" s="1"/>
  <c r="M20" i="3"/>
  <c r="Y5" i="3"/>
  <c r="Y6" i="3"/>
  <c r="K20" i="3" l="1"/>
  <c r="F13" i="3" s="1"/>
  <c r="Y11" i="3"/>
  <c r="AF4" i="3"/>
  <c r="AF3" i="3"/>
  <c r="Y12" i="3"/>
  <c r="J20" i="3"/>
  <c r="Y14" i="3"/>
  <c r="AF5" i="3" s="1"/>
  <c r="K13" i="2"/>
  <c r="J12" i="2"/>
  <c r="D20" i="2"/>
  <c r="E20" i="2"/>
  <c r="F20" i="2"/>
  <c r="C20" i="2"/>
  <c r="G15" i="2"/>
  <c r="G11" i="2"/>
  <c r="G7" i="2"/>
  <c r="K14" i="2"/>
  <c r="L14" i="2"/>
  <c r="M14" i="2"/>
  <c r="J14" i="2"/>
  <c r="L13" i="2"/>
  <c r="M13" i="2"/>
  <c r="J13" i="2"/>
  <c r="K12" i="2"/>
  <c r="L12" i="2"/>
  <c r="M12" i="2"/>
  <c r="N6" i="2"/>
  <c r="K9" i="2"/>
  <c r="L9" i="2"/>
  <c r="M9" i="2"/>
  <c r="J9" i="2"/>
  <c r="N7" i="2"/>
  <c r="H5" i="1"/>
  <c r="H6" i="1"/>
  <c r="H7" i="1"/>
  <c r="H4" i="1"/>
  <c r="C8" i="1"/>
  <c r="D8" i="1"/>
  <c r="E8" i="1"/>
  <c r="F8" i="1"/>
  <c r="G8" i="1"/>
  <c r="G20" i="2" l="1"/>
  <c r="N9" i="2"/>
  <c r="H8" i="1"/>
  <c r="J26" i="2" l="1"/>
  <c r="J25" i="2"/>
  <c r="J19" i="2"/>
  <c r="F14" i="1"/>
  <c r="F23" i="1" s="1"/>
  <c r="G12" i="1"/>
  <c r="G21" i="1" s="1"/>
  <c r="E13" i="1"/>
  <c r="E22" i="1" s="1"/>
  <c r="C13" i="1"/>
  <c r="C22" i="1" s="1"/>
  <c r="G14" i="1"/>
  <c r="G23" i="1" s="1"/>
  <c r="D13" i="1"/>
  <c r="D22" i="1" s="1"/>
  <c r="C15" i="1"/>
  <c r="C24" i="1" s="1"/>
  <c r="E15" i="1"/>
  <c r="E24" i="1" s="1"/>
  <c r="C14" i="1"/>
  <c r="C23" i="1" s="1"/>
  <c r="F15" i="1"/>
  <c r="F24" i="1" s="1"/>
  <c r="D14" i="1"/>
  <c r="D23" i="1" s="1"/>
  <c r="G15" i="1"/>
  <c r="G24" i="1" s="1"/>
  <c r="C12" i="1"/>
  <c r="C21" i="1" s="1"/>
  <c r="F13" i="1"/>
  <c r="F22" i="1" s="1"/>
  <c r="G13" i="1"/>
  <c r="G22" i="1" s="1"/>
  <c r="E14" i="1"/>
  <c r="E23" i="1" s="1"/>
  <c r="D15" i="1"/>
  <c r="D24" i="1" s="1"/>
  <c r="F12" i="1"/>
  <c r="F21" i="1" s="1"/>
  <c r="E12" i="1"/>
  <c r="E21" i="1" s="1"/>
  <c r="D12" i="1"/>
  <c r="D21" i="1" s="1"/>
  <c r="K26" i="2" l="1"/>
  <c r="K23" i="2"/>
  <c r="L23" i="2" s="1"/>
  <c r="K22" i="2"/>
  <c r="L22" i="2" s="1"/>
  <c r="N22" i="2"/>
  <c r="N23" i="2"/>
  <c r="N24" i="2"/>
  <c r="H23" i="1"/>
  <c r="F25" i="1"/>
  <c r="G25" i="1"/>
  <c r="H24" i="1"/>
  <c r="H21" i="1"/>
  <c r="D25" i="1"/>
  <c r="H22" i="1"/>
  <c r="C25" i="1"/>
  <c r="E25" i="1"/>
  <c r="H12" i="1"/>
  <c r="H15" i="1"/>
  <c r="C16" i="1"/>
  <c r="H13" i="1"/>
  <c r="E16" i="1"/>
  <c r="D16" i="1"/>
  <c r="F16" i="1"/>
  <c r="G16" i="1"/>
  <c r="H14" i="1"/>
  <c r="K24" i="2" l="1"/>
  <c r="L24" i="2" s="1"/>
  <c r="H25" i="1"/>
  <c r="C27" i="1" s="1"/>
  <c r="H16" i="1"/>
  <c r="K25" i="2" l="1"/>
  <c r="L25" i="2" s="1"/>
  <c r="M24" i="2" s="1"/>
  <c r="M22" i="2" l="1"/>
  <c r="M23" i="2"/>
</calcChain>
</file>

<file path=xl/sharedStrings.xml><?xml version="1.0" encoding="utf-8"?>
<sst xmlns="http://schemas.openxmlformats.org/spreadsheetml/2006/main" count="282" uniqueCount="123">
  <si>
    <t>Povaha \ Známka</t>
  </si>
  <si>
    <t>Cholerik</t>
  </si>
  <si>
    <t>Sangvinik</t>
  </si>
  <si>
    <t>Flegmatik</t>
  </si>
  <si>
    <t>Melancholik</t>
  </si>
  <si>
    <t>A</t>
  </si>
  <si>
    <t>B</t>
  </si>
  <si>
    <t>C</t>
  </si>
  <si>
    <t>D</t>
  </si>
  <si>
    <t>E</t>
  </si>
  <si>
    <t>Ʃ</t>
  </si>
  <si>
    <t>Nasbíraná data</t>
  </si>
  <si>
    <t>Teoretické četnosti</t>
  </si>
  <si>
    <t>Testové kritérium</t>
  </si>
  <si>
    <r>
      <t xml:space="preserve"> Ʃ[(četnost - teoretická četnost)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/  teoretická četnost]</t>
    </r>
  </si>
  <si>
    <r>
      <t xml:space="preserve">Testové kritérium </t>
    </r>
    <r>
      <rPr>
        <b/>
        <sz val="11"/>
        <color theme="1"/>
        <rFont val="Calibri"/>
        <family val="2"/>
        <charset val="238"/>
      </rPr>
      <t>χ</t>
    </r>
    <r>
      <rPr>
        <b/>
        <sz val="11"/>
        <color theme="1"/>
        <rFont val="Calibri"/>
        <family val="2"/>
        <charset val="238"/>
        <scheme val="minor"/>
      </rPr>
      <t>2</t>
    </r>
  </si>
  <si>
    <t>k = (4 - 1) * (5 - 1)</t>
  </si>
  <si>
    <t>α</t>
  </si>
  <si>
    <r>
      <t>χ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1-α</t>
    </r>
    <r>
      <rPr>
        <sz val="11"/>
        <color theme="1"/>
        <rFont val="Calibri"/>
        <family val="2"/>
        <charset val="238"/>
        <scheme val="minor"/>
      </rPr>
      <t>(k) = χ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0,95</t>
    </r>
    <r>
      <rPr>
        <sz val="11"/>
        <color theme="1"/>
        <rFont val="Calibri"/>
        <family val="2"/>
        <charset val="238"/>
        <scheme val="minor"/>
      </rPr>
      <t>(12)</t>
    </r>
  </si>
  <si>
    <r>
      <t>19,57464 &lt; 21,026   -&gt;   H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 xml:space="preserve"> nezamítám</t>
    </r>
  </si>
  <si>
    <t>X [ms]</t>
  </si>
  <si>
    <t>Y[ms]</t>
  </si>
  <si>
    <t>Ticho</t>
  </si>
  <si>
    <t>Hudba</t>
  </si>
  <si>
    <t>Hluk</t>
  </si>
  <si>
    <t>Křik</t>
  </si>
  <si>
    <t>Faktor 2</t>
  </si>
  <si>
    <t>Faktor 1</t>
  </si>
  <si>
    <t>Ráno</t>
  </si>
  <si>
    <t>Poledne</t>
  </si>
  <si>
    <t>Večer</t>
  </si>
  <si>
    <t>Zadání číslo 24</t>
  </si>
  <si>
    <t>Počty N</t>
  </si>
  <si>
    <t>Součty Ʃ</t>
  </si>
  <si>
    <t>r</t>
  </si>
  <si>
    <t>s</t>
  </si>
  <si>
    <t>CF</t>
  </si>
  <si>
    <r>
      <t>Correction Factor (celková suma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/ N)</t>
    </r>
  </si>
  <si>
    <t>Interakce</t>
  </si>
  <si>
    <t>Chyba</t>
  </si>
  <si>
    <t>Celkem</t>
  </si>
  <si>
    <t>SS</t>
  </si>
  <si>
    <t>MS</t>
  </si>
  <si>
    <t>F</t>
  </si>
  <si>
    <t>F krit</t>
  </si>
  <si>
    <t>k</t>
  </si>
  <si>
    <t>ANOVA</t>
  </si>
  <si>
    <t>t</t>
  </si>
  <si>
    <t>n</t>
  </si>
  <si>
    <t>Doba</t>
  </si>
  <si>
    <t>Hlučnost</t>
  </si>
  <si>
    <t>X</t>
  </si>
  <si>
    <t>p</t>
  </si>
  <si>
    <t>Y</t>
  </si>
  <si>
    <t>normalita</t>
  </si>
  <si>
    <t>ne</t>
  </si>
  <si>
    <t>ano</t>
  </si>
  <si>
    <t>Test normality - Pearson</t>
  </si>
  <si>
    <t>koš</t>
  </si>
  <si>
    <t>max</t>
  </si>
  <si>
    <t>min</t>
  </si>
  <si>
    <t>šířka</t>
  </si>
  <si>
    <t>košů</t>
  </si>
  <si>
    <t>rozsah koše</t>
  </si>
  <si>
    <t>četnost n</t>
  </si>
  <si>
    <r>
      <t>teoretická četnost n</t>
    </r>
    <r>
      <rPr>
        <sz val="11"/>
        <color theme="1"/>
        <rFont val="Calibri"/>
        <family val="2"/>
        <charset val="238"/>
      </rPr>
      <t>̂</t>
    </r>
  </si>
  <si>
    <r>
      <t>(n-n̂)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/n̂</t>
    </r>
  </si>
  <si>
    <r>
      <t>χ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0,95</t>
    </r>
    <r>
      <rPr>
        <sz val="11"/>
        <color theme="1"/>
        <rFont val="Calibri"/>
        <family val="2"/>
        <charset val="238"/>
        <scheme val="minor"/>
      </rPr>
      <t>(49)</t>
    </r>
  </si>
  <si>
    <r>
      <t>w</t>
    </r>
    <r>
      <rPr>
        <sz val="11"/>
        <color theme="1"/>
        <rFont val="Calibri"/>
        <family val="2"/>
        <charset val="238"/>
      </rPr>
      <t>̅</t>
    </r>
  </si>
  <si>
    <t>&lt;0; 66,338&gt;</t>
  </si>
  <si>
    <t>(t neleží v w̅)</t>
  </si>
  <si>
    <t>|------&gt;</t>
  </si>
  <si>
    <t>(t leží v w̅)</t>
  </si>
  <si>
    <t>Mann Whitney U test</t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</si>
  <si>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Y</t>
    </r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</si>
  <si>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X</t>
    </r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</si>
  <si>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+ 1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</si>
  <si>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X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</si>
  <si>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Y</t>
    </r>
  </si>
  <si>
    <t>Skupina</t>
  </si>
  <si>
    <t>Data</t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</si>
  <si>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Y</t>
    </r>
    <r>
      <rPr>
        <sz val="11"/>
        <color theme="1"/>
        <rFont val="Calibri"/>
        <family val="2"/>
        <charset val="238"/>
        <scheme val="minor"/>
      </rPr>
      <t xml:space="preserve"> + 1</t>
    </r>
  </si>
  <si>
    <t>U</t>
  </si>
  <si>
    <t>Z test</t>
  </si>
  <si>
    <r>
      <t>μ</t>
    </r>
    <r>
      <rPr>
        <vertAlign val="subscript"/>
        <sz val="11"/>
        <color theme="1"/>
        <rFont val="Calibri"/>
        <family val="2"/>
        <charset val="238"/>
      </rPr>
      <t>U</t>
    </r>
  </si>
  <si>
    <r>
      <t>σ</t>
    </r>
    <r>
      <rPr>
        <vertAlign val="subscript"/>
        <sz val="11"/>
        <color theme="1"/>
        <rFont val="Calibri"/>
        <family val="2"/>
        <charset val="238"/>
      </rPr>
      <t>U</t>
    </r>
  </si>
  <si>
    <t>z</t>
  </si>
  <si>
    <t>Pořadí</t>
  </si>
  <si>
    <r>
      <t>n</t>
    </r>
    <r>
      <rPr>
        <vertAlign val="subscript"/>
        <sz val="11"/>
        <rFont val="Calibri"/>
        <family val="2"/>
        <charset val="238"/>
        <scheme val="minor"/>
      </rPr>
      <t>X</t>
    </r>
    <r>
      <rPr>
        <sz val="11"/>
        <rFont val="Calibri"/>
        <family val="2"/>
        <charset val="238"/>
        <scheme val="minor"/>
      </rPr>
      <t>*n</t>
    </r>
    <r>
      <rPr>
        <vertAlign val="subscript"/>
        <sz val="11"/>
        <rFont val="Calibri"/>
        <family val="2"/>
        <charset val="238"/>
        <scheme val="minor"/>
      </rPr>
      <t>Y</t>
    </r>
  </si>
  <si>
    <t>φ(z)</t>
  </si>
  <si>
    <t xml:space="preserve"> </t>
  </si>
  <si>
    <t>Medián X</t>
  </si>
  <si>
    <t>Medián Y</t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</si>
  <si>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: X - Y = 0  (X = Y)</t>
    </r>
  </si>
  <si>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>A</t>
    </r>
    <r>
      <rPr>
        <sz val="11"/>
        <color theme="1"/>
        <rFont val="Calibri"/>
        <family val="2"/>
        <charset val="238"/>
        <scheme val="minor"/>
      </rPr>
      <t>: X - Y &lt; 0  (X &lt; Y)</t>
    </r>
  </si>
  <si>
    <t>Nabyl jsem dojmu, že X &lt; Y neboť:</t>
  </si>
  <si>
    <r>
      <t>Provedu</t>
    </r>
    <r>
      <rPr>
        <b/>
        <sz val="11"/>
        <color theme="1"/>
        <rFont val="Calibri"/>
        <family val="2"/>
        <charset val="238"/>
        <scheme val="minor"/>
      </rPr>
      <t xml:space="preserve"> levostranný</t>
    </r>
    <r>
      <rPr>
        <sz val="11"/>
        <color theme="1"/>
        <rFont val="Calibri"/>
        <family val="2"/>
        <charset val="238"/>
        <scheme val="minor"/>
      </rPr>
      <t xml:space="preserve"> test:</t>
    </r>
  </si>
  <si>
    <t>Pro levostranný test je p-hodnota = φ(z)</t>
  </si>
  <si>
    <t>Závěr</t>
  </si>
  <si>
    <t>Poněvadž se jedná o hodnoty odezvy, tak čím menší, tím lepší. Potvrdil jsem tedy, že Y má větší odezvu než X, z čehož plyne, že X je lepší poskytovatel.</t>
  </si>
  <si>
    <r>
      <t xml:space="preserve">Na U aplikuji Z test pro zjištění strannosti
</t>
    </r>
    <r>
      <rPr>
        <sz val="11"/>
        <color theme="1"/>
        <rFont val="Calibri"/>
        <family val="2"/>
        <charset val="238"/>
        <scheme val="minor"/>
      </rPr>
      <t>(můžu, neboť mám dost vzorků, a tedy aproximuje normální rozložení)</t>
    </r>
  </si>
  <si>
    <r>
      <rPr>
        <b/>
        <sz val="11"/>
        <color theme="1"/>
        <rFont val="Calibri"/>
        <family val="2"/>
        <charset val="238"/>
      </rPr>
      <t>p &lt; α</t>
    </r>
    <r>
      <rPr>
        <sz val="11"/>
        <color theme="1"/>
        <rFont val="Calibri"/>
        <family val="2"/>
        <charset val="238"/>
      </rPr>
      <t xml:space="preserve">   -&gt;   </t>
    </r>
    <r>
      <rPr>
        <b/>
        <sz val="11"/>
        <color theme="1"/>
        <rFont val="Calibri"/>
        <family val="2"/>
        <charset val="238"/>
      </rPr>
      <t>H</t>
    </r>
    <r>
      <rPr>
        <b/>
        <vertAlign val="subscript"/>
        <sz val="11"/>
        <color theme="1"/>
        <rFont val="Calibri"/>
        <family val="2"/>
        <charset val="238"/>
      </rPr>
      <t>0</t>
    </r>
    <r>
      <rPr>
        <b/>
        <sz val="11"/>
        <color theme="1"/>
        <rFont val="Calibri"/>
        <family val="2"/>
        <charset val="238"/>
      </rPr>
      <t xml:space="preserve"> zamítám </t>
    </r>
    <r>
      <rPr>
        <sz val="11"/>
        <color theme="1"/>
        <rFont val="Calibri"/>
        <family val="2"/>
        <charset val="238"/>
      </rPr>
      <t xml:space="preserve">  -&gt;   na hladině významnosti 0,05 </t>
    </r>
    <r>
      <rPr>
        <b/>
        <sz val="11"/>
        <color theme="1"/>
        <rFont val="Calibri"/>
        <family val="2"/>
        <charset val="238"/>
      </rPr>
      <t>potvrzuji H</t>
    </r>
    <r>
      <rPr>
        <b/>
        <vertAlign val="subscript"/>
        <sz val="11"/>
        <color theme="1"/>
        <rFont val="Calibri"/>
        <family val="2"/>
        <charset val="238"/>
      </rPr>
      <t>A</t>
    </r>
    <r>
      <rPr>
        <b/>
        <sz val="11"/>
        <color theme="1"/>
        <rFont val="Calibri"/>
        <family val="2"/>
        <charset val="238"/>
      </rPr>
      <t>, že X &lt; Y</t>
    </r>
  </si>
  <si>
    <t>Descriptive Statistics</t>
  </si>
  <si>
    <t>COUNT</t>
  </si>
  <si>
    <t>MEAN</t>
  </si>
  <si>
    <t>VARIANCE</t>
  </si>
  <si>
    <t>Two Factor Anova (via Regression)</t>
  </si>
  <si>
    <t>Alpha</t>
  </si>
  <si>
    <t>df</t>
  </si>
  <si>
    <t>p-value</t>
  </si>
  <si>
    <t>p eta-sq</t>
  </si>
  <si>
    <t>Rows</t>
  </si>
  <si>
    <t>Columns</t>
  </si>
  <si>
    <t>Inter</t>
  </si>
  <si>
    <t>Total</t>
  </si>
  <si>
    <t>Within</t>
  </si>
  <si>
    <r>
      <rPr>
        <b/>
        <sz val="11"/>
        <color theme="0"/>
        <rFont val="Calibri"/>
        <family val="2"/>
        <charset val="238"/>
        <scheme val="minor"/>
      </rPr>
      <t>Data</t>
    </r>
    <r>
      <rPr>
        <sz val="11"/>
        <color theme="0"/>
        <rFont val="Calibri"/>
        <family val="2"/>
        <charset val="238"/>
        <scheme val="minor"/>
      </rPr>
      <t xml:space="preserve"> (tučně jsou vyznačené přidané hodnoty)</t>
    </r>
  </si>
  <si>
    <t>Ruční výpočet nevyvážené 2-faktorové anovy</t>
  </si>
  <si>
    <t>Výsledek funkce 2-faktorové anovy s využitím regrese z doplňku real-statistics</t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</si>
  <si>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X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</si>
  <si>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Y</t>
    </r>
  </si>
  <si>
    <t>unbalanced</t>
  </si>
  <si>
    <t>Formát pro výpočet pomocí regrese z modulu real-statistics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</si>
</sst>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</font>
    <font>
      <u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</font>
    <font>
      <b/>
      <sz val="11"/>
      <name val="Calibri"/>
      <family val="2"/>
      <charset val="238"/>
      <scheme val="minor"/>
    </font>
    <font>
      <vertAlign val="subscript"/>
      <sz val="1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</font>
    <font>
      <i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11"/>
      <color theme="0"/>
      <name val="Calibri"/>
      <family val="2"/>
      <charset val="238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rgb="FFD1FFE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B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 style="medium">
        <color rgb="FF66FF99"/>
      </left>
      <right/>
      <top style="medium">
        <color rgb="FF66FF99"/>
      </top>
      <bottom style="medium">
        <color rgb="FF66FF99"/>
      </bottom>
      <diagonal/>
    </border>
    <border>
      <left/>
      <right style="medium">
        <color rgb="FF66FF99"/>
      </right>
      <top style="medium">
        <color rgb="FF66FF99"/>
      </top>
      <bottom style="medium">
        <color rgb="FF66FF9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60">
    <xf numFmtId="0" fontId="0" fillId="0" borderId="0" xfId="0"/>
    <xf numFmtId="0" fontId="0" fillId="0" borderId="2" xfId="0" applyBorder="1"/>
    <xf numFmtId="0" fontId="0" fillId="5" borderId="1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0" borderId="33" xfId="0" applyBorder="1"/>
    <xf numFmtId="0" fontId="2" fillId="0" borderId="34" xfId="0" applyFont="1" applyBorder="1"/>
    <xf numFmtId="0" fontId="0" fillId="0" borderId="34" xfId="0" applyBorder="1"/>
    <xf numFmtId="0" fontId="1" fillId="6" borderId="35" xfId="0" applyFont="1" applyFill="1" applyBorder="1" applyAlignment="1">
      <alignment horizontal="center" vertical="center"/>
    </xf>
    <xf numFmtId="0" fontId="4" fillId="0" borderId="0" xfId="0" applyFont="1"/>
    <xf numFmtId="0" fontId="0" fillId="3" borderId="36" xfId="0" applyFill="1" applyBorder="1"/>
    <xf numFmtId="0" fontId="2" fillId="0" borderId="37" xfId="0" applyFont="1" applyFill="1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1" xfId="0" applyBorder="1"/>
    <xf numFmtId="0" fontId="0" fillId="0" borderId="45" xfId="0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1" fillId="10" borderId="46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1" fillId="10" borderId="5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0" fillId="0" borderId="0" xfId="0" applyBorder="1"/>
    <xf numFmtId="0" fontId="11" fillId="0" borderId="0" xfId="0" applyFont="1" applyFill="1" applyBorder="1" applyAlignment="1">
      <alignment horizontal="center" vertical="center"/>
    </xf>
    <xf numFmtId="0" fontId="0" fillId="0" borderId="5" xfId="0" applyBorder="1"/>
    <xf numFmtId="0" fontId="0" fillId="19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21" borderId="9" xfId="0" applyFill="1" applyBorder="1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21" borderId="9" xfId="0" applyFill="1" applyBorder="1" applyAlignment="1">
      <alignment horizontal="left" vertical="center"/>
    </xf>
    <xf numFmtId="0" fontId="4" fillId="21" borderId="9" xfId="0" applyFont="1" applyFill="1" applyBorder="1" applyAlignment="1">
      <alignment horizontal="left"/>
    </xf>
    <xf numFmtId="0" fontId="0" fillId="0" borderId="12" xfId="0" applyBorder="1"/>
    <xf numFmtId="0" fontId="0" fillId="3" borderId="10" xfId="0" applyFill="1" applyBorder="1" applyAlignment="1">
      <alignment horizontal="center" vertical="center"/>
    </xf>
    <xf numFmtId="0" fontId="0" fillId="0" borderId="53" xfId="0" applyBorder="1"/>
    <xf numFmtId="0" fontId="0" fillId="0" borderId="57" xfId="0" applyBorder="1"/>
    <xf numFmtId="0" fontId="0" fillId="21" borderId="28" xfId="0" applyFill="1" applyBorder="1"/>
    <xf numFmtId="0" fontId="1" fillId="10" borderId="50" xfId="0" applyFont="1" applyFill="1" applyBorder="1" applyAlignment="1">
      <alignment horizontal="center"/>
    </xf>
    <xf numFmtId="0" fontId="0" fillId="21" borderId="50" xfId="0" applyFill="1" applyBorder="1" applyAlignment="1">
      <alignment horizontal="center"/>
    </xf>
    <xf numFmtId="0" fontId="1" fillId="23" borderId="10" xfId="0" applyFont="1" applyFill="1" applyBorder="1"/>
    <xf numFmtId="0" fontId="1" fillId="23" borderId="5" xfId="0" applyFont="1" applyFill="1" applyBorder="1" applyAlignment="1">
      <alignment horizontal="center" vertical="center"/>
    </xf>
    <xf numFmtId="0" fontId="1" fillId="23" borderId="10" xfId="0" applyFont="1" applyFill="1" applyBorder="1" applyAlignment="1">
      <alignment horizontal="center" vertical="center"/>
    </xf>
    <xf numFmtId="0" fontId="0" fillId="21" borderId="29" xfId="0" applyFill="1" applyBorder="1"/>
    <xf numFmtId="0" fontId="1" fillId="23" borderId="1" xfId="0" applyFont="1" applyFill="1" applyBorder="1"/>
    <xf numFmtId="0" fontId="0" fillId="15" borderId="5" xfId="0" applyFill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0" fillId="20" borderId="0" xfId="0" applyFill="1" applyBorder="1"/>
    <xf numFmtId="0" fontId="0" fillId="24" borderId="41" xfId="0" applyFill="1" applyBorder="1"/>
    <xf numFmtId="0" fontId="0" fillId="24" borderId="19" xfId="0" applyFill="1" applyBorder="1"/>
    <xf numFmtId="0" fontId="0" fillId="0" borderId="42" xfId="0" applyBorder="1"/>
    <xf numFmtId="0" fontId="0" fillId="20" borderId="4" xfId="0" applyFill="1" applyBorder="1"/>
    <xf numFmtId="0" fontId="0" fillId="2" borderId="19" xfId="0" applyFill="1" applyBorder="1"/>
    <xf numFmtId="0" fontId="0" fillId="2" borderId="5" xfId="0" applyFill="1" applyBorder="1"/>
    <xf numFmtId="0" fontId="0" fillId="19" borderId="5" xfId="0" applyFill="1" applyBorder="1"/>
    <xf numFmtId="0" fontId="1" fillId="10" borderId="5" xfId="0" applyFont="1" applyFill="1" applyBorder="1"/>
    <xf numFmtId="0" fontId="9" fillId="26" borderId="5" xfId="0" applyFont="1" applyFill="1" applyBorder="1"/>
    <xf numFmtId="0" fontId="0" fillId="24" borderId="9" xfId="0" applyFill="1" applyBorder="1" applyAlignment="1">
      <alignment horizontal="center" vertical="center"/>
    </xf>
    <xf numFmtId="0" fontId="0" fillId="0" borderId="58" xfId="0" applyBorder="1" applyAlignment="1">
      <alignment vertical="center"/>
    </xf>
    <xf numFmtId="0" fontId="0" fillId="22" borderId="39" xfId="0" applyFill="1" applyBorder="1" applyAlignment="1">
      <alignment horizontal="center" vertical="center"/>
    </xf>
    <xf numFmtId="0" fontId="0" fillId="21" borderId="39" xfId="0" applyFill="1" applyBorder="1" applyAlignment="1">
      <alignment horizontal="center"/>
    </xf>
    <xf numFmtId="0" fontId="0" fillId="27" borderId="39" xfId="0" applyFill="1" applyBorder="1"/>
    <xf numFmtId="0" fontId="0" fillId="27" borderId="0" xfId="0" applyFill="1" applyBorder="1"/>
    <xf numFmtId="0" fontId="0" fillId="27" borderId="23" xfId="0" applyFill="1" applyBorder="1"/>
    <xf numFmtId="0" fontId="0" fillId="2" borderId="9" xfId="0" applyFill="1" applyBorder="1"/>
    <xf numFmtId="0" fontId="0" fillId="19" borderId="9" xfId="0" applyFill="1" applyBorder="1"/>
    <xf numFmtId="0" fontId="4" fillId="21" borderId="9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4" fillId="21" borderId="9" xfId="0" applyFont="1" applyFill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7" fillId="15" borderId="11" xfId="0" applyFont="1" applyFill="1" applyBorder="1" applyAlignment="1">
      <alignment vertical="center"/>
    </xf>
    <xf numFmtId="0" fontId="2" fillId="15" borderId="13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7" borderId="10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73" xfId="0" applyFill="1" applyBorder="1" applyAlignment="1">
      <alignment horizontal="center" vertical="center"/>
    </xf>
    <xf numFmtId="0" fontId="0" fillId="4" borderId="74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75" xfId="0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10" borderId="55" xfId="0" applyFont="1" applyFill="1" applyBorder="1" applyAlignment="1">
      <alignment horizontal="center" vertical="center"/>
    </xf>
    <xf numFmtId="0" fontId="1" fillId="10" borderId="56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left"/>
    </xf>
    <xf numFmtId="0" fontId="0" fillId="0" borderId="60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48" xfId="0" applyBorder="1" applyAlignment="1">
      <alignment horizontal="left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25" borderId="50" xfId="0" applyFont="1" applyFill="1" applyBorder="1" applyAlignment="1">
      <alignment horizontal="center"/>
    </xf>
    <xf numFmtId="0" fontId="2" fillId="25" borderId="4" xfId="0" applyFont="1" applyFill="1" applyBorder="1" applyAlignment="1">
      <alignment horizontal="center"/>
    </xf>
    <xf numFmtId="0" fontId="2" fillId="25" borderId="51" xfId="0" applyFont="1" applyFill="1" applyBorder="1" applyAlignment="1">
      <alignment horizontal="center"/>
    </xf>
    <xf numFmtId="0" fontId="2" fillId="25" borderId="45" xfId="0" applyFont="1" applyFill="1" applyBorder="1" applyAlignment="1">
      <alignment horizontal="center" wrapText="1"/>
    </xf>
    <xf numFmtId="0" fontId="2" fillId="25" borderId="2" xfId="0" applyFont="1" applyFill="1" applyBorder="1" applyAlignment="1">
      <alignment horizontal="center" wrapText="1"/>
    </xf>
    <xf numFmtId="0" fontId="2" fillId="25" borderId="49" xfId="0" applyFont="1" applyFill="1" applyBorder="1" applyAlignment="1">
      <alignment horizontal="center" wrapText="1"/>
    </xf>
    <xf numFmtId="0" fontId="2" fillId="25" borderId="52" xfId="0" applyFont="1" applyFill="1" applyBorder="1" applyAlignment="1">
      <alignment horizontal="center" wrapText="1"/>
    </xf>
    <xf numFmtId="0" fontId="2" fillId="25" borderId="0" xfId="0" applyFont="1" applyFill="1" applyBorder="1" applyAlignment="1">
      <alignment horizontal="center" wrapText="1"/>
    </xf>
    <xf numFmtId="0" fontId="2" fillId="25" borderId="3" xfId="0" applyFont="1" applyFill="1" applyBorder="1" applyAlignment="1">
      <alignment horizontal="center"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25" borderId="45" xfId="0" applyFont="1" applyFill="1" applyBorder="1" applyAlignment="1">
      <alignment horizontal="center" vertical="center" wrapText="1"/>
    </xf>
    <xf numFmtId="0" fontId="2" fillId="25" borderId="2" xfId="0" applyFont="1" applyFill="1" applyBorder="1" applyAlignment="1">
      <alignment horizontal="center" vertical="center" wrapText="1"/>
    </xf>
    <xf numFmtId="0" fontId="2" fillId="25" borderId="49" xfId="0" applyFont="1" applyFill="1" applyBorder="1" applyAlignment="1">
      <alignment horizontal="center" vertical="center" wrapText="1"/>
    </xf>
    <xf numFmtId="0" fontId="2" fillId="25" borderId="52" xfId="0" applyFont="1" applyFill="1" applyBorder="1" applyAlignment="1">
      <alignment horizontal="center" vertical="center" wrapText="1"/>
    </xf>
    <xf numFmtId="0" fontId="2" fillId="25" borderId="0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/>
    </xf>
    <xf numFmtId="0" fontId="1" fillId="10" borderId="45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49" xfId="0" applyFont="1" applyFill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1" fillId="10" borderId="58" xfId="0" applyFont="1" applyFill="1" applyBorder="1" applyAlignment="1">
      <alignment horizontal="center" vertical="center"/>
    </xf>
    <xf numFmtId="0" fontId="1" fillId="10" borderId="62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0" fillId="0" borderId="59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5" fillId="10" borderId="45" xfId="0" applyFont="1" applyFill="1" applyBorder="1" applyAlignment="1">
      <alignment horizontal="center" wrapText="1"/>
    </xf>
    <xf numFmtId="0" fontId="15" fillId="10" borderId="2" xfId="0" applyFont="1" applyFill="1" applyBorder="1" applyAlignment="1">
      <alignment horizontal="center" wrapText="1"/>
    </xf>
    <xf numFmtId="0" fontId="15" fillId="10" borderId="49" xfId="0" applyFont="1" applyFill="1" applyBorder="1" applyAlignment="1">
      <alignment horizontal="center" wrapText="1"/>
    </xf>
    <xf numFmtId="0" fontId="15" fillId="10" borderId="50" xfId="0" applyFont="1" applyFill="1" applyBorder="1" applyAlignment="1">
      <alignment horizontal="center" wrapText="1"/>
    </xf>
    <xf numFmtId="0" fontId="15" fillId="10" borderId="4" xfId="0" applyFont="1" applyFill="1" applyBorder="1" applyAlignment="1">
      <alignment horizontal="center" wrapText="1"/>
    </xf>
    <xf numFmtId="0" fontId="15" fillId="10" borderId="51" xfId="0" applyFont="1" applyFill="1" applyBorder="1" applyAlignment="1">
      <alignment horizontal="center" wrapText="1"/>
    </xf>
    <xf numFmtId="0" fontId="15" fillId="10" borderId="2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2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46" xfId="0" applyFont="1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1" fillId="10" borderId="49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15" fillId="10" borderId="45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15" fillId="10" borderId="49" xfId="0" applyFont="1" applyFill="1" applyBorder="1" applyAlignment="1">
      <alignment horizontal="center" vertical="center" wrapText="1"/>
    </xf>
    <xf numFmtId="0" fontId="15" fillId="10" borderId="50" xfId="0" applyFont="1" applyFill="1" applyBorder="1" applyAlignment="1">
      <alignment horizontal="center" vertical="center" wrapText="1"/>
    </xf>
    <xf numFmtId="0" fontId="15" fillId="10" borderId="4" xfId="0" applyFont="1" applyFill="1" applyBorder="1" applyAlignment="1">
      <alignment horizontal="center" vertical="center" wrapText="1"/>
    </xf>
    <xf numFmtId="0" fontId="15" fillId="10" borderId="5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0" xfId="0" applyBorder="1"/>
    <xf numFmtId="0" fontId="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7" borderId="10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0" fillId="7" borderId="5" xfId="0" applyFill="1" applyBorder="1"/>
    <xf numFmtId="0" fontId="2" fillId="7" borderId="5" xfId="0" applyFont="1" applyFill="1" applyBorder="1"/>
    <xf numFmtId="0" fontId="0" fillId="8" borderId="5" xfId="0" applyFill="1" applyBorder="1"/>
    <xf numFmtId="0" fontId="2" fillId="8" borderId="5" xfId="0" applyFont="1" applyFill="1" applyBorder="1"/>
    <xf numFmtId="0" fontId="0" fillId="21" borderId="5" xfId="0" applyFill="1" applyBorder="1"/>
    <xf numFmtId="0" fontId="2" fillId="21" borderId="5" xfId="0" applyFont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 applyAlignment="1">
      <alignment horizontal="center" vertical="center"/>
    </xf>
    <xf numFmtId="0" fontId="0" fillId="7" borderId="9" xfId="0" applyFill="1" applyBorder="1"/>
    <xf numFmtId="0" fontId="2" fillId="7" borderId="9" xfId="0" applyFont="1" applyFill="1" applyBorder="1"/>
    <xf numFmtId="0" fontId="0" fillId="8" borderId="9" xfId="0" applyFill="1" applyBorder="1"/>
    <xf numFmtId="0" fontId="2" fillId="8" borderId="9" xfId="0" applyFont="1" applyFill="1" applyBorder="1"/>
    <xf numFmtId="0" fontId="0" fillId="21" borderId="9" xfId="0" applyFill="1" applyBorder="1"/>
    <xf numFmtId="0" fontId="0" fillId="21" borderId="10" xfId="0" applyFill="1" applyBorder="1" applyAlignment="1">
      <alignment horizontal="center" vertical="center"/>
    </xf>
    <xf numFmtId="0" fontId="2" fillId="21" borderId="9" xfId="0" applyFont="1" applyFill="1" applyBorder="1"/>
    <xf numFmtId="0" fontId="2" fillId="21" borderId="10" xfId="0" applyFont="1" applyFill="1" applyBorder="1" applyAlignment="1">
      <alignment horizontal="center" vertical="center"/>
    </xf>
    <xf numFmtId="0" fontId="0" fillId="21" borderId="11" xfId="0" applyFill="1" applyBorder="1"/>
    <xf numFmtId="0" fontId="0" fillId="21" borderId="12" xfId="0" applyFill="1" applyBorder="1"/>
    <xf numFmtId="0" fontId="0" fillId="21" borderId="13" xfId="0" applyFill="1" applyBorder="1" applyAlignment="1">
      <alignment horizontal="center" vertical="center"/>
    </xf>
    <xf numFmtId="0" fontId="15" fillId="0" borderId="0" xfId="0" applyFont="1" applyFill="1" applyBorder="1" applyAlignment="1">
      <alignment wrapText="1"/>
    </xf>
    <xf numFmtId="0" fontId="0" fillId="0" borderId="63" xfId="0" applyFill="1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14" fillId="0" borderId="71" xfId="0" applyFont="1" applyFill="1" applyBorder="1" applyAlignment="1">
      <alignment horizontal="center" vertical="center"/>
    </xf>
    <xf numFmtId="0" fontId="9" fillId="0" borderId="72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63" xfId="0" applyFont="1" applyFill="1" applyBorder="1" applyAlignment="1">
      <alignment horizontal="center" vertical="center"/>
    </xf>
    <xf numFmtId="0" fontId="9" fillId="0" borderId="64" xfId="0" applyFont="1" applyFill="1" applyBorder="1" applyAlignment="1">
      <alignment horizontal="center" vertical="center"/>
    </xf>
    <xf numFmtId="0" fontId="9" fillId="0" borderId="65" xfId="0" applyFont="1" applyFill="1" applyBorder="1" applyAlignment="1">
      <alignment horizontal="center" vertical="center"/>
    </xf>
    <xf numFmtId="0" fontId="9" fillId="0" borderId="66" xfId="0" applyFont="1" applyFill="1" applyBorder="1" applyAlignment="1">
      <alignment horizontal="center" vertical="center"/>
    </xf>
    <xf numFmtId="0" fontId="9" fillId="0" borderId="67" xfId="0" applyFont="1" applyFill="1" applyBorder="1" applyAlignment="1">
      <alignment horizontal="center" vertical="center"/>
    </xf>
    <xf numFmtId="0" fontId="9" fillId="0" borderId="68" xfId="0" applyFont="1" applyFill="1" applyBorder="1" applyAlignment="1">
      <alignment horizontal="center" vertical="center"/>
    </xf>
    <xf numFmtId="0" fontId="9" fillId="0" borderId="69" xfId="0" applyFont="1" applyFill="1" applyBorder="1" applyAlignment="1">
      <alignment horizontal="center" vertical="center"/>
    </xf>
    <xf numFmtId="0" fontId="9" fillId="0" borderId="70" xfId="0" applyFont="1" applyFill="1" applyBorder="1" applyAlignment="1">
      <alignment horizontal="center" vertical="center"/>
    </xf>
    <xf numFmtId="0" fontId="0" fillId="0" borderId="63" xfId="0" applyFill="1" applyBorder="1"/>
    <xf numFmtId="0" fontId="0" fillId="0" borderId="64" xfId="0" applyFill="1" applyBorder="1"/>
    <xf numFmtId="0" fontId="0" fillId="0" borderId="65" xfId="0" applyFill="1" applyBorder="1"/>
    <xf numFmtId="0" fontId="0" fillId="0" borderId="66" xfId="0" applyFill="1" applyBorder="1"/>
    <xf numFmtId="0" fontId="0" fillId="0" borderId="67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0" xfId="0" applyFill="1" applyBorder="1"/>
    <xf numFmtId="0" fontId="16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3FFFF"/>
      <color rgb="FFFFFFCC"/>
      <color rgb="FF8BFFFF"/>
      <color rgb="FFCCFFCC"/>
      <color rgb="FF66FF99"/>
      <color rgb="FFF5F5F5"/>
      <color rgb="FFD1FFE0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Rozložení X - není normální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Rozložení X - není normální</a:t>
          </a:r>
        </a:p>
      </cx:txPr>
    </cx:title>
    <cx:plotArea>
      <cx:plotAreaRegion>
        <cx:series layoutId="clusteredColumn" uniqueId="{637FE7B4-C50B-404E-9B5F-8F37869272C9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Rozložení Y - normální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Rozložení Y - normální</a:t>
          </a:r>
        </a:p>
      </cx:txPr>
    </cx:title>
    <cx:plotArea>
      <cx:plotAreaRegion>
        <cx:series layoutId="clusteredColumn" uniqueId="{945A0A41-9C44-4A1A-8406-65DA2A410C80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611371</xdr:colOff>
      <xdr:row>22</xdr:row>
      <xdr:rowOff>3811</xdr:rowOff>
    </xdr:from>
    <xdr:to>
      <xdr:col>9</xdr:col>
      <xdr:colOff>168349</xdr:colOff>
      <xdr:row>38</xdr:row>
      <xdr:rowOff>8860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33993CEC-7696-4DAE-BB75-C490E26E5F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0171" y="4301491"/>
              <a:ext cx="3755598" cy="29311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9</xdr:col>
      <xdr:colOff>292397</xdr:colOff>
      <xdr:row>22</xdr:row>
      <xdr:rowOff>532</xdr:rowOff>
    </xdr:from>
    <xdr:to>
      <xdr:col>14</xdr:col>
      <xdr:colOff>8682</xdr:colOff>
      <xdr:row>38</xdr:row>
      <xdr:rowOff>8860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 3">
              <a:extLst>
                <a:ext uri="{FF2B5EF4-FFF2-40B4-BE49-F238E27FC236}">
                  <a16:creationId xmlns:a16="http://schemas.microsoft.com/office/drawing/2014/main" id="{2E8EB366-524B-4154-9A15-1215594E29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9817" y="4298212"/>
              <a:ext cx="3953005" cy="29344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41CB-B343-452C-9B83-2A1845BBA303}">
  <dimension ref="B1:AL103"/>
  <sheetViews>
    <sheetView tabSelected="1" zoomScaleNormal="100" workbookViewId="0">
      <selection activeCell="AF5" sqref="AF5"/>
    </sheetView>
  </sheetViews>
  <sheetFormatPr defaultRowHeight="14.4" x14ac:dyDescent="0.3"/>
  <cols>
    <col min="5" max="5" width="12.5546875" customWidth="1"/>
    <col min="6" max="6" width="11.33203125" customWidth="1"/>
    <col min="7" max="7" width="10.6640625" customWidth="1"/>
    <col min="10" max="10" width="17.88671875" customWidth="1"/>
    <col min="13" max="13" width="17.21875" customWidth="1"/>
    <col min="16" max="16" width="10.6640625" customWidth="1"/>
    <col min="17" max="17" width="11.6640625" customWidth="1"/>
    <col min="18" max="18" width="11" customWidth="1"/>
    <col min="19" max="22" width="9.21875" customWidth="1"/>
    <col min="23" max="23" width="3.44140625" customWidth="1"/>
    <col min="27" max="27" width="8.5546875" customWidth="1"/>
    <col min="28" max="28" width="8.33203125" customWidth="1"/>
    <col min="29" max="29" width="8.6640625" customWidth="1"/>
    <col min="31" max="31" width="10.6640625" customWidth="1"/>
    <col min="32" max="32" width="9.88671875" customWidth="1"/>
  </cols>
  <sheetData>
    <row r="1" spans="2:38" ht="15" thickBot="1" x14ac:dyDescent="0.35"/>
    <row r="2" spans="2:38" ht="15" thickBot="1" x14ac:dyDescent="0.35">
      <c r="B2" s="198" t="s">
        <v>31</v>
      </c>
      <c r="C2" s="199"/>
      <c r="D2" s="129"/>
      <c r="E2" s="206" t="s">
        <v>57</v>
      </c>
      <c r="F2" s="207"/>
      <c r="G2" s="207"/>
      <c r="H2" s="207"/>
      <c r="I2" s="207"/>
      <c r="J2" s="207"/>
      <c r="K2" s="207"/>
      <c r="L2" s="207"/>
      <c r="M2" s="207"/>
      <c r="N2" s="208"/>
      <c r="T2" s="251" t="s">
        <v>73</v>
      </c>
      <c r="U2" s="252"/>
      <c r="V2" s="252"/>
      <c r="W2" s="252"/>
      <c r="X2" s="252"/>
      <c r="Y2" s="253"/>
      <c r="AE2" s="247" t="s">
        <v>83</v>
      </c>
      <c r="AF2" s="248"/>
    </row>
    <row r="3" spans="2:38" ht="15.6" x14ac:dyDescent="0.35">
      <c r="B3" s="82" t="s">
        <v>20</v>
      </c>
      <c r="C3" s="131" t="s">
        <v>21</v>
      </c>
      <c r="D3" s="25"/>
      <c r="E3" s="134"/>
      <c r="F3" s="135" t="s">
        <v>51</v>
      </c>
      <c r="G3" s="136" t="s">
        <v>53</v>
      </c>
      <c r="H3" s="167"/>
      <c r="I3" s="200" t="s">
        <v>51</v>
      </c>
      <c r="J3" s="201"/>
      <c r="K3" s="202"/>
      <c r="L3" s="203" t="s">
        <v>53</v>
      </c>
      <c r="M3" s="204"/>
      <c r="N3" s="205"/>
      <c r="T3" s="157" t="s">
        <v>79</v>
      </c>
      <c r="U3" s="158" t="s">
        <v>80</v>
      </c>
      <c r="V3" s="158" t="s">
        <v>87</v>
      </c>
      <c r="W3" s="156"/>
      <c r="X3" s="161" t="s">
        <v>75</v>
      </c>
      <c r="Y3" s="159">
        <f>F4</f>
        <v>50</v>
      </c>
      <c r="AE3" s="175" t="s">
        <v>84</v>
      </c>
      <c r="AF3" s="176">
        <f>Y5/2</f>
        <v>1250</v>
      </c>
    </row>
    <row r="4" spans="2:38" ht="16.2" x14ac:dyDescent="0.35">
      <c r="B4" s="49">
        <v>24.8</v>
      </c>
      <c r="C4" s="50">
        <v>28.08</v>
      </c>
      <c r="D4" s="128"/>
      <c r="E4" s="137" t="s">
        <v>48</v>
      </c>
      <c r="F4" s="10">
        <f>COUNT(B4:B53)</f>
        <v>50</v>
      </c>
      <c r="G4" s="181">
        <f>COUNT(C4:C53)</f>
        <v>50</v>
      </c>
      <c r="H4" s="168" t="s">
        <v>58</v>
      </c>
      <c r="I4" s="166" t="s">
        <v>64</v>
      </c>
      <c r="J4" s="152" t="s">
        <v>65</v>
      </c>
      <c r="K4" s="153" t="s">
        <v>66</v>
      </c>
      <c r="L4" s="166" t="s">
        <v>64</v>
      </c>
      <c r="M4" s="152" t="s">
        <v>65</v>
      </c>
      <c r="N4" s="153" t="s">
        <v>66</v>
      </c>
      <c r="T4" s="49">
        <v>1</v>
      </c>
      <c r="U4" s="130">
        <v>18.309999999999999</v>
      </c>
      <c r="V4" s="130">
        <v>1</v>
      </c>
      <c r="W4" s="156"/>
      <c r="X4" s="163" t="s">
        <v>74</v>
      </c>
      <c r="Y4" s="50">
        <f>G4</f>
        <v>50</v>
      </c>
      <c r="AE4" s="175" t="s">
        <v>85</v>
      </c>
      <c r="AF4" s="176">
        <f>SQRT(Y5*(Y3+Y4+1)/12)</f>
        <v>145.05745987941009</v>
      </c>
    </row>
    <row r="5" spans="2:38" ht="15.6" x14ac:dyDescent="0.35">
      <c r="B5" s="49">
        <v>24.84</v>
      </c>
      <c r="C5" s="50">
        <v>21.4</v>
      </c>
      <c r="D5" s="128"/>
      <c r="E5" s="137" t="s">
        <v>59</v>
      </c>
      <c r="F5" s="181">
        <f>MAX(B4:B53)</f>
        <v>26.76</v>
      </c>
      <c r="G5" s="182">
        <f>MAX(C4:C54)</f>
        <v>28.08</v>
      </c>
      <c r="H5" s="169">
        <v>1</v>
      </c>
      <c r="I5" s="49">
        <f>COUNTIF($B$4:$B$53, "&lt;" &amp;F6 + $F$9 * H5)</f>
        <v>1</v>
      </c>
      <c r="J5" s="130">
        <f>_xlfn.NORM.DIST($F$6 + H5*$F$9,($F$5+$F$6)/2,$F$7/6,TRUE) * $F$4</f>
        <v>0.2330594011859369</v>
      </c>
      <c r="K5" s="50">
        <f>(I5-J5)^2/J5</f>
        <v>2.5238110074778919</v>
      </c>
      <c r="L5" s="49">
        <f>COUNTIF($C$4:$C$53, "&lt;" &amp; $G$6 + $F$9 * H5)</f>
        <v>2</v>
      </c>
      <c r="M5" s="130">
        <f>_xlfn.NORM.DIST($G$6 + H5*$G$9,($G$5+$G$6)/2,$G$7/6,TRUE) * $G$4</f>
        <v>0.23305940118593668</v>
      </c>
      <c r="N5" s="50">
        <f>(L5-M5)^2/M5</f>
        <v>13.396065826353775</v>
      </c>
      <c r="T5" s="49">
        <v>1</v>
      </c>
      <c r="U5" s="130">
        <v>19.18</v>
      </c>
      <c r="V5" s="130">
        <v>2</v>
      </c>
      <c r="W5" s="156"/>
      <c r="X5" s="165" t="s">
        <v>88</v>
      </c>
      <c r="Y5" s="50">
        <f>Y3*Y4</f>
        <v>2500</v>
      </c>
      <c r="AE5" s="175" t="s">
        <v>86</v>
      </c>
      <c r="AF5" s="176">
        <f>(Y14-AF3)/AF4</f>
        <v>-2.2611729191499328</v>
      </c>
    </row>
    <row r="6" spans="2:38" ht="16.2" thickBot="1" x14ac:dyDescent="0.4">
      <c r="B6" s="49">
        <v>24.58</v>
      </c>
      <c r="C6" s="50">
        <v>25.9</v>
      </c>
      <c r="D6" s="128"/>
      <c r="E6" s="133" t="s">
        <v>60</v>
      </c>
      <c r="F6" s="181">
        <f>MIN(B4:B53)</f>
        <v>18.309999999999999</v>
      </c>
      <c r="G6" s="182">
        <f>MIN(C4:C53)</f>
        <v>20.309999999999999</v>
      </c>
      <c r="H6" s="169">
        <v>2</v>
      </c>
      <c r="I6" s="49">
        <f>COUNTIF($B$4:$B$53, "&lt;=" &amp; $F$6 + $F$9 * H6) - COUNTIF($B$4:$B$53, "&lt;=" &amp; $F$6 + $F$9 * H5)</f>
        <v>2</v>
      </c>
      <c r="J6" s="130">
        <f>(_xlfn.NORM.DIST($F$6 + H6*$F$9,($F$5+$F$6)/2,$F$7/6,TRUE)  - _xlfn.NORM.DIST($F$6 + (H6-1)*$F$9,($F$5+$F$6)/2,$F$7/6,TRUE) ) * $F$4</f>
        <v>0.46211297448899519</v>
      </c>
      <c r="K6" s="50">
        <f t="shared" ref="K6:K19" si="0">(I6-J6)^2/J6</f>
        <v>5.1180049767059916</v>
      </c>
      <c r="L6" s="49">
        <f>COUNTIF($C$4:$C$53, "&lt;=" &amp; $G$6 + $G$9 * H6) - COUNTIF($C$4:$C$53, "&lt;=" &amp; $G$6 + $G$9 * H5)</f>
        <v>1</v>
      </c>
      <c r="M6" s="130">
        <f>(_xlfn.NORM.DIST($G$6 + H6*$G$9,($G$5+$G$6)/2,$G$7/6,TRUE)  - _xlfn.NORM.DIST($G$6 + (H6-1)*$G$9,($G$5+$G$6)/2,$G$7/6,TRUE) ) * $G$4</f>
        <v>0.46211297448899319</v>
      </c>
      <c r="N6" s="50">
        <f t="shared" ref="N6:N19" si="1">(L6-M6)^2/M6</f>
        <v>0.62608597504325159</v>
      </c>
      <c r="T6" s="49">
        <v>1</v>
      </c>
      <c r="U6" s="130">
        <v>19.25</v>
      </c>
      <c r="V6" s="130">
        <v>3</v>
      </c>
      <c r="W6" s="156"/>
      <c r="X6" s="162" t="s">
        <v>76</v>
      </c>
      <c r="Y6" s="50">
        <f>Y3+1</f>
        <v>51</v>
      </c>
      <c r="AE6" s="175" t="s">
        <v>89</v>
      </c>
      <c r="AF6" s="176">
        <f>1-0.98809</f>
        <v>1.1909999999999976E-2</v>
      </c>
    </row>
    <row r="7" spans="2:38" ht="15.6" customHeight="1" thickBot="1" x14ac:dyDescent="0.4">
      <c r="B7" s="49">
        <v>21.73</v>
      </c>
      <c r="C7" s="50">
        <v>25.24</v>
      </c>
      <c r="D7" s="128"/>
      <c r="E7" s="133" t="s">
        <v>61</v>
      </c>
      <c r="F7" s="181">
        <f>F5-F6</f>
        <v>8.4500000000000028</v>
      </c>
      <c r="G7" s="182">
        <f>G5-G6</f>
        <v>7.77</v>
      </c>
      <c r="H7" s="169">
        <v>3</v>
      </c>
      <c r="I7" s="49">
        <f t="shared" ref="I7:I19" si="2">COUNTIF($B$4:$B$53, "&lt;=" &amp; $F$6 + $F$9 * H7) - COUNTIF($B$4:$B$53, "&lt;=" &amp; $F$6 + $F$9 * H6)</f>
        <v>2</v>
      </c>
      <c r="J7" s="130">
        <f t="shared" ref="J7:J17" si="3">(_xlfn.NORM.DIST($F$6 + H7*$F$9,($F$5+$F$6)/2,$F$7/6,TRUE)  - _xlfn.NORM.DIST($F$6 + (H7-1)*$F$9,($F$5+$F$6)/2,$F$7/6,TRUE) ) * $F$4</f>
        <v>1.10134357997136</v>
      </c>
      <c r="K7" s="50">
        <f t="shared" si="0"/>
        <v>0.73327104814983557</v>
      </c>
      <c r="L7" s="49">
        <f t="shared" ref="L7:L19" si="4">COUNTIF($C$4:$C$53, "&lt;=" &amp; $G$6 + $G$9 * H7) - COUNTIF($C$4:$C$53, "&lt;=" &amp; $G$6 + $G$9 * H6)</f>
        <v>3</v>
      </c>
      <c r="M7" s="130">
        <f t="shared" ref="M7:M18" si="5">(_xlfn.NORM.DIST($G$6 + H7*$G$9,($G$5+$G$6)/2,$G$7/6,TRUE)  - _xlfn.NORM.DIST($G$6 + (H7-1)*$G$9,($G$5+$G$6)/2,$G$7/6,TRUE) ) * $G$4</f>
        <v>1.1013435799713496</v>
      </c>
      <c r="N7" s="50">
        <f t="shared" si="1"/>
        <v>3.2731803833729969</v>
      </c>
      <c r="T7" s="49">
        <v>1</v>
      </c>
      <c r="U7" s="130">
        <v>19.809999999999999</v>
      </c>
      <c r="V7" s="130">
        <v>4</v>
      </c>
      <c r="W7" s="156"/>
      <c r="X7" s="163" t="s">
        <v>81</v>
      </c>
      <c r="Y7" s="50">
        <f>Y4+1</f>
        <v>51</v>
      </c>
      <c r="AA7" s="222" t="s">
        <v>100</v>
      </c>
      <c r="AB7" s="223"/>
      <c r="AC7" s="224"/>
      <c r="AE7" s="177" t="s">
        <v>17</v>
      </c>
      <c r="AF7" s="178">
        <v>0.05</v>
      </c>
    </row>
    <row r="8" spans="2:38" ht="15.6" customHeight="1" x14ac:dyDescent="0.35">
      <c r="B8" s="49">
        <v>24.79</v>
      </c>
      <c r="C8" s="50">
        <v>23.18</v>
      </c>
      <c r="D8" s="128"/>
      <c r="E8" s="133" t="s">
        <v>62</v>
      </c>
      <c r="F8" s="209">
        <v>15</v>
      </c>
      <c r="G8" s="210"/>
      <c r="H8" s="169">
        <v>4</v>
      </c>
      <c r="I8" s="49">
        <f t="shared" si="2"/>
        <v>3</v>
      </c>
      <c r="J8" s="130">
        <f t="shared" si="3"/>
        <v>2.2413170060422596</v>
      </c>
      <c r="K8" s="50">
        <f t="shared" si="0"/>
        <v>0.25681324139733402</v>
      </c>
      <c r="L8" s="49">
        <f t="shared" si="4"/>
        <v>4</v>
      </c>
      <c r="M8" s="130">
        <f t="shared" si="5"/>
        <v>2.2413170060422574</v>
      </c>
      <c r="N8" s="50">
        <f t="shared" si="1"/>
        <v>1.3799769800068413</v>
      </c>
      <c r="P8" s="231" t="s">
        <v>73</v>
      </c>
      <c r="Q8" s="232"/>
      <c r="R8" s="233"/>
      <c r="S8" s="154"/>
      <c r="T8" s="49">
        <v>1</v>
      </c>
      <c r="U8" s="130">
        <v>19.82</v>
      </c>
      <c r="V8" s="130">
        <v>5</v>
      </c>
      <c r="W8" s="156"/>
      <c r="X8" s="162" t="s">
        <v>119</v>
      </c>
      <c r="Y8" s="50">
        <f>SUM(V4:V53)</f>
        <v>2197</v>
      </c>
      <c r="AA8" s="225"/>
      <c r="AB8" s="226"/>
      <c r="AC8" s="227"/>
      <c r="AE8" s="217" t="s">
        <v>97</v>
      </c>
      <c r="AF8" s="218"/>
    </row>
    <row r="9" spans="2:38" ht="15.6" x14ac:dyDescent="0.35">
      <c r="B9" s="49">
        <v>21</v>
      </c>
      <c r="C9" s="50">
        <v>24.87</v>
      </c>
      <c r="D9" s="128"/>
      <c r="E9" s="133" t="s">
        <v>63</v>
      </c>
      <c r="F9" s="181">
        <f>F7/F8</f>
        <v>0.56333333333333357</v>
      </c>
      <c r="G9" s="182">
        <f>G7/F8</f>
        <v>0.51800000000000002</v>
      </c>
      <c r="H9" s="169">
        <v>5</v>
      </c>
      <c r="I9" s="49">
        <f t="shared" si="2"/>
        <v>4</v>
      </c>
      <c r="J9" s="130">
        <f t="shared" si="3"/>
        <v>3.8949297348842884</v>
      </c>
      <c r="K9" s="50">
        <f t="shared" si="0"/>
        <v>2.8343927523544641E-3</v>
      </c>
      <c r="L9" s="49">
        <f t="shared" si="4"/>
        <v>3</v>
      </c>
      <c r="M9" s="130">
        <f t="shared" si="5"/>
        <v>3.8949297348843004</v>
      </c>
      <c r="N9" s="50">
        <f t="shared" si="1"/>
        <v>0.20562610493508043</v>
      </c>
      <c r="P9" s="234"/>
      <c r="Q9" s="235"/>
      <c r="R9" s="236"/>
      <c r="S9" s="154"/>
      <c r="T9" s="49">
        <v>1</v>
      </c>
      <c r="U9" s="130">
        <v>20.25</v>
      </c>
      <c r="V9" s="130">
        <v>6</v>
      </c>
      <c r="W9" s="156"/>
      <c r="X9" s="163" t="s">
        <v>120</v>
      </c>
      <c r="Y9" s="50">
        <f>SUM(V54:V103)</f>
        <v>2853</v>
      </c>
      <c r="AA9" s="225"/>
      <c r="AB9" s="226"/>
      <c r="AC9" s="227"/>
      <c r="AE9" s="217"/>
      <c r="AF9" s="218"/>
    </row>
    <row r="10" spans="2:38" ht="15" thickBot="1" x14ac:dyDescent="0.35">
      <c r="B10" s="49">
        <v>26.57</v>
      </c>
      <c r="C10" s="50">
        <v>27.56</v>
      </c>
      <c r="D10" s="128"/>
      <c r="E10" s="138" t="s">
        <v>17</v>
      </c>
      <c r="F10" s="209">
        <v>0.05</v>
      </c>
      <c r="G10" s="210"/>
      <c r="H10" s="169">
        <v>6</v>
      </c>
      <c r="I10" s="49">
        <f t="shared" si="2"/>
        <v>4</v>
      </c>
      <c r="J10" s="130">
        <f t="shared" si="3"/>
        <v>5.7798931909308546</v>
      </c>
      <c r="K10" s="50">
        <f t="shared" si="0"/>
        <v>0.54811043499781498</v>
      </c>
      <c r="L10" s="49">
        <f t="shared" si="4"/>
        <v>5</v>
      </c>
      <c r="M10" s="130">
        <f t="shared" si="5"/>
        <v>5.7798931909308262</v>
      </c>
      <c r="N10" s="50">
        <f t="shared" si="1"/>
        <v>0.10523263478547307</v>
      </c>
      <c r="P10" s="219" t="s">
        <v>71</v>
      </c>
      <c r="Q10" s="220"/>
      <c r="R10" s="221"/>
      <c r="S10" s="155"/>
      <c r="T10" s="49">
        <v>1</v>
      </c>
      <c r="U10" s="130">
        <v>20.27</v>
      </c>
      <c r="V10" s="130">
        <v>7</v>
      </c>
      <c r="W10" s="156"/>
      <c r="X10" s="130"/>
      <c r="Y10" s="50"/>
      <c r="AA10" s="225"/>
      <c r="AB10" s="226"/>
      <c r="AC10" s="227"/>
      <c r="AE10" s="179" t="s">
        <v>52</v>
      </c>
      <c r="AF10" s="180">
        <f>AF6</f>
        <v>1.1909999999999976E-2</v>
      </c>
    </row>
    <row r="11" spans="2:38" ht="17.399999999999999" thickBot="1" x14ac:dyDescent="0.4">
      <c r="B11" s="49">
        <v>18.309999999999999</v>
      </c>
      <c r="C11" s="50">
        <v>24.03</v>
      </c>
      <c r="D11" s="128"/>
      <c r="E11" s="133" t="s">
        <v>67</v>
      </c>
      <c r="F11" s="254">
        <v>66.338648860000006</v>
      </c>
      <c r="G11" s="255"/>
      <c r="H11" s="169">
        <v>7</v>
      </c>
      <c r="I11" s="49">
        <f t="shared" si="2"/>
        <v>5</v>
      </c>
      <c r="J11" s="130">
        <f t="shared" si="3"/>
        <v>7.3243586405411616</v>
      </c>
      <c r="K11" s="50">
        <f t="shared" si="0"/>
        <v>0.73762678140228011</v>
      </c>
      <c r="L11" s="49">
        <f t="shared" si="4"/>
        <v>6</v>
      </c>
      <c r="M11" s="130">
        <f t="shared" si="5"/>
        <v>7.3243586405411785</v>
      </c>
      <c r="N11" s="50">
        <f t="shared" si="1"/>
        <v>0.23946476338117778</v>
      </c>
      <c r="T11" s="49">
        <v>1</v>
      </c>
      <c r="U11" s="130">
        <v>20.3</v>
      </c>
      <c r="V11" s="130">
        <v>8</v>
      </c>
      <c r="W11" s="156"/>
      <c r="X11" s="162" t="s">
        <v>77</v>
      </c>
      <c r="Y11" s="50">
        <f>Y5+Y3*Y6/2-Y8</f>
        <v>1578</v>
      </c>
      <c r="AA11" s="225"/>
      <c r="AB11" s="226"/>
      <c r="AC11" s="227"/>
      <c r="AE11" s="46"/>
    </row>
    <row r="12" spans="2:38" ht="16.2" thickBot="1" x14ac:dyDescent="0.4">
      <c r="B12" s="49">
        <v>25.01</v>
      </c>
      <c r="C12" s="50">
        <v>25.96</v>
      </c>
      <c r="D12" s="128"/>
      <c r="E12" s="133" t="s">
        <v>68</v>
      </c>
      <c r="F12" s="209" t="s">
        <v>69</v>
      </c>
      <c r="G12" s="210"/>
      <c r="H12" s="169">
        <v>8</v>
      </c>
      <c r="I12" s="49">
        <f t="shared" si="2"/>
        <v>6</v>
      </c>
      <c r="J12" s="130">
        <f t="shared" si="3"/>
        <v>7.9259709439102881</v>
      </c>
      <c r="K12" s="50">
        <f t="shared" si="0"/>
        <v>0.46800122067526362</v>
      </c>
      <c r="L12" s="49">
        <f t="shared" si="4"/>
        <v>7</v>
      </c>
      <c r="M12" s="130">
        <f t="shared" si="5"/>
        <v>7.9259709439103183</v>
      </c>
      <c r="N12" s="50">
        <f t="shared" si="1"/>
        <v>0.10817882061817807</v>
      </c>
      <c r="P12" s="228" t="s">
        <v>95</v>
      </c>
      <c r="Q12" s="229"/>
      <c r="R12" s="230"/>
      <c r="T12" s="49">
        <v>1</v>
      </c>
      <c r="U12" s="130">
        <v>20.63</v>
      </c>
      <c r="V12" s="130">
        <v>11</v>
      </c>
      <c r="W12" s="156"/>
      <c r="X12" s="163" t="s">
        <v>78</v>
      </c>
      <c r="Y12" s="50">
        <f>Y5+Y4*Y7/2-Y9</f>
        <v>922</v>
      </c>
      <c r="AA12" s="219" t="s">
        <v>71</v>
      </c>
      <c r="AB12" s="220"/>
      <c r="AC12" s="221"/>
      <c r="AE12" s="237" t="s">
        <v>101</v>
      </c>
      <c r="AF12" s="237"/>
      <c r="AG12" s="237"/>
      <c r="AH12" s="237"/>
      <c r="AI12" s="237"/>
      <c r="AJ12" s="237"/>
      <c r="AK12" s="237"/>
      <c r="AL12" s="237"/>
    </row>
    <row r="13" spans="2:38" ht="15" thickBot="1" x14ac:dyDescent="0.35">
      <c r="B13" s="49">
        <v>21.71</v>
      </c>
      <c r="C13" s="50">
        <v>25.37</v>
      </c>
      <c r="D13" s="128"/>
      <c r="E13" s="133" t="s">
        <v>47</v>
      </c>
      <c r="F13" s="147">
        <f>K20</f>
        <v>92.622485962527847</v>
      </c>
      <c r="G13" s="148">
        <f>N20</f>
        <v>35.0081880146735</v>
      </c>
      <c r="H13" s="169">
        <v>9</v>
      </c>
      <c r="I13" s="49">
        <f t="shared" si="2"/>
        <v>1</v>
      </c>
      <c r="J13" s="130">
        <f t="shared" si="3"/>
        <v>7.324358640541206</v>
      </c>
      <c r="K13" s="50">
        <f t="shared" si="0"/>
        <v>5.4608893661756497</v>
      </c>
      <c r="L13" s="49">
        <f t="shared" si="4"/>
        <v>4</v>
      </c>
      <c r="M13" s="130">
        <f t="shared" si="5"/>
        <v>7.3243586405411287</v>
      </c>
      <c r="N13" s="50">
        <f t="shared" si="1"/>
        <v>1.5088502506922543</v>
      </c>
      <c r="O13" t="s">
        <v>90</v>
      </c>
      <c r="P13" s="173" t="s">
        <v>91</v>
      </c>
      <c r="Q13" s="249">
        <f>MEDIAN(B4:B53)</f>
        <v>22.73</v>
      </c>
      <c r="R13" s="250"/>
      <c r="T13" s="49">
        <v>1</v>
      </c>
      <c r="U13" s="130">
        <v>20.93</v>
      </c>
      <c r="V13" s="130">
        <v>12</v>
      </c>
      <c r="W13" s="156"/>
      <c r="X13" s="130"/>
      <c r="Y13" s="50"/>
      <c r="AE13" s="46"/>
    </row>
    <row r="14" spans="2:38" x14ac:dyDescent="0.3">
      <c r="B14" s="49">
        <v>22.53</v>
      </c>
      <c r="C14" s="50">
        <v>21.85</v>
      </c>
      <c r="D14" s="128"/>
      <c r="E14" s="133" t="s">
        <v>54</v>
      </c>
      <c r="F14" s="151" t="s">
        <v>55</v>
      </c>
      <c r="G14" s="140" t="s">
        <v>56</v>
      </c>
      <c r="H14" s="169">
        <v>10</v>
      </c>
      <c r="I14" s="49">
        <f t="shared" si="2"/>
        <v>2</v>
      </c>
      <c r="J14" s="130">
        <f t="shared" si="3"/>
        <v>5.7798931909308129</v>
      </c>
      <c r="K14" s="50">
        <f t="shared" si="0"/>
        <v>2.4719475019475579</v>
      </c>
      <c r="L14" s="49">
        <f t="shared" si="4"/>
        <v>5</v>
      </c>
      <c r="M14" s="130">
        <f t="shared" si="5"/>
        <v>5.7798931909308457</v>
      </c>
      <c r="N14" s="50">
        <f t="shared" si="1"/>
        <v>0.10523263478547797</v>
      </c>
      <c r="P14" s="174" t="s">
        <v>92</v>
      </c>
      <c r="Q14" s="249">
        <f>MEDIAN(C4:C53)</f>
        <v>24.009999999999998</v>
      </c>
      <c r="R14" s="250"/>
      <c r="T14" s="49">
        <v>1</v>
      </c>
      <c r="U14" s="130">
        <v>21</v>
      </c>
      <c r="V14" s="130">
        <v>14</v>
      </c>
      <c r="W14" s="156"/>
      <c r="X14" s="164" t="s">
        <v>82</v>
      </c>
      <c r="Y14" s="146">
        <f>MIN(Y11:Y12)</f>
        <v>922</v>
      </c>
      <c r="AE14" s="238" t="s">
        <v>98</v>
      </c>
      <c r="AF14" s="239"/>
      <c r="AG14" s="239"/>
      <c r="AH14" s="239"/>
      <c r="AI14" s="239"/>
      <c r="AJ14" s="239"/>
      <c r="AK14" s="239"/>
      <c r="AL14" s="240"/>
    </row>
    <row r="15" spans="2:38" ht="14.4" customHeight="1" x14ac:dyDescent="0.3">
      <c r="B15" s="49">
        <v>19.25</v>
      </c>
      <c r="C15" s="50">
        <v>22.15</v>
      </c>
      <c r="D15" s="128"/>
      <c r="E15" s="49"/>
      <c r="F15" s="130" t="s">
        <v>70</v>
      </c>
      <c r="G15" s="132" t="s">
        <v>72</v>
      </c>
      <c r="H15" s="169">
        <v>11</v>
      </c>
      <c r="I15" s="49">
        <f t="shared" si="2"/>
        <v>1</v>
      </c>
      <c r="J15" s="130">
        <f t="shared" si="3"/>
        <v>3.8949297348842835</v>
      </c>
      <c r="K15" s="50">
        <f t="shared" si="0"/>
        <v>2.1516737760010378</v>
      </c>
      <c r="L15" s="49">
        <f t="shared" si="4"/>
        <v>4</v>
      </c>
      <c r="M15" s="130">
        <f t="shared" si="5"/>
        <v>3.8949297348843057</v>
      </c>
      <c r="N15" s="50">
        <f t="shared" si="1"/>
        <v>2.8343927523535174E-3</v>
      </c>
      <c r="P15" s="170"/>
      <c r="Q15" s="171"/>
      <c r="R15" s="172"/>
      <c r="T15" s="49">
        <v>1</v>
      </c>
      <c r="U15" s="130">
        <v>21.12</v>
      </c>
      <c r="V15" s="130">
        <v>15</v>
      </c>
      <c r="W15" s="156"/>
      <c r="X15" s="130"/>
      <c r="Y15" s="50"/>
      <c r="AE15" s="241" t="s">
        <v>99</v>
      </c>
      <c r="AF15" s="242"/>
      <c r="AG15" s="242"/>
      <c r="AH15" s="242"/>
      <c r="AI15" s="242"/>
      <c r="AJ15" s="242"/>
      <c r="AK15" s="242"/>
      <c r="AL15" s="243"/>
    </row>
    <row r="16" spans="2:38" ht="15" thickBot="1" x14ac:dyDescent="0.35">
      <c r="B16" s="49">
        <v>23.67</v>
      </c>
      <c r="C16" s="50">
        <v>24.88</v>
      </c>
      <c r="D16" s="128"/>
      <c r="E16" s="49"/>
      <c r="F16" s="130"/>
      <c r="G16" s="50"/>
      <c r="H16" s="169">
        <v>12</v>
      </c>
      <c r="I16" s="49">
        <f t="shared" si="2"/>
        <v>9</v>
      </c>
      <c r="J16" s="130">
        <f t="shared" si="3"/>
        <v>2.2413170060422596</v>
      </c>
      <c r="K16" s="50">
        <f t="shared" si="0"/>
        <v>20.380783124237929</v>
      </c>
      <c r="L16" s="49">
        <f t="shared" si="4"/>
        <v>2</v>
      </c>
      <c r="M16" s="130">
        <f t="shared" si="5"/>
        <v>2.2413170060422702</v>
      </c>
      <c r="N16" s="50">
        <f t="shared" si="1"/>
        <v>2.5981999533405954E-2</v>
      </c>
      <c r="P16" s="211" t="s">
        <v>96</v>
      </c>
      <c r="Q16" s="212"/>
      <c r="R16" s="213"/>
      <c r="T16" s="49">
        <v>1</v>
      </c>
      <c r="U16" s="130">
        <v>21.17</v>
      </c>
      <c r="V16" s="130">
        <v>16</v>
      </c>
      <c r="W16" s="156"/>
      <c r="X16" s="130"/>
      <c r="Y16" s="50"/>
      <c r="AE16" s="244"/>
      <c r="AF16" s="245"/>
      <c r="AG16" s="245"/>
      <c r="AH16" s="245"/>
      <c r="AI16" s="245"/>
      <c r="AJ16" s="245"/>
      <c r="AK16" s="245"/>
      <c r="AL16" s="246"/>
    </row>
    <row r="17" spans="2:25" ht="15.6" x14ac:dyDescent="0.35">
      <c r="B17" s="49">
        <v>21.17</v>
      </c>
      <c r="C17" s="50">
        <v>21.75</v>
      </c>
      <c r="D17" s="128"/>
      <c r="E17" s="49"/>
      <c r="F17" s="130"/>
      <c r="G17" s="50"/>
      <c r="H17" s="169">
        <v>13</v>
      </c>
      <c r="I17" s="49">
        <f t="shared" si="2"/>
        <v>5</v>
      </c>
      <c r="J17" s="130">
        <f t="shared" si="3"/>
        <v>1.1013435799713645</v>
      </c>
      <c r="K17" s="50">
        <f t="shared" si="0"/>
        <v>13.800890256086747</v>
      </c>
      <c r="L17" s="49">
        <f t="shared" si="4"/>
        <v>1</v>
      </c>
      <c r="M17" s="130">
        <f t="shared" si="5"/>
        <v>1.1013435799713533</v>
      </c>
      <c r="N17" s="50">
        <f t="shared" si="1"/>
        <v>9.3254470159777336E-3</v>
      </c>
      <c r="P17" s="211" t="s">
        <v>93</v>
      </c>
      <c r="Q17" s="212"/>
      <c r="R17" s="213"/>
      <c r="T17" s="49">
        <v>1</v>
      </c>
      <c r="U17" s="130">
        <v>21.32</v>
      </c>
      <c r="V17" s="130">
        <v>17</v>
      </c>
      <c r="W17" s="156"/>
      <c r="X17" s="130"/>
      <c r="Y17" s="50"/>
    </row>
    <row r="18" spans="2:25" ht="16.2" thickBot="1" x14ac:dyDescent="0.4">
      <c r="B18" s="49">
        <v>25.1</v>
      </c>
      <c r="C18" s="50">
        <v>23.01</v>
      </c>
      <c r="D18" s="128"/>
      <c r="E18" s="49"/>
      <c r="F18" s="130"/>
      <c r="G18" s="50"/>
      <c r="H18" s="169">
        <v>14</v>
      </c>
      <c r="I18" s="49">
        <f t="shared" si="2"/>
        <v>2</v>
      </c>
      <c r="J18" s="130">
        <f>(_xlfn.NORM.DIST($F$6 + H18*$F$9,($F$5+$F$6)/2,$F$7/6,TRUE)  - _xlfn.NORM.DIST($F$6 + (H18-1)*$F$9,($F$5+$F$6)/2,$F$7/6,TRUE) ) * $F$4</f>
        <v>0.46211297448899291</v>
      </c>
      <c r="K18" s="50">
        <f t="shared" si="0"/>
        <v>5.1180049767060316</v>
      </c>
      <c r="L18" s="49">
        <f t="shared" si="4"/>
        <v>1</v>
      </c>
      <c r="M18" s="130">
        <f t="shared" si="5"/>
        <v>0.46211297448899846</v>
      </c>
      <c r="N18" s="50">
        <f t="shared" si="1"/>
        <v>0.62608597504323216</v>
      </c>
      <c r="P18" s="214" t="s">
        <v>94</v>
      </c>
      <c r="Q18" s="215"/>
      <c r="R18" s="216"/>
      <c r="T18" s="49">
        <v>1</v>
      </c>
      <c r="U18" s="130">
        <v>21.34</v>
      </c>
      <c r="V18" s="130">
        <v>18</v>
      </c>
      <c r="W18" s="156"/>
      <c r="X18" s="130"/>
      <c r="Y18" s="50"/>
    </row>
    <row r="19" spans="2:25" ht="15" thickBot="1" x14ac:dyDescent="0.35">
      <c r="B19" s="49">
        <v>21.82</v>
      </c>
      <c r="C19" s="50">
        <v>23.99</v>
      </c>
      <c r="D19" s="128"/>
      <c r="E19" s="49"/>
      <c r="F19" s="130"/>
      <c r="G19" s="50"/>
      <c r="H19" s="145">
        <v>15</v>
      </c>
      <c r="I19" s="49">
        <f t="shared" si="2"/>
        <v>3</v>
      </c>
      <c r="J19" s="130">
        <f>F4-SUM(J5:J18)</f>
        <v>0.23305940118593327</v>
      </c>
      <c r="K19" s="142">
        <f t="shared" si="0"/>
        <v>32.84982385781413</v>
      </c>
      <c r="L19" s="49">
        <f t="shared" si="4"/>
        <v>2</v>
      </c>
      <c r="M19" s="141">
        <f>G4-SUM(M5:M18)</f>
        <v>0.23305940118593327</v>
      </c>
      <c r="N19" s="142">
        <f t="shared" si="1"/>
        <v>13.396065826354022</v>
      </c>
      <c r="T19" s="49">
        <v>1</v>
      </c>
      <c r="U19" s="130">
        <v>21.41</v>
      </c>
      <c r="V19" s="130">
        <v>20</v>
      </c>
      <c r="W19" s="156"/>
      <c r="X19" s="130"/>
      <c r="Y19" s="50"/>
    </row>
    <row r="20" spans="2:25" ht="15" thickBot="1" x14ac:dyDescent="0.35">
      <c r="B20" s="49">
        <v>26.71</v>
      </c>
      <c r="C20" s="50">
        <v>22.05</v>
      </c>
      <c r="D20" s="128"/>
      <c r="E20" s="52"/>
      <c r="F20" s="139"/>
      <c r="G20" s="51"/>
      <c r="H20" s="144" t="s">
        <v>10</v>
      </c>
      <c r="I20" s="143">
        <f t="shared" ref="I20:N20" si="6">SUM(I5:I19)</f>
        <v>50</v>
      </c>
      <c r="J20" s="149">
        <f t="shared" si="6"/>
        <v>50</v>
      </c>
      <c r="K20" s="150">
        <f t="shared" si="6"/>
        <v>92.622485962527847</v>
      </c>
      <c r="L20" s="143">
        <f t="shared" si="6"/>
        <v>50</v>
      </c>
      <c r="M20" s="149">
        <f t="shared" si="6"/>
        <v>50</v>
      </c>
      <c r="N20" s="150">
        <f t="shared" si="6"/>
        <v>35.0081880146735</v>
      </c>
      <c r="T20" s="49">
        <v>1</v>
      </c>
      <c r="U20" s="130">
        <v>21.71</v>
      </c>
      <c r="V20" s="130">
        <v>21</v>
      </c>
      <c r="W20" s="156"/>
      <c r="X20" s="130"/>
      <c r="Y20" s="50"/>
    </row>
    <row r="21" spans="2:25" x14ac:dyDescent="0.3">
      <c r="B21" s="49">
        <v>23.14</v>
      </c>
      <c r="C21" s="50">
        <v>25.92</v>
      </c>
      <c r="D21" s="128"/>
      <c r="E21" s="128"/>
      <c r="T21" s="49">
        <v>1</v>
      </c>
      <c r="U21" s="130">
        <v>21.73</v>
      </c>
      <c r="V21" s="130">
        <v>22</v>
      </c>
      <c r="W21" s="156"/>
      <c r="X21" s="130"/>
      <c r="Y21" s="50"/>
    </row>
    <row r="22" spans="2:25" x14ac:dyDescent="0.3">
      <c r="B22" s="49">
        <v>22.31</v>
      </c>
      <c r="C22" s="50">
        <v>24.45</v>
      </c>
      <c r="D22" s="128"/>
      <c r="E22" s="128"/>
      <c r="T22" s="49">
        <v>1</v>
      </c>
      <c r="U22" s="130">
        <v>21.76</v>
      </c>
      <c r="V22" s="130">
        <v>24</v>
      </c>
      <c r="W22" s="156"/>
      <c r="X22" s="130"/>
      <c r="Y22" s="50"/>
    </row>
    <row r="23" spans="2:25" x14ac:dyDescent="0.3">
      <c r="B23" s="49">
        <v>21.32</v>
      </c>
      <c r="C23" s="50">
        <v>23.05</v>
      </c>
      <c r="D23" s="128"/>
      <c r="E23" s="128"/>
      <c r="T23" s="49">
        <v>1</v>
      </c>
      <c r="U23" s="130">
        <v>21.82</v>
      </c>
      <c r="V23" s="130">
        <v>25</v>
      </c>
      <c r="W23" s="156"/>
      <c r="X23" s="130"/>
      <c r="Y23" s="50"/>
    </row>
    <row r="24" spans="2:25" x14ac:dyDescent="0.3">
      <c r="B24" s="49">
        <v>23.83</v>
      </c>
      <c r="C24" s="50">
        <v>24.07</v>
      </c>
      <c r="D24" s="128"/>
      <c r="E24" s="128"/>
      <c r="T24" s="49">
        <v>1</v>
      </c>
      <c r="U24" s="130">
        <v>22.1</v>
      </c>
      <c r="V24" s="130">
        <v>29</v>
      </c>
      <c r="W24" s="156"/>
      <c r="X24" s="130"/>
      <c r="Y24" s="50"/>
    </row>
    <row r="25" spans="2:25" x14ac:dyDescent="0.3">
      <c r="B25" s="49">
        <v>19.18</v>
      </c>
      <c r="C25" s="50">
        <v>23.11</v>
      </c>
      <c r="D25" s="128"/>
      <c r="E25" s="128"/>
      <c r="T25" s="49">
        <v>1</v>
      </c>
      <c r="U25" s="130">
        <v>22.31</v>
      </c>
      <c r="V25" s="130">
        <v>32</v>
      </c>
      <c r="W25" s="156"/>
      <c r="X25" s="130"/>
      <c r="Y25" s="50"/>
    </row>
    <row r="26" spans="2:25" x14ac:dyDescent="0.3">
      <c r="B26" s="49">
        <v>22.79</v>
      </c>
      <c r="C26" s="50">
        <v>24.14</v>
      </c>
      <c r="D26" s="128"/>
      <c r="E26" s="128"/>
      <c r="T26" s="49">
        <v>1</v>
      </c>
      <c r="U26" s="130">
        <v>22.53</v>
      </c>
      <c r="V26" s="130">
        <v>33</v>
      </c>
      <c r="W26" s="156"/>
      <c r="X26" s="130"/>
      <c r="Y26" s="50"/>
    </row>
    <row r="27" spans="2:25" x14ac:dyDescent="0.3">
      <c r="B27" s="49">
        <v>20.25</v>
      </c>
      <c r="C27" s="50">
        <v>26.93</v>
      </c>
      <c r="D27" s="128"/>
      <c r="E27" s="128"/>
      <c r="T27" s="49">
        <v>1</v>
      </c>
      <c r="U27" s="130">
        <v>22.57</v>
      </c>
      <c r="V27" s="130">
        <v>35.5</v>
      </c>
      <c r="W27" s="156"/>
      <c r="X27" s="130"/>
      <c r="Y27" s="50"/>
    </row>
    <row r="28" spans="2:25" x14ac:dyDescent="0.3">
      <c r="B28" s="49">
        <v>24.97</v>
      </c>
      <c r="C28" s="50">
        <v>20.309999999999999</v>
      </c>
      <c r="D28" s="128"/>
      <c r="E28" s="128"/>
      <c r="T28" s="49">
        <v>1</v>
      </c>
      <c r="U28" s="130">
        <v>22.67</v>
      </c>
      <c r="V28" s="130">
        <v>37</v>
      </c>
      <c r="W28" s="156"/>
      <c r="X28" s="130"/>
      <c r="Y28" s="50"/>
    </row>
    <row r="29" spans="2:25" x14ac:dyDescent="0.3">
      <c r="B29" s="49">
        <v>22.57</v>
      </c>
      <c r="C29" s="50">
        <v>20.95</v>
      </c>
      <c r="D29" s="128"/>
      <c r="E29" s="128"/>
      <c r="T29" s="49">
        <v>1</v>
      </c>
      <c r="U29" s="130">
        <v>22.79</v>
      </c>
      <c r="V29" s="130">
        <v>39</v>
      </c>
      <c r="W29" s="156"/>
      <c r="X29" s="130"/>
      <c r="Y29" s="50"/>
    </row>
    <row r="30" spans="2:25" x14ac:dyDescent="0.3">
      <c r="B30" s="49">
        <v>24.64</v>
      </c>
      <c r="C30" s="50">
        <v>23.71</v>
      </c>
      <c r="D30" s="128"/>
      <c r="E30" s="128"/>
      <c r="T30" s="49">
        <v>1</v>
      </c>
      <c r="U30" s="130">
        <v>22.79</v>
      </c>
      <c r="V30" s="130">
        <v>39</v>
      </c>
      <c r="W30" s="156"/>
      <c r="X30" s="130"/>
      <c r="Y30" s="50"/>
    </row>
    <row r="31" spans="2:25" x14ac:dyDescent="0.3">
      <c r="B31" s="49">
        <v>21.12</v>
      </c>
      <c r="C31" s="50">
        <v>25.07</v>
      </c>
      <c r="D31" s="128"/>
      <c r="E31" s="128"/>
      <c r="T31" s="49">
        <v>1</v>
      </c>
      <c r="U31" s="130">
        <v>23.14</v>
      </c>
      <c r="V31" s="130">
        <v>45</v>
      </c>
      <c r="W31" s="156"/>
      <c r="X31" s="130"/>
      <c r="Y31" s="50"/>
    </row>
    <row r="32" spans="2:25" x14ac:dyDescent="0.3">
      <c r="B32" s="49">
        <v>26.04</v>
      </c>
      <c r="C32" s="50">
        <v>23.76</v>
      </c>
      <c r="D32" s="128"/>
      <c r="E32" s="128"/>
      <c r="T32" s="49">
        <v>1</v>
      </c>
      <c r="U32" s="130">
        <v>23.67</v>
      </c>
      <c r="V32" s="130">
        <v>48</v>
      </c>
      <c r="W32" s="156"/>
      <c r="X32" s="130"/>
      <c r="Y32" s="50"/>
    </row>
    <row r="33" spans="2:25" x14ac:dyDescent="0.3">
      <c r="B33" s="49">
        <v>21.34</v>
      </c>
      <c r="C33" s="50">
        <v>24.92</v>
      </c>
      <c r="D33" s="128"/>
      <c r="E33" s="128"/>
      <c r="T33" s="49">
        <v>1</v>
      </c>
      <c r="U33" s="130">
        <v>23.83</v>
      </c>
      <c r="V33" s="130">
        <v>54</v>
      </c>
      <c r="W33" s="156"/>
      <c r="X33" s="130"/>
      <c r="Y33" s="50"/>
    </row>
    <row r="34" spans="2:25" x14ac:dyDescent="0.3">
      <c r="B34" s="49">
        <v>22.79</v>
      </c>
      <c r="C34" s="50">
        <v>23.7</v>
      </c>
      <c r="D34" s="128"/>
      <c r="E34" s="128"/>
      <c r="T34" s="49">
        <v>1</v>
      </c>
      <c r="U34" s="130">
        <v>23.95</v>
      </c>
      <c r="V34" s="130">
        <v>55</v>
      </c>
      <c r="W34" s="156"/>
      <c r="X34" s="130"/>
      <c r="Y34" s="50"/>
    </row>
    <row r="35" spans="2:25" x14ac:dyDescent="0.3">
      <c r="B35" s="49">
        <v>21.76</v>
      </c>
      <c r="C35" s="50">
        <v>22.14</v>
      </c>
      <c r="D35" s="128"/>
      <c r="E35" s="128"/>
      <c r="T35" s="49">
        <v>1</v>
      </c>
      <c r="U35" s="130">
        <v>24.58</v>
      </c>
      <c r="V35" s="130">
        <v>64</v>
      </c>
      <c r="W35" s="156"/>
      <c r="X35" s="130"/>
      <c r="Y35" s="50"/>
    </row>
    <row r="36" spans="2:25" x14ac:dyDescent="0.3">
      <c r="B36" s="49">
        <v>25.49</v>
      </c>
      <c r="C36" s="50">
        <v>23.7</v>
      </c>
      <c r="D36" s="128"/>
      <c r="E36" s="128"/>
      <c r="T36" s="49">
        <v>1</v>
      </c>
      <c r="U36" s="130">
        <v>24.64</v>
      </c>
      <c r="V36" s="130">
        <v>65</v>
      </c>
      <c r="W36" s="156"/>
      <c r="X36" s="130"/>
      <c r="Y36" s="50"/>
    </row>
    <row r="37" spans="2:25" x14ac:dyDescent="0.3">
      <c r="B37" s="49">
        <v>19.82</v>
      </c>
      <c r="C37" s="50">
        <v>25.61</v>
      </c>
      <c r="D37" s="128"/>
      <c r="E37" s="128"/>
      <c r="T37" s="49">
        <v>1</v>
      </c>
      <c r="U37" s="130">
        <v>24.79</v>
      </c>
      <c r="V37" s="130">
        <v>66</v>
      </c>
      <c r="W37" s="156"/>
      <c r="X37" s="130"/>
      <c r="Y37" s="50"/>
    </row>
    <row r="38" spans="2:25" x14ac:dyDescent="0.3">
      <c r="B38" s="49">
        <v>25.37</v>
      </c>
      <c r="C38" s="50">
        <v>25.27</v>
      </c>
      <c r="D38" s="128"/>
      <c r="E38" s="128"/>
      <c r="T38" s="49">
        <v>1</v>
      </c>
      <c r="U38" s="130">
        <v>24.8</v>
      </c>
      <c r="V38" s="130">
        <v>67</v>
      </c>
      <c r="W38" s="156"/>
      <c r="X38" s="130"/>
      <c r="Y38" s="50"/>
    </row>
    <row r="39" spans="2:25" x14ac:dyDescent="0.3">
      <c r="B39" s="49">
        <v>20.3</v>
      </c>
      <c r="C39" s="50">
        <v>24.38</v>
      </c>
      <c r="D39" s="128"/>
      <c r="E39" s="128"/>
      <c r="T39" s="49">
        <v>1</v>
      </c>
      <c r="U39" s="130">
        <v>24.84</v>
      </c>
      <c r="V39" s="130">
        <v>68</v>
      </c>
      <c r="W39" s="156"/>
      <c r="X39" s="130"/>
      <c r="Y39" s="50"/>
    </row>
    <row r="40" spans="2:25" x14ac:dyDescent="0.3">
      <c r="B40" s="49">
        <v>26.76</v>
      </c>
      <c r="C40" s="50">
        <v>22.57</v>
      </c>
      <c r="D40" s="128"/>
      <c r="E40" s="128"/>
      <c r="T40" s="49">
        <v>1</v>
      </c>
      <c r="U40" s="130">
        <v>24.91</v>
      </c>
      <c r="V40" s="130">
        <v>71</v>
      </c>
      <c r="W40" s="156"/>
      <c r="X40" s="130"/>
      <c r="Y40" s="50"/>
    </row>
    <row r="41" spans="2:25" x14ac:dyDescent="0.3">
      <c r="B41" s="49">
        <v>20.27</v>
      </c>
      <c r="C41" s="50">
        <v>24.56</v>
      </c>
      <c r="D41" s="128"/>
      <c r="E41" s="128"/>
      <c r="T41" s="49">
        <v>1</v>
      </c>
      <c r="U41" s="130">
        <v>24.97</v>
      </c>
      <c r="V41" s="130">
        <v>73</v>
      </c>
      <c r="W41" s="156"/>
      <c r="X41" s="130"/>
      <c r="Y41" s="50"/>
    </row>
    <row r="42" spans="2:25" x14ac:dyDescent="0.3">
      <c r="B42" s="49">
        <v>25.32</v>
      </c>
      <c r="C42" s="50">
        <v>23.69</v>
      </c>
      <c r="D42" s="128"/>
      <c r="E42" s="128"/>
      <c r="T42" s="49">
        <v>1</v>
      </c>
      <c r="U42" s="130">
        <v>25.01</v>
      </c>
      <c r="V42" s="130">
        <v>74</v>
      </c>
      <c r="W42" s="156"/>
      <c r="X42" s="130"/>
      <c r="Y42" s="50"/>
    </row>
    <row r="43" spans="2:25" x14ac:dyDescent="0.3">
      <c r="B43" s="49">
        <v>22.67</v>
      </c>
      <c r="C43" s="50">
        <v>22.79</v>
      </c>
      <c r="D43" s="128"/>
      <c r="E43" s="128"/>
      <c r="T43" s="49">
        <v>1</v>
      </c>
      <c r="U43" s="130">
        <v>25.06</v>
      </c>
      <c r="V43" s="130">
        <v>76</v>
      </c>
      <c r="W43" s="156"/>
      <c r="X43" s="130"/>
      <c r="Y43" s="50"/>
    </row>
    <row r="44" spans="2:25" x14ac:dyDescent="0.3">
      <c r="B44" s="49">
        <v>25.31</v>
      </c>
      <c r="C44" s="50">
        <v>22.95</v>
      </c>
      <c r="D44" s="128"/>
      <c r="E44" s="128"/>
      <c r="T44" s="49">
        <v>1</v>
      </c>
      <c r="U44" s="130">
        <v>25.1</v>
      </c>
      <c r="V44" s="130">
        <v>78</v>
      </c>
      <c r="W44" s="156"/>
      <c r="X44" s="130"/>
      <c r="Y44" s="50"/>
    </row>
    <row r="45" spans="2:25" x14ac:dyDescent="0.3">
      <c r="B45" s="49">
        <v>20.93</v>
      </c>
      <c r="C45" s="50">
        <v>27.71</v>
      </c>
      <c r="D45" s="128"/>
      <c r="E45" s="128"/>
      <c r="T45" s="49">
        <v>1</v>
      </c>
      <c r="U45" s="130">
        <v>25.31</v>
      </c>
      <c r="V45" s="130">
        <v>81</v>
      </c>
      <c r="W45" s="156"/>
      <c r="X45" s="130"/>
      <c r="Y45" s="50"/>
    </row>
    <row r="46" spans="2:25" x14ac:dyDescent="0.3">
      <c r="B46" s="49">
        <v>26.19</v>
      </c>
      <c r="C46" s="50">
        <v>26.2</v>
      </c>
      <c r="D46" s="128"/>
      <c r="E46" s="128"/>
      <c r="T46" s="49">
        <v>1</v>
      </c>
      <c r="U46" s="130">
        <v>25.32</v>
      </c>
      <c r="V46" s="130">
        <v>82</v>
      </c>
      <c r="W46" s="156"/>
      <c r="X46" s="130"/>
      <c r="Y46" s="50"/>
    </row>
    <row r="47" spans="2:25" x14ac:dyDescent="0.3">
      <c r="B47" s="49">
        <v>19.809999999999999</v>
      </c>
      <c r="C47" s="50">
        <v>25.05</v>
      </c>
      <c r="D47" s="128"/>
      <c r="E47" s="128"/>
      <c r="T47" s="49">
        <v>1</v>
      </c>
      <c r="U47" s="130">
        <v>25.37</v>
      </c>
      <c r="V47" s="130">
        <v>83.5</v>
      </c>
      <c r="W47" s="156"/>
      <c r="X47" s="130"/>
      <c r="Y47" s="50"/>
    </row>
    <row r="48" spans="2:25" x14ac:dyDescent="0.3">
      <c r="B48" s="49">
        <v>25.06</v>
      </c>
      <c r="C48" s="50">
        <v>26.2</v>
      </c>
      <c r="D48" s="128"/>
      <c r="E48" s="128"/>
      <c r="T48" s="49">
        <v>1</v>
      </c>
      <c r="U48" s="130">
        <v>25.49</v>
      </c>
      <c r="V48" s="130">
        <v>85</v>
      </c>
      <c r="W48" s="156"/>
      <c r="X48" s="130"/>
      <c r="Y48" s="50"/>
    </row>
    <row r="49" spans="2:25" x14ac:dyDescent="0.3">
      <c r="B49" s="49">
        <v>20.63</v>
      </c>
      <c r="C49" s="50">
        <v>24.41</v>
      </c>
      <c r="D49" s="128"/>
      <c r="E49" s="128"/>
      <c r="T49" s="49">
        <v>1</v>
      </c>
      <c r="U49" s="130">
        <v>26.04</v>
      </c>
      <c r="V49" s="130">
        <v>90</v>
      </c>
      <c r="W49" s="156"/>
      <c r="X49" s="130"/>
      <c r="Y49" s="50"/>
    </row>
    <row r="50" spans="2:25" x14ac:dyDescent="0.3">
      <c r="B50" s="49">
        <v>23.95</v>
      </c>
      <c r="C50" s="50">
        <v>21.95</v>
      </c>
      <c r="D50" s="128"/>
      <c r="E50" s="128"/>
      <c r="T50" s="49">
        <v>1</v>
      </c>
      <c r="U50" s="130">
        <v>26.19</v>
      </c>
      <c r="V50" s="130">
        <v>91</v>
      </c>
      <c r="W50" s="156"/>
      <c r="X50" s="130"/>
      <c r="Y50" s="50"/>
    </row>
    <row r="51" spans="2:25" x14ac:dyDescent="0.3">
      <c r="B51" s="49">
        <v>22.1</v>
      </c>
      <c r="C51" s="50">
        <v>22.56</v>
      </c>
      <c r="D51" s="128"/>
      <c r="E51" s="128"/>
      <c r="T51" s="49">
        <v>1</v>
      </c>
      <c r="U51" s="130">
        <v>26.57</v>
      </c>
      <c r="V51" s="130">
        <v>94</v>
      </c>
      <c r="W51" s="156"/>
      <c r="X51" s="130"/>
      <c r="Y51" s="50"/>
    </row>
    <row r="52" spans="2:25" x14ac:dyDescent="0.3">
      <c r="B52" s="49">
        <v>24.91</v>
      </c>
      <c r="C52" s="50">
        <v>20.309999999999999</v>
      </c>
      <c r="D52" s="128"/>
      <c r="E52" s="128"/>
      <c r="T52" s="49">
        <v>1</v>
      </c>
      <c r="U52" s="130">
        <v>26.71</v>
      </c>
      <c r="V52" s="130">
        <v>95</v>
      </c>
      <c r="W52" s="156"/>
      <c r="X52" s="130"/>
      <c r="Y52" s="50"/>
    </row>
    <row r="53" spans="2:25" ht="15" thickBot="1" x14ac:dyDescent="0.35">
      <c r="B53" s="52">
        <v>21.41</v>
      </c>
      <c r="C53" s="51">
        <v>23.43</v>
      </c>
      <c r="D53" s="128"/>
      <c r="E53" s="128"/>
      <c r="T53" s="49">
        <v>1</v>
      </c>
      <c r="U53" s="130">
        <v>26.76</v>
      </c>
      <c r="V53" s="130">
        <v>96</v>
      </c>
      <c r="W53" s="156"/>
      <c r="X53" s="130"/>
      <c r="Y53" s="50"/>
    </row>
    <row r="54" spans="2:25" x14ac:dyDescent="0.3">
      <c r="T54" s="49">
        <v>2</v>
      </c>
      <c r="U54" s="130">
        <v>20.309999999999999</v>
      </c>
      <c r="V54" s="130">
        <v>9.5</v>
      </c>
      <c r="W54" s="156"/>
      <c r="X54" s="130"/>
      <c r="Y54" s="50"/>
    </row>
    <row r="55" spans="2:25" x14ac:dyDescent="0.3">
      <c r="T55" s="49">
        <v>2</v>
      </c>
      <c r="U55" s="130">
        <v>20.309999999999999</v>
      </c>
      <c r="V55" s="130">
        <v>9.5</v>
      </c>
      <c r="W55" s="156"/>
      <c r="X55" s="130"/>
      <c r="Y55" s="50"/>
    </row>
    <row r="56" spans="2:25" x14ac:dyDescent="0.3">
      <c r="T56" s="49">
        <v>2</v>
      </c>
      <c r="U56" s="130">
        <v>20.95</v>
      </c>
      <c r="V56" s="130">
        <v>13</v>
      </c>
      <c r="W56" s="156"/>
      <c r="X56" s="130"/>
      <c r="Y56" s="50"/>
    </row>
    <row r="57" spans="2:25" x14ac:dyDescent="0.3">
      <c r="T57" s="49">
        <v>2</v>
      </c>
      <c r="U57" s="130">
        <v>21.4</v>
      </c>
      <c r="V57" s="130">
        <v>19</v>
      </c>
      <c r="W57" s="156"/>
      <c r="X57" s="130"/>
      <c r="Y57" s="50"/>
    </row>
    <row r="58" spans="2:25" x14ac:dyDescent="0.3">
      <c r="T58" s="49">
        <v>2</v>
      </c>
      <c r="U58" s="130">
        <v>21.75</v>
      </c>
      <c r="V58" s="130">
        <v>23</v>
      </c>
      <c r="W58" s="156"/>
      <c r="X58" s="130"/>
      <c r="Y58" s="50"/>
    </row>
    <row r="59" spans="2:25" x14ac:dyDescent="0.3">
      <c r="T59" s="49">
        <v>2</v>
      </c>
      <c r="U59" s="130">
        <v>21.85</v>
      </c>
      <c r="V59" s="130">
        <v>26</v>
      </c>
      <c r="W59" s="156"/>
      <c r="X59" s="130"/>
      <c r="Y59" s="50"/>
    </row>
    <row r="60" spans="2:25" x14ac:dyDescent="0.3">
      <c r="T60" s="49">
        <v>2</v>
      </c>
      <c r="U60" s="130">
        <v>21.95</v>
      </c>
      <c r="V60" s="130">
        <v>27</v>
      </c>
      <c r="W60" s="156"/>
      <c r="X60" s="130"/>
      <c r="Y60" s="50"/>
    </row>
    <row r="61" spans="2:25" x14ac:dyDescent="0.3">
      <c r="T61" s="49">
        <v>2</v>
      </c>
      <c r="U61" s="130">
        <v>22.05</v>
      </c>
      <c r="V61" s="130">
        <v>28</v>
      </c>
      <c r="W61" s="156"/>
      <c r="X61" s="130"/>
      <c r="Y61" s="50"/>
    </row>
    <row r="62" spans="2:25" x14ac:dyDescent="0.3">
      <c r="T62" s="49">
        <v>2</v>
      </c>
      <c r="U62" s="130">
        <v>22.14</v>
      </c>
      <c r="V62" s="130">
        <v>30</v>
      </c>
      <c r="W62" s="156"/>
      <c r="X62" s="130"/>
      <c r="Y62" s="50"/>
    </row>
    <row r="63" spans="2:25" x14ac:dyDescent="0.3">
      <c r="T63" s="49">
        <v>2</v>
      </c>
      <c r="U63" s="130">
        <v>22.15</v>
      </c>
      <c r="V63" s="130">
        <v>31</v>
      </c>
      <c r="W63" s="156"/>
      <c r="X63" s="130"/>
      <c r="Y63" s="50"/>
    </row>
    <row r="64" spans="2:25" x14ac:dyDescent="0.3">
      <c r="T64" s="49">
        <v>2</v>
      </c>
      <c r="U64" s="130">
        <v>22.56</v>
      </c>
      <c r="V64" s="130">
        <v>34</v>
      </c>
      <c r="W64" s="156"/>
      <c r="X64" s="130"/>
      <c r="Y64" s="50"/>
    </row>
    <row r="65" spans="20:25" x14ac:dyDescent="0.3">
      <c r="T65" s="49">
        <v>2</v>
      </c>
      <c r="U65" s="130">
        <v>22.57</v>
      </c>
      <c r="V65" s="130">
        <v>35.5</v>
      </c>
      <c r="W65" s="156"/>
      <c r="X65" s="130"/>
      <c r="Y65" s="50"/>
    </row>
    <row r="66" spans="20:25" x14ac:dyDescent="0.3">
      <c r="T66" s="49">
        <v>2</v>
      </c>
      <c r="U66" s="130">
        <v>22.79</v>
      </c>
      <c r="V66" s="130">
        <v>39</v>
      </c>
      <c r="W66" s="156"/>
      <c r="X66" s="130"/>
      <c r="Y66" s="50"/>
    </row>
    <row r="67" spans="20:25" x14ac:dyDescent="0.3">
      <c r="T67" s="49">
        <v>2</v>
      </c>
      <c r="U67" s="130">
        <v>22.95</v>
      </c>
      <c r="V67" s="130">
        <v>41</v>
      </c>
      <c r="W67" s="156"/>
      <c r="X67" s="130"/>
      <c r="Y67" s="50"/>
    </row>
    <row r="68" spans="20:25" x14ac:dyDescent="0.3">
      <c r="T68" s="49">
        <v>2</v>
      </c>
      <c r="U68" s="130">
        <v>23.01</v>
      </c>
      <c r="V68" s="130">
        <v>42</v>
      </c>
      <c r="W68" s="156"/>
      <c r="X68" s="130"/>
      <c r="Y68" s="50"/>
    </row>
    <row r="69" spans="20:25" x14ac:dyDescent="0.3">
      <c r="T69" s="49">
        <v>2</v>
      </c>
      <c r="U69" s="130">
        <v>23.05</v>
      </c>
      <c r="V69" s="130">
        <v>43</v>
      </c>
      <c r="W69" s="156"/>
      <c r="X69" s="130"/>
      <c r="Y69" s="50"/>
    </row>
    <row r="70" spans="20:25" x14ac:dyDescent="0.3">
      <c r="T70" s="49">
        <v>2</v>
      </c>
      <c r="U70" s="130">
        <v>23.11</v>
      </c>
      <c r="V70" s="130">
        <v>44</v>
      </c>
      <c r="W70" s="156"/>
      <c r="X70" s="130"/>
      <c r="Y70" s="50"/>
    </row>
    <row r="71" spans="20:25" x14ac:dyDescent="0.3">
      <c r="T71" s="49">
        <v>2</v>
      </c>
      <c r="U71" s="130">
        <v>23.18</v>
      </c>
      <c r="V71" s="130">
        <v>46</v>
      </c>
      <c r="W71" s="156"/>
      <c r="X71" s="130"/>
      <c r="Y71" s="50"/>
    </row>
    <row r="72" spans="20:25" x14ac:dyDescent="0.3">
      <c r="T72" s="49">
        <v>2</v>
      </c>
      <c r="U72" s="130">
        <v>23.43</v>
      </c>
      <c r="V72" s="130">
        <v>47</v>
      </c>
      <c r="W72" s="156"/>
      <c r="X72" s="130"/>
      <c r="Y72" s="50"/>
    </row>
    <row r="73" spans="20:25" x14ac:dyDescent="0.3">
      <c r="T73" s="49">
        <v>2</v>
      </c>
      <c r="U73" s="130">
        <v>23.69</v>
      </c>
      <c r="V73" s="130">
        <v>49</v>
      </c>
      <c r="W73" s="156"/>
      <c r="X73" s="130"/>
      <c r="Y73" s="50"/>
    </row>
    <row r="74" spans="20:25" x14ac:dyDescent="0.3">
      <c r="T74" s="49">
        <v>2</v>
      </c>
      <c r="U74" s="130">
        <v>23.7</v>
      </c>
      <c r="V74" s="130">
        <v>50.5</v>
      </c>
      <c r="W74" s="156"/>
      <c r="X74" s="130"/>
      <c r="Y74" s="50"/>
    </row>
    <row r="75" spans="20:25" x14ac:dyDescent="0.3">
      <c r="T75" s="49">
        <v>2</v>
      </c>
      <c r="U75" s="130">
        <v>23.7</v>
      </c>
      <c r="V75" s="130">
        <v>50.5</v>
      </c>
      <c r="W75" s="156"/>
      <c r="X75" s="130"/>
      <c r="Y75" s="50"/>
    </row>
    <row r="76" spans="20:25" x14ac:dyDescent="0.3">
      <c r="T76" s="49">
        <v>2</v>
      </c>
      <c r="U76" s="130">
        <v>23.71</v>
      </c>
      <c r="V76" s="130">
        <v>52</v>
      </c>
      <c r="W76" s="156"/>
      <c r="X76" s="130"/>
      <c r="Y76" s="50"/>
    </row>
    <row r="77" spans="20:25" x14ac:dyDescent="0.3">
      <c r="T77" s="49">
        <v>2</v>
      </c>
      <c r="U77" s="130">
        <v>23.76</v>
      </c>
      <c r="V77" s="130">
        <v>53</v>
      </c>
      <c r="W77" s="156"/>
      <c r="X77" s="130"/>
      <c r="Y77" s="50"/>
    </row>
    <row r="78" spans="20:25" x14ac:dyDescent="0.3">
      <c r="T78" s="49">
        <v>2</v>
      </c>
      <c r="U78" s="130">
        <v>23.99</v>
      </c>
      <c r="V78" s="130">
        <v>56</v>
      </c>
      <c r="W78" s="156"/>
      <c r="X78" s="130"/>
      <c r="Y78" s="50"/>
    </row>
    <row r="79" spans="20:25" x14ac:dyDescent="0.3">
      <c r="T79" s="49">
        <v>2</v>
      </c>
      <c r="U79" s="130">
        <v>24.03</v>
      </c>
      <c r="V79" s="130">
        <v>57</v>
      </c>
      <c r="W79" s="156"/>
      <c r="X79" s="130"/>
      <c r="Y79" s="50"/>
    </row>
    <row r="80" spans="20:25" x14ac:dyDescent="0.3">
      <c r="T80" s="49">
        <v>2</v>
      </c>
      <c r="U80" s="130">
        <v>24.07</v>
      </c>
      <c r="V80" s="130">
        <v>58</v>
      </c>
      <c r="W80" s="156"/>
      <c r="X80" s="130"/>
      <c r="Y80" s="50"/>
    </row>
    <row r="81" spans="20:25" x14ac:dyDescent="0.3">
      <c r="T81" s="49">
        <v>2</v>
      </c>
      <c r="U81" s="130">
        <v>24.14</v>
      </c>
      <c r="V81" s="130">
        <v>59</v>
      </c>
      <c r="W81" s="156"/>
      <c r="X81" s="130"/>
      <c r="Y81" s="50"/>
    </row>
    <row r="82" spans="20:25" x14ac:dyDescent="0.3">
      <c r="T82" s="49">
        <v>2</v>
      </c>
      <c r="U82" s="130">
        <v>24.38</v>
      </c>
      <c r="V82" s="130">
        <v>60</v>
      </c>
      <c r="W82" s="156"/>
      <c r="X82" s="130"/>
      <c r="Y82" s="50"/>
    </row>
    <row r="83" spans="20:25" x14ac:dyDescent="0.3">
      <c r="T83" s="49">
        <v>2</v>
      </c>
      <c r="U83" s="130">
        <v>24.41</v>
      </c>
      <c r="V83" s="130">
        <v>61</v>
      </c>
      <c r="W83" s="156"/>
      <c r="X83" s="130"/>
      <c r="Y83" s="50"/>
    </row>
    <row r="84" spans="20:25" x14ac:dyDescent="0.3">
      <c r="T84" s="49">
        <v>2</v>
      </c>
      <c r="U84" s="130">
        <v>24.45</v>
      </c>
      <c r="V84" s="130">
        <v>62</v>
      </c>
      <c r="W84" s="156"/>
      <c r="X84" s="130"/>
      <c r="Y84" s="50"/>
    </row>
    <row r="85" spans="20:25" x14ac:dyDescent="0.3">
      <c r="T85" s="49">
        <v>2</v>
      </c>
      <c r="U85" s="130">
        <v>24.56</v>
      </c>
      <c r="V85" s="130">
        <v>63</v>
      </c>
      <c r="W85" s="156"/>
      <c r="X85" s="130"/>
      <c r="Y85" s="50"/>
    </row>
    <row r="86" spans="20:25" x14ac:dyDescent="0.3">
      <c r="T86" s="49">
        <v>2</v>
      </c>
      <c r="U86" s="130">
        <v>24.87</v>
      </c>
      <c r="V86" s="130">
        <v>69</v>
      </c>
      <c r="W86" s="156"/>
      <c r="X86" s="130"/>
      <c r="Y86" s="50"/>
    </row>
    <row r="87" spans="20:25" x14ac:dyDescent="0.3">
      <c r="T87" s="49">
        <v>2</v>
      </c>
      <c r="U87" s="130">
        <v>24.88</v>
      </c>
      <c r="V87" s="130">
        <v>70</v>
      </c>
      <c r="W87" s="156"/>
      <c r="X87" s="130"/>
      <c r="Y87" s="50"/>
    </row>
    <row r="88" spans="20:25" x14ac:dyDescent="0.3">
      <c r="T88" s="49">
        <v>2</v>
      </c>
      <c r="U88" s="130">
        <v>24.92</v>
      </c>
      <c r="V88" s="130">
        <v>72</v>
      </c>
      <c r="W88" s="156"/>
      <c r="X88" s="130"/>
      <c r="Y88" s="50"/>
    </row>
    <row r="89" spans="20:25" x14ac:dyDescent="0.3">
      <c r="T89" s="49">
        <v>2</v>
      </c>
      <c r="U89" s="130">
        <v>25.05</v>
      </c>
      <c r="V89" s="130">
        <v>75</v>
      </c>
      <c r="W89" s="156"/>
      <c r="X89" s="130"/>
      <c r="Y89" s="50"/>
    </row>
    <row r="90" spans="20:25" x14ac:dyDescent="0.3">
      <c r="T90" s="49">
        <v>2</v>
      </c>
      <c r="U90" s="130">
        <v>25.07</v>
      </c>
      <c r="V90" s="130">
        <v>77</v>
      </c>
      <c r="W90" s="156"/>
      <c r="X90" s="130"/>
      <c r="Y90" s="50"/>
    </row>
    <row r="91" spans="20:25" x14ac:dyDescent="0.3">
      <c r="T91" s="49">
        <v>2</v>
      </c>
      <c r="U91" s="130">
        <v>25.24</v>
      </c>
      <c r="V91" s="130">
        <v>79</v>
      </c>
      <c r="W91" s="156"/>
      <c r="X91" s="130"/>
      <c r="Y91" s="50"/>
    </row>
    <row r="92" spans="20:25" x14ac:dyDescent="0.3">
      <c r="T92" s="49">
        <v>2</v>
      </c>
      <c r="U92" s="130">
        <v>25.27</v>
      </c>
      <c r="V92" s="130">
        <v>80</v>
      </c>
      <c r="W92" s="156"/>
      <c r="X92" s="130"/>
      <c r="Y92" s="50"/>
    </row>
    <row r="93" spans="20:25" x14ac:dyDescent="0.3">
      <c r="T93" s="49">
        <v>2</v>
      </c>
      <c r="U93" s="130">
        <v>25.37</v>
      </c>
      <c r="V93" s="130">
        <v>83.5</v>
      </c>
      <c r="W93" s="156"/>
      <c r="X93" s="130"/>
      <c r="Y93" s="50"/>
    </row>
    <row r="94" spans="20:25" x14ac:dyDescent="0.3">
      <c r="T94" s="49">
        <v>2</v>
      </c>
      <c r="U94" s="130">
        <v>25.61</v>
      </c>
      <c r="V94" s="130">
        <v>86</v>
      </c>
      <c r="W94" s="156"/>
      <c r="X94" s="130"/>
      <c r="Y94" s="50"/>
    </row>
    <row r="95" spans="20:25" x14ac:dyDescent="0.3">
      <c r="T95" s="49">
        <v>2</v>
      </c>
      <c r="U95" s="130">
        <v>25.9</v>
      </c>
      <c r="V95" s="130">
        <v>87</v>
      </c>
      <c r="W95" s="156"/>
      <c r="X95" s="130"/>
      <c r="Y95" s="50"/>
    </row>
    <row r="96" spans="20:25" x14ac:dyDescent="0.3">
      <c r="T96" s="49">
        <v>2</v>
      </c>
      <c r="U96" s="130">
        <v>25.92</v>
      </c>
      <c r="V96" s="130">
        <v>88</v>
      </c>
      <c r="W96" s="156"/>
      <c r="X96" s="130"/>
      <c r="Y96" s="50"/>
    </row>
    <row r="97" spans="20:25" x14ac:dyDescent="0.3">
      <c r="T97" s="49">
        <v>2</v>
      </c>
      <c r="U97" s="130">
        <v>25.96</v>
      </c>
      <c r="V97" s="130">
        <v>89</v>
      </c>
      <c r="W97" s="156"/>
      <c r="X97" s="130"/>
      <c r="Y97" s="50"/>
    </row>
    <row r="98" spans="20:25" x14ac:dyDescent="0.3">
      <c r="T98" s="49">
        <v>2</v>
      </c>
      <c r="U98" s="130">
        <v>26.2</v>
      </c>
      <c r="V98" s="130">
        <v>92.5</v>
      </c>
      <c r="W98" s="156"/>
      <c r="X98" s="130"/>
      <c r="Y98" s="50"/>
    </row>
    <row r="99" spans="20:25" x14ac:dyDescent="0.3">
      <c r="T99" s="49">
        <v>2</v>
      </c>
      <c r="U99" s="130">
        <v>26.2</v>
      </c>
      <c r="V99" s="130">
        <v>92.5</v>
      </c>
      <c r="W99" s="156"/>
      <c r="X99" s="130"/>
      <c r="Y99" s="50"/>
    </row>
    <row r="100" spans="20:25" x14ac:dyDescent="0.3">
      <c r="T100" s="49">
        <v>2</v>
      </c>
      <c r="U100" s="130">
        <v>26.93</v>
      </c>
      <c r="V100" s="130">
        <v>97</v>
      </c>
      <c r="W100" s="156"/>
      <c r="X100" s="130"/>
      <c r="Y100" s="50"/>
    </row>
    <row r="101" spans="20:25" x14ac:dyDescent="0.3">
      <c r="T101" s="49">
        <v>2</v>
      </c>
      <c r="U101" s="130">
        <v>27.56</v>
      </c>
      <c r="V101" s="130">
        <v>98</v>
      </c>
      <c r="W101" s="156"/>
      <c r="X101" s="130"/>
      <c r="Y101" s="50"/>
    </row>
    <row r="102" spans="20:25" x14ac:dyDescent="0.3">
      <c r="T102" s="49">
        <v>2</v>
      </c>
      <c r="U102" s="130">
        <v>27.71</v>
      </c>
      <c r="V102" s="130">
        <v>99</v>
      </c>
      <c r="W102" s="156"/>
      <c r="X102" s="130"/>
      <c r="Y102" s="50"/>
    </row>
    <row r="103" spans="20:25" ht="15" thickBot="1" x14ac:dyDescent="0.35">
      <c r="T103" s="52">
        <v>2</v>
      </c>
      <c r="U103" s="139">
        <v>28.08</v>
      </c>
      <c r="V103" s="139">
        <v>100</v>
      </c>
      <c r="W103" s="160"/>
      <c r="X103" s="139"/>
      <c r="Y103" s="51"/>
    </row>
  </sheetData>
  <autoFilter ref="T3:V3" xr:uid="{0F3241CB-B343-452C-9B83-2A1845BBA303}">
    <sortState xmlns:xlrd2="http://schemas.microsoft.com/office/spreadsheetml/2017/richdata2" ref="T4:V103">
      <sortCondition ref="T3"/>
    </sortState>
  </autoFilter>
  <mergeCells count="24">
    <mergeCell ref="AE2:AF2"/>
    <mergeCell ref="Q13:R13"/>
    <mergeCell ref="Q14:R14"/>
    <mergeCell ref="T2:Y2"/>
    <mergeCell ref="F12:G12"/>
    <mergeCell ref="F10:G10"/>
    <mergeCell ref="F11:G11"/>
    <mergeCell ref="P17:R17"/>
    <mergeCell ref="P18:R18"/>
    <mergeCell ref="AE8:AF9"/>
    <mergeCell ref="AA12:AC12"/>
    <mergeCell ref="P10:R10"/>
    <mergeCell ref="AA7:AC11"/>
    <mergeCell ref="P12:R12"/>
    <mergeCell ref="P8:R9"/>
    <mergeCell ref="AE12:AL12"/>
    <mergeCell ref="AE14:AL14"/>
    <mergeCell ref="AE15:AL16"/>
    <mergeCell ref="P16:R16"/>
    <mergeCell ref="B2:C2"/>
    <mergeCell ref="I3:K3"/>
    <mergeCell ref="L3:N3"/>
    <mergeCell ref="E2:N2"/>
    <mergeCell ref="F8:G8"/>
  </mergeCells>
  <pageMargins left="0.7" right="0.7" top="0.78740157499999996" bottom="0.78740157499999996" header="0.3" footer="0.3"/>
  <pageSetup paperSize="9" orientation="portrait" horizontalDpi="0" verticalDpi="0" r:id="rId1"/>
  <ignoredErrors>
    <ignoredError sqref="Y8:Y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F7DA-FC7F-4BE0-AAE4-49E8767A05D5}">
  <dimension ref="B1:S70"/>
  <sheetViews>
    <sheetView topLeftCell="A19" workbookViewId="0">
      <selection activeCell="N36" sqref="N36"/>
    </sheetView>
  </sheetViews>
  <sheetFormatPr defaultRowHeight="14.4" x14ac:dyDescent="0.3"/>
  <sheetData>
    <row r="1" spans="2:14" ht="15" thickBot="1" x14ac:dyDescent="0.35"/>
    <row r="2" spans="2:14" ht="14.4" customHeight="1" x14ac:dyDescent="0.3">
      <c r="B2" s="262" t="s">
        <v>116</v>
      </c>
      <c r="C2" s="262"/>
      <c r="D2" s="262"/>
      <c r="E2" s="262"/>
      <c r="F2" s="262"/>
      <c r="G2" s="262"/>
      <c r="I2" s="262" t="s">
        <v>117</v>
      </c>
      <c r="J2" s="262"/>
      <c r="K2" s="262"/>
      <c r="L2" s="262"/>
      <c r="M2" s="262"/>
      <c r="N2" s="262"/>
    </row>
    <row r="3" spans="2:14" ht="14.4" customHeight="1" x14ac:dyDescent="0.3">
      <c r="B3" s="263"/>
      <c r="C3" s="263"/>
      <c r="D3" s="263"/>
      <c r="E3" s="263"/>
      <c r="F3" s="263"/>
      <c r="G3" s="263"/>
      <c r="I3" s="263"/>
      <c r="J3" s="263"/>
      <c r="K3" s="263"/>
      <c r="L3" s="263"/>
      <c r="M3" s="263"/>
      <c r="N3" s="263"/>
    </row>
    <row r="4" spans="2:14" ht="15" thickBot="1" x14ac:dyDescent="0.35">
      <c r="I4" s="357"/>
      <c r="J4" s="357"/>
      <c r="K4" s="357"/>
      <c r="L4" s="357"/>
      <c r="M4" s="357"/>
      <c r="N4" s="357"/>
    </row>
    <row r="5" spans="2:14" ht="15" thickBot="1" x14ac:dyDescent="0.35">
      <c r="B5" s="53"/>
      <c r="C5" s="265" t="s">
        <v>26</v>
      </c>
      <c r="D5" s="266"/>
      <c r="E5" s="266"/>
      <c r="F5" s="267"/>
      <c r="G5" s="277" t="s">
        <v>10</v>
      </c>
      <c r="H5" s="186"/>
      <c r="I5" s="123" t="s">
        <v>32</v>
      </c>
      <c r="J5" s="91" t="s">
        <v>22</v>
      </c>
      <c r="K5" s="92" t="s">
        <v>23</v>
      </c>
      <c r="L5" s="93" t="s">
        <v>24</v>
      </c>
      <c r="M5" s="99" t="s">
        <v>25</v>
      </c>
      <c r="N5" s="101" t="s">
        <v>10</v>
      </c>
    </row>
    <row r="6" spans="2:14" ht="15" thickBot="1" x14ac:dyDescent="0.35">
      <c r="B6" s="81" t="s">
        <v>27</v>
      </c>
      <c r="C6" s="91" t="s">
        <v>22</v>
      </c>
      <c r="D6" s="92" t="s">
        <v>23</v>
      </c>
      <c r="E6" s="93" t="s">
        <v>24</v>
      </c>
      <c r="F6" s="94" t="s">
        <v>25</v>
      </c>
      <c r="G6" s="278"/>
      <c r="H6" s="186"/>
      <c r="I6" s="84" t="s">
        <v>28</v>
      </c>
      <c r="J6" s="85">
        <f>COUNT(C7:C10)</f>
        <v>3</v>
      </c>
      <c r="K6" s="85">
        <f>COUNT(D7:D10)</f>
        <v>4</v>
      </c>
      <c r="L6" s="85">
        <f>COUNT(E7:E10)</f>
        <v>3</v>
      </c>
      <c r="M6" s="85">
        <f>COUNT(F7:F10)</f>
        <v>3</v>
      </c>
      <c r="N6" s="56">
        <f>SUM(J6:M6)</f>
        <v>13</v>
      </c>
    </row>
    <row r="7" spans="2:14" x14ac:dyDescent="0.3">
      <c r="B7" s="268" t="s">
        <v>28</v>
      </c>
      <c r="C7" s="54">
        <v>6</v>
      </c>
      <c r="D7" s="55">
        <v>7</v>
      </c>
      <c r="E7" s="55">
        <v>8</v>
      </c>
      <c r="F7" s="56">
        <v>13</v>
      </c>
      <c r="G7" s="279">
        <f>SUM(C7:F10)</f>
        <v>148</v>
      </c>
      <c r="H7" s="25"/>
      <c r="I7" s="86" t="s">
        <v>29</v>
      </c>
      <c r="J7" s="87">
        <f>COUNT(C11:C14)</f>
        <v>3</v>
      </c>
      <c r="K7" s="87">
        <f>COUNT(D11:D14)</f>
        <v>3</v>
      </c>
      <c r="L7" s="87">
        <f>COUNT(E11:E14)</f>
        <v>4</v>
      </c>
      <c r="M7" s="87">
        <f>COUNT(F11:F14)</f>
        <v>2</v>
      </c>
      <c r="N7" s="88">
        <f t="shared" ref="N7:N8" si="0">SUM(J7:M7)</f>
        <v>12</v>
      </c>
    </row>
    <row r="8" spans="2:14" x14ac:dyDescent="0.3">
      <c r="B8" s="269"/>
      <c r="C8" s="57">
        <v>8</v>
      </c>
      <c r="D8" s="58">
        <v>8</v>
      </c>
      <c r="E8" s="58">
        <v>7</v>
      </c>
      <c r="F8" s="59">
        <v>21</v>
      </c>
      <c r="G8" s="279"/>
      <c r="H8" s="25"/>
      <c r="I8" s="89" t="s">
        <v>30</v>
      </c>
      <c r="J8" s="90">
        <f>COUNT(C15:C19)</f>
        <v>3</v>
      </c>
      <c r="K8" s="90">
        <f>COUNT(D15:D19)</f>
        <v>4</v>
      </c>
      <c r="L8" s="90">
        <f>COUNT(E15:E19)</f>
        <v>3</v>
      </c>
      <c r="M8" s="90">
        <f>COUNT(F15:F19)</f>
        <v>5</v>
      </c>
      <c r="N8" s="77">
        <f t="shared" si="0"/>
        <v>15</v>
      </c>
    </row>
    <row r="9" spans="2:14" ht="15" thickBot="1" x14ac:dyDescent="0.35">
      <c r="B9" s="269"/>
      <c r="C9" s="57">
        <v>11</v>
      </c>
      <c r="D9" s="58">
        <v>12</v>
      </c>
      <c r="E9" s="58">
        <v>20</v>
      </c>
      <c r="F9" s="189">
        <v>17</v>
      </c>
      <c r="G9" s="279"/>
      <c r="H9" s="25"/>
      <c r="I9" s="100" t="s">
        <v>10</v>
      </c>
      <c r="J9" s="98">
        <f>SUM(J6:J8)</f>
        <v>9</v>
      </c>
      <c r="K9" s="97">
        <f t="shared" ref="K9:N9" si="1">SUM(K6:K8)</f>
        <v>11</v>
      </c>
      <c r="L9" s="96">
        <f t="shared" si="1"/>
        <v>10</v>
      </c>
      <c r="M9" s="95">
        <f t="shared" si="1"/>
        <v>10</v>
      </c>
      <c r="N9" s="122">
        <f t="shared" si="1"/>
        <v>40</v>
      </c>
    </row>
    <row r="10" spans="2:14" ht="15" thickBot="1" x14ac:dyDescent="0.35">
      <c r="B10" s="270"/>
      <c r="C10" s="60"/>
      <c r="D10" s="61">
        <v>10</v>
      </c>
      <c r="E10" s="61"/>
      <c r="F10" s="62"/>
      <c r="G10" s="279"/>
      <c r="H10" s="25"/>
    </row>
    <row r="11" spans="2:14" ht="15" thickBot="1" x14ac:dyDescent="0.35">
      <c r="B11" s="271" t="s">
        <v>29</v>
      </c>
      <c r="C11" s="63">
        <v>8</v>
      </c>
      <c r="D11" s="64">
        <v>5</v>
      </c>
      <c r="E11" s="64">
        <v>10</v>
      </c>
      <c r="F11" s="65">
        <v>14</v>
      </c>
      <c r="G11" s="280">
        <f>SUM(C11:F14)</f>
        <v>132</v>
      </c>
      <c r="H11" s="185"/>
      <c r="I11" s="123" t="s">
        <v>33</v>
      </c>
      <c r="J11" s="91" t="s">
        <v>22</v>
      </c>
      <c r="K11" s="92" t="s">
        <v>23</v>
      </c>
      <c r="L11" s="93" t="s">
        <v>24</v>
      </c>
      <c r="M11" s="94" t="s">
        <v>25</v>
      </c>
    </row>
    <row r="12" spans="2:14" x14ac:dyDescent="0.3">
      <c r="B12" s="272"/>
      <c r="C12" s="66">
        <v>13</v>
      </c>
      <c r="D12" s="67">
        <v>11</v>
      </c>
      <c r="E12" s="67">
        <v>17</v>
      </c>
      <c r="F12" s="190">
        <v>16</v>
      </c>
      <c r="G12" s="280"/>
      <c r="H12" s="185"/>
      <c r="I12" s="84" t="s">
        <v>28</v>
      </c>
      <c r="J12" s="85">
        <f>SUM(C7:C10)</f>
        <v>25</v>
      </c>
      <c r="K12" s="85">
        <f>SUM(D7:D10)</f>
        <v>37</v>
      </c>
      <c r="L12" s="85">
        <f>SUM(E7:E10)</f>
        <v>35</v>
      </c>
      <c r="M12" s="103">
        <f>SUM(F7:F10)</f>
        <v>51</v>
      </c>
    </row>
    <row r="13" spans="2:14" x14ac:dyDescent="0.3">
      <c r="B13" s="272"/>
      <c r="C13" s="66">
        <v>7</v>
      </c>
      <c r="D13" s="67">
        <v>7</v>
      </c>
      <c r="E13" s="67">
        <v>11</v>
      </c>
      <c r="F13" s="68"/>
      <c r="G13" s="280"/>
      <c r="H13" s="185"/>
      <c r="I13" s="86" t="s">
        <v>29</v>
      </c>
      <c r="J13" s="87">
        <f>SUM(C11:C14)</f>
        <v>28</v>
      </c>
      <c r="K13" s="87">
        <f>SUM(D11:D14)</f>
        <v>23</v>
      </c>
      <c r="L13" s="87">
        <f>SUM(E11:E14)</f>
        <v>51</v>
      </c>
      <c r="M13" s="104">
        <f>SUM(F11:F14)</f>
        <v>30</v>
      </c>
    </row>
    <row r="14" spans="2:14" ht="15" thickBot="1" x14ac:dyDescent="0.35">
      <c r="B14" s="273"/>
      <c r="C14" s="69"/>
      <c r="D14" s="70"/>
      <c r="E14" s="70">
        <v>13</v>
      </c>
      <c r="F14" s="71"/>
      <c r="G14" s="280"/>
      <c r="H14" s="185"/>
      <c r="I14" s="105" t="s">
        <v>30</v>
      </c>
      <c r="J14" s="106">
        <f>SUM(C15:C19)</f>
        <v>21</v>
      </c>
      <c r="K14" s="106">
        <f>SUM(D15:D19)</f>
        <v>45</v>
      </c>
      <c r="L14" s="106">
        <f>SUM(E15:E19)</f>
        <v>44</v>
      </c>
      <c r="M14" s="107">
        <f>SUM(F15:F19)</f>
        <v>85</v>
      </c>
    </row>
    <row r="15" spans="2:14" x14ac:dyDescent="0.3">
      <c r="B15" s="274" t="s">
        <v>30</v>
      </c>
      <c r="C15" s="72">
        <v>7</v>
      </c>
      <c r="D15" s="73">
        <v>6</v>
      </c>
      <c r="E15" s="73">
        <v>12</v>
      </c>
      <c r="F15" s="74">
        <v>13</v>
      </c>
      <c r="G15" s="281">
        <f>SUM(C15:F19)</f>
        <v>195</v>
      </c>
      <c r="H15" s="25"/>
    </row>
    <row r="16" spans="2:14" x14ac:dyDescent="0.3">
      <c r="B16" s="275"/>
      <c r="C16" s="75">
        <v>8</v>
      </c>
      <c r="D16" s="76">
        <v>8</v>
      </c>
      <c r="E16" s="76">
        <v>17</v>
      </c>
      <c r="F16" s="77">
        <v>17</v>
      </c>
      <c r="G16" s="281"/>
      <c r="H16" s="25"/>
      <c r="I16" s="109" t="s">
        <v>17</v>
      </c>
      <c r="J16" s="76">
        <v>0.05</v>
      </c>
    </row>
    <row r="17" spans="2:19" x14ac:dyDescent="0.3">
      <c r="B17" s="275"/>
      <c r="C17" s="75">
        <v>6</v>
      </c>
      <c r="D17" s="76">
        <v>16</v>
      </c>
      <c r="E17" s="191">
        <v>15</v>
      </c>
      <c r="F17" s="77">
        <v>15</v>
      </c>
      <c r="G17" s="281"/>
      <c r="H17" s="25"/>
      <c r="I17" s="110" t="s">
        <v>34</v>
      </c>
      <c r="J17" s="76">
        <v>3</v>
      </c>
    </row>
    <row r="18" spans="2:19" x14ac:dyDescent="0.3">
      <c r="B18" s="275"/>
      <c r="C18" s="75"/>
      <c r="D18" s="76">
        <v>15</v>
      </c>
      <c r="E18" s="76"/>
      <c r="F18" s="77">
        <v>22</v>
      </c>
      <c r="G18" s="281"/>
      <c r="H18" s="25"/>
      <c r="I18" s="110" t="s">
        <v>35</v>
      </c>
      <c r="J18" s="76">
        <v>4</v>
      </c>
    </row>
    <row r="19" spans="2:19" ht="16.8" thickBot="1" x14ac:dyDescent="0.35">
      <c r="B19" s="276"/>
      <c r="C19" s="78"/>
      <c r="D19" s="79"/>
      <c r="E19" s="79"/>
      <c r="F19" s="80">
        <v>18</v>
      </c>
      <c r="G19" s="282"/>
      <c r="H19" s="25"/>
      <c r="I19" s="124" t="s">
        <v>36</v>
      </c>
      <c r="J19" s="76">
        <f>G20^2/N9</f>
        <v>5640.625</v>
      </c>
      <c r="L19" s="264" t="s">
        <v>37</v>
      </c>
      <c r="M19" s="264"/>
      <c r="N19" s="264"/>
      <c r="O19" s="264"/>
    </row>
    <row r="20" spans="2:19" ht="15" thickBot="1" x14ac:dyDescent="0.35">
      <c r="B20" s="108" t="s">
        <v>10</v>
      </c>
      <c r="C20" s="111">
        <f>SUM(C7:C19)</f>
        <v>74</v>
      </c>
      <c r="D20" s="112">
        <f t="shared" ref="D20:F20" si="2">SUM(D7:D19)</f>
        <v>105</v>
      </c>
      <c r="E20" s="113">
        <f t="shared" si="2"/>
        <v>130</v>
      </c>
      <c r="F20" s="114">
        <f t="shared" si="2"/>
        <v>166</v>
      </c>
      <c r="G20" s="102">
        <f>SUM(C20:F20)</f>
        <v>475</v>
      </c>
      <c r="H20" s="186"/>
    </row>
    <row r="21" spans="2:19" ht="15" thickBot="1" x14ac:dyDescent="0.35">
      <c r="H21" s="188"/>
      <c r="I21" s="115" t="s">
        <v>46</v>
      </c>
      <c r="J21" s="183" t="s">
        <v>45</v>
      </c>
      <c r="K21" s="183" t="s">
        <v>41</v>
      </c>
      <c r="L21" s="183" t="s">
        <v>42</v>
      </c>
      <c r="M21" s="183" t="s">
        <v>43</v>
      </c>
      <c r="N21" s="184" t="s">
        <v>44</v>
      </c>
    </row>
    <row r="22" spans="2:19" ht="14.4" customHeight="1" x14ac:dyDescent="0.3">
      <c r="B22" s="186"/>
      <c r="C22" s="187"/>
      <c r="D22" s="187"/>
      <c r="E22" s="187"/>
      <c r="F22" s="187"/>
      <c r="G22" s="187"/>
      <c r="H22" s="187"/>
      <c r="I22" s="125" t="s">
        <v>49</v>
      </c>
      <c r="J22" s="27">
        <f>J17-1</f>
        <v>2</v>
      </c>
      <c r="K22" s="28">
        <f>G7^2/N6 + G11^2/N7 + G15^2/N8 - J19</f>
        <v>31.298076923077133</v>
      </c>
      <c r="L22" s="28">
        <f>K22/J22</f>
        <v>15.649038461538566</v>
      </c>
      <c r="M22" s="118">
        <f>L22/L25</f>
        <v>1.1855866793860119</v>
      </c>
      <c r="N22" s="119">
        <f>FINV(J16,J22,J25)</f>
        <v>3.3403855582377591</v>
      </c>
    </row>
    <row r="23" spans="2:19" x14ac:dyDescent="0.3">
      <c r="B23" s="187"/>
      <c r="C23" s="25"/>
      <c r="D23" s="25"/>
      <c r="E23" s="25"/>
      <c r="F23" s="25"/>
      <c r="G23" s="25"/>
      <c r="H23" s="25"/>
      <c r="I23" s="126" t="s">
        <v>50</v>
      </c>
      <c r="J23" s="26">
        <f>J18-1</f>
        <v>3</v>
      </c>
      <c r="K23" s="181">
        <f>C20^2/J9 + D20^2/K9 +E20^2/L9 + F20^2/M9 - J19</f>
        <v>415.69217171717173</v>
      </c>
      <c r="L23" s="181">
        <f t="shared" ref="L23:L25" si="3">K23/J23</f>
        <v>138.56405723905723</v>
      </c>
      <c r="M23" s="116">
        <f>L23/L25</f>
        <v>10.497750446972553</v>
      </c>
      <c r="N23" s="117">
        <f>FINV(J16,J23,J25)</f>
        <v>2.9466852660172647</v>
      </c>
    </row>
    <row r="24" spans="2:19" x14ac:dyDescent="0.3">
      <c r="B24" s="187"/>
      <c r="C24" s="25"/>
      <c r="D24" s="25"/>
      <c r="E24" s="25"/>
      <c r="F24" s="25"/>
      <c r="G24" s="25"/>
      <c r="H24" s="25"/>
      <c r="I24" s="126" t="s">
        <v>38</v>
      </c>
      <c r="J24" s="26">
        <f>J22*J23</f>
        <v>6</v>
      </c>
      <c r="K24" s="181">
        <f>J12^2/J6 +K12^2/K6 + L12^2/L6 + M12^2/M6 + J13^2/J7 + K13^2/K7 + L13^2/L7 + M13^2/M7 + J14^2/J8 + K14^2/K8 + L14^2/L8 + M14^2/M8 - J19 - K22 - K23</f>
        <v>19.801418026418105</v>
      </c>
      <c r="L24" s="181">
        <f t="shared" si="3"/>
        <v>3.3002363377363508</v>
      </c>
      <c r="M24" s="120">
        <f>L24/L25</f>
        <v>0.25002917913853773</v>
      </c>
      <c r="N24" s="121">
        <f>FINV(J16,J24,J25)</f>
        <v>2.4452593950893835</v>
      </c>
    </row>
    <row r="25" spans="2:19" x14ac:dyDescent="0.3">
      <c r="B25" s="187"/>
      <c r="C25" s="25"/>
      <c r="D25" s="25"/>
      <c r="E25" s="25"/>
      <c r="F25" s="25"/>
      <c r="G25" s="25"/>
      <c r="H25" s="25"/>
      <c r="I25" s="126" t="s">
        <v>39</v>
      </c>
      <c r="J25" s="26">
        <f>N9-J17*J18</f>
        <v>28</v>
      </c>
      <c r="K25" s="181">
        <f>K26-K24-K23-K22</f>
        <v>369.58333333333303</v>
      </c>
      <c r="L25" s="181">
        <f t="shared" si="3"/>
        <v>13.19940476190475</v>
      </c>
      <c r="M25" s="181"/>
      <c r="N25" s="182"/>
    </row>
    <row r="26" spans="2:19" ht="15" thickBot="1" x14ac:dyDescent="0.35">
      <c r="B26" s="187"/>
      <c r="C26" s="25"/>
      <c r="D26" s="25"/>
      <c r="E26" s="25"/>
      <c r="F26" s="25"/>
      <c r="G26" s="25"/>
      <c r="H26" s="25"/>
      <c r="I26" s="127" t="s">
        <v>40</v>
      </c>
      <c r="J26" s="83">
        <f>N9-1</f>
        <v>39</v>
      </c>
      <c r="K26" s="14">
        <f>SUMSQ(C7:F19) - J19</f>
        <v>836.375</v>
      </c>
      <c r="L26" s="14"/>
      <c r="M26" s="14"/>
      <c r="N26" s="15"/>
    </row>
    <row r="27" spans="2:19" ht="15" thickBot="1" x14ac:dyDescent="0.35">
      <c r="B27" s="187"/>
      <c r="C27" s="25"/>
      <c r="D27" s="25"/>
      <c r="E27" s="25"/>
      <c r="F27" s="25"/>
      <c r="G27" s="25"/>
      <c r="H27" s="25"/>
    </row>
    <row r="28" spans="2:19" x14ac:dyDescent="0.3">
      <c r="B28" s="256" t="s">
        <v>122</v>
      </c>
      <c r="C28" s="257"/>
      <c r="D28" s="258"/>
      <c r="E28" s="296"/>
      <c r="F28" s="283" t="s">
        <v>118</v>
      </c>
      <c r="G28" s="284"/>
      <c r="H28" s="284"/>
      <c r="I28" s="284"/>
      <c r="J28" s="284"/>
      <c r="K28" s="284"/>
      <c r="L28" s="284"/>
      <c r="M28" s="284"/>
      <c r="N28" s="284"/>
      <c r="O28" s="284"/>
      <c r="P28" s="284"/>
      <c r="Q28" s="284"/>
      <c r="R28" s="284"/>
      <c r="S28" s="285"/>
    </row>
    <row r="29" spans="2:19" ht="15" thickBot="1" x14ac:dyDescent="0.35">
      <c r="B29" s="259"/>
      <c r="C29" s="260"/>
      <c r="D29" s="261"/>
      <c r="E29" s="296"/>
      <c r="F29" s="286"/>
      <c r="G29" s="287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8"/>
    </row>
    <row r="30" spans="2:19" ht="15" thickBot="1" x14ac:dyDescent="0.35">
      <c r="B30" s="328"/>
      <c r="C30" s="328"/>
      <c r="D30" s="328"/>
      <c r="E30" s="296"/>
      <c r="F30" s="339"/>
      <c r="G30" s="339"/>
      <c r="H30" s="339"/>
      <c r="I30" s="339"/>
      <c r="J30" s="339"/>
      <c r="K30" s="339"/>
      <c r="L30" s="339"/>
      <c r="M30" s="339"/>
      <c r="N30" s="339"/>
      <c r="O30" s="339"/>
      <c r="P30" s="339"/>
      <c r="Q30" s="339"/>
      <c r="R30" s="339"/>
      <c r="S30" s="339"/>
    </row>
    <row r="31" spans="2:19" x14ac:dyDescent="0.3">
      <c r="B31" s="314" t="s">
        <v>28</v>
      </c>
      <c r="C31" s="315" t="s">
        <v>22</v>
      </c>
      <c r="D31" s="316">
        <v>6</v>
      </c>
      <c r="E31" s="303"/>
      <c r="F31" s="358" t="s">
        <v>102</v>
      </c>
      <c r="G31" s="358"/>
      <c r="H31" s="303"/>
      <c r="I31" s="303"/>
      <c r="J31" s="303"/>
      <c r="K31" s="303"/>
      <c r="L31" s="303"/>
      <c r="M31" s="359" t="s">
        <v>106</v>
      </c>
      <c r="N31" s="359"/>
      <c r="O31" s="359"/>
      <c r="P31" s="359"/>
      <c r="Q31" s="303"/>
      <c r="R31" s="303"/>
      <c r="S31" s="303"/>
    </row>
    <row r="32" spans="2:19" x14ac:dyDescent="0.3">
      <c r="B32" s="317" t="s">
        <v>28</v>
      </c>
      <c r="C32" s="308" t="s">
        <v>22</v>
      </c>
      <c r="D32" s="298">
        <v>8</v>
      </c>
      <c r="E32" s="303"/>
      <c r="F32" s="303"/>
      <c r="G32" s="303"/>
      <c r="H32" s="303"/>
      <c r="I32" s="303"/>
      <c r="J32" s="303"/>
      <c r="K32" s="303"/>
      <c r="L32" s="303"/>
      <c r="M32" s="356"/>
      <c r="N32" s="356"/>
      <c r="O32" s="356"/>
      <c r="P32" s="356"/>
      <c r="Q32" s="356"/>
      <c r="R32" s="356"/>
      <c r="S32" s="356"/>
    </row>
    <row r="33" spans="2:19" ht="15" thickBot="1" x14ac:dyDescent="0.35">
      <c r="B33" s="317" t="s">
        <v>28</v>
      </c>
      <c r="C33" s="308" t="s">
        <v>22</v>
      </c>
      <c r="D33" s="298">
        <v>11</v>
      </c>
      <c r="E33" s="297"/>
      <c r="F33" s="297" t="s">
        <v>103</v>
      </c>
      <c r="G33" s="297" t="s">
        <v>121</v>
      </c>
      <c r="H33" s="297"/>
      <c r="I33" s="297"/>
      <c r="J33" s="297"/>
      <c r="K33" s="297"/>
      <c r="L33" s="297"/>
      <c r="M33" s="297" t="s">
        <v>46</v>
      </c>
      <c r="N33" s="297"/>
      <c r="O33" s="297"/>
      <c r="P33" s="297"/>
      <c r="Q33" s="297" t="s">
        <v>107</v>
      </c>
      <c r="R33" s="297">
        <v>0.05</v>
      </c>
      <c r="S33" s="297"/>
    </row>
    <row r="34" spans="2:19" ht="15" thickTop="1" x14ac:dyDescent="0.3">
      <c r="B34" s="317" t="s">
        <v>28</v>
      </c>
      <c r="C34" s="308" t="s">
        <v>23</v>
      </c>
      <c r="D34" s="298">
        <v>7</v>
      </c>
      <c r="E34" s="297"/>
      <c r="F34" s="297"/>
      <c r="G34" s="297" t="s">
        <v>24</v>
      </c>
      <c r="H34" s="297" t="s">
        <v>23</v>
      </c>
      <c r="I34" s="297" t="s">
        <v>25</v>
      </c>
      <c r="J34" s="297" t="s">
        <v>22</v>
      </c>
      <c r="K34" s="297"/>
      <c r="L34" s="297"/>
      <c r="M34" s="337"/>
      <c r="N34" s="337" t="s">
        <v>41</v>
      </c>
      <c r="O34" s="337" t="s">
        <v>108</v>
      </c>
      <c r="P34" s="337" t="s">
        <v>42</v>
      </c>
      <c r="Q34" s="337" t="s">
        <v>43</v>
      </c>
      <c r="R34" s="337" t="s">
        <v>109</v>
      </c>
      <c r="S34" s="337" t="s">
        <v>110</v>
      </c>
    </row>
    <row r="35" spans="2:19" x14ac:dyDescent="0.3">
      <c r="B35" s="317" t="s">
        <v>28</v>
      </c>
      <c r="C35" s="308" t="s">
        <v>23</v>
      </c>
      <c r="D35" s="298">
        <v>8</v>
      </c>
      <c r="E35" s="297"/>
      <c r="F35" s="297" t="s">
        <v>29</v>
      </c>
      <c r="G35" s="329">
        <v>4</v>
      </c>
      <c r="H35" s="330">
        <v>3</v>
      </c>
      <c r="I35" s="330">
        <v>2</v>
      </c>
      <c r="J35" s="331">
        <v>3</v>
      </c>
      <c r="K35" s="297">
        <v>12</v>
      </c>
      <c r="L35" s="297"/>
      <c r="M35" s="297" t="s">
        <v>111</v>
      </c>
      <c r="N35" s="297">
        <v>11.566929901530443</v>
      </c>
      <c r="O35" s="297">
        <v>2</v>
      </c>
      <c r="P35" s="297">
        <v>5.7834649507652216</v>
      </c>
      <c r="Q35" s="297">
        <v>0.43816104249314869</v>
      </c>
      <c r="R35" s="297">
        <v>0.64957029614194461</v>
      </c>
      <c r="S35" s="297">
        <v>3.0347427293793919E-2</v>
      </c>
    </row>
    <row r="36" spans="2:19" x14ac:dyDescent="0.3">
      <c r="B36" s="317" t="s">
        <v>28</v>
      </c>
      <c r="C36" s="308" t="s">
        <v>23</v>
      </c>
      <c r="D36" s="298">
        <v>12</v>
      </c>
      <c r="E36" s="297"/>
      <c r="F36" s="297" t="s">
        <v>28</v>
      </c>
      <c r="G36" s="332">
        <v>3</v>
      </c>
      <c r="H36" s="297">
        <v>4</v>
      </c>
      <c r="I36" s="297">
        <v>3</v>
      </c>
      <c r="J36" s="333">
        <v>3</v>
      </c>
      <c r="K36" s="297">
        <v>13</v>
      </c>
      <c r="L36" s="297"/>
      <c r="M36" s="297" t="s">
        <v>112</v>
      </c>
      <c r="N36" s="297">
        <v>370.61186475692023</v>
      </c>
      <c r="O36" s="297">
        <v>3</v>
      </c>
      <c r="P36" s="297">
        <v>123.53728825230674</v>
      </c>
      <c r="Q36" s="297">
        <v>9.3593075203551432</v>
      </c>
      <c r="R36" s="297">
        <v>1.8949342292167045E-4</v>
      </c>
      <c r="S36" s="297">
        <v>0.50069477039721455</v>
      </c>
    </row>
    <row r="37" spans="2:19" x14ac:dyDescent="0.3">
      <c r="B37" s="317" t="s">
        <v>28</v>
      </c>
      <c r="C37" s="308" t="s">
        <v>23</v>
      </c>
      <c r="D37" s="298">
        <v>10</v>
      </c>
      <c r="E37" s="302"/>
      <c r="F37" s="302" t="s">
        <v>30</v>
      </c>
      <c r="G37" s="334">
        <v>3</v>
      </c>
      <c r="H37" s="335">
        <v>4</v>
      </c>
      <c r="I37" s="335">
        <v>5</v>
      </c>
      <c r="J37" s="336">
        <v>3</v>
      </c>
      <c r="K37" s="297">
        <v>15</v>
      </c>
      <c r="L37" s="302"/>
      <c r="M37" s="302" t="s">
        <v>113</v>
      </c>
      <c r="N37" s="302">
        <v>39.340384312377239</v>
      </c>
      <c r="O37" s="302">
        <v>6</v>
      </c>
      <c r="P37" s="302">
        <v>6.5567307187295398</v>
      </c>
      <c r="Q37" s="302">
        <v>0.49674442423745779</v>
      </c>
      <c r="R37" s="302">
        <v>0.80527844554130079</v>
      </c>
      <c r="S37" s="302">
        <v>9.620470179345661E-2</v>
      </c>
    </row>
    <row r="38" spans="2:19" x14ac:dyDescent="0.3">
      <c r="B38" s="317" t="s">
        <v>28</v>
      </c>
      <c r="C38" s="308" t="s">
        <v>24</v>
      </c>
      <c r="D38" s="298">
        <v>8</v>
      </c>
      <c r="E38" s="302"/>
      <c r="F38" s="302"/>
      <c r="G38" s="302">
        <v>10</v>
      </c>
      <c r="H38" s="302">
        <v>11</v>
      </c>
      <c r="I38" s="302">
        <v>10</v>
      </c>
      <c r="J38" s="302">
        <v>9</v>
      </c>
      <c r="K38" s="302">
        <v>40</v>
      </c>
      <c r="L38" s="302"/>
      <c r="M38" s="302" t="s">
        <v>115</v>
      </c>
      <c r="N38" s="302">
        <v>369.58333333333337</v>
      </c>
      <c r="O38" s="302">
        <v>28</v>
      </c>
      <c r="P38" s="302">
        <v>13.199404761904763</v>
      </c>
      <c r="Q38" s="302"/>
      <c r="R38" s="302"/>
      <c r="S38" s="302"/>
    </row>
    <row r="39" spans="2:19" x14ac:dyDescent="0.3">
      <c r="B39" s="317" t="s">
        <v>28</v>
      </c>
      <c r="C39" s="308" t="s">
        <v>24</v>
      </c>
      <c r="D39" s="298">
        <v>7</v>
      </c>
      <c r="E39" s="302"/>
      <c r="F39" s="302"/>
      <c r="G39" s="302"/>
      <c r="H39" s="302"/>
      <c r="I39" s="302"/>
      <c r="J39" s="302"/>
      <c r="K39" s="302"/>
      <c r="L39" s="302"/>
      <c r="M39" s="338" t="s">
        <v>114</v>
      </c>
      <c r="N39" s="338">
        <v>836.375</v>
      </c>
      <c r="O39" s="338">
        <v>39</v>
      </c>
      <c r="P39" s="338">
        <v>21.445512820512821</v>
      </c>
      <c r="Q39" s="338"/>
      <c r="R39" s="338"/>
      <c r="S39" s="338"/>
    </row>
    <row r="40" spans="2:19" x14ac:dyDescent="0.3">
      <c r="B40" s="317" t="s">
        <v>28</v>
      </c>
      <c r="C40" s="308" t="s">
        <v>24</v>
      </c>
      <c r="D40" s="298">
        <v>20</v>
      </c>
      <c r="E40" s="302"/>
      <c r="F40" s="302" t="s">
        <v>104</v>
      </c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</row>
    <row r="41" spans="2:19" x14ac:dyDescent="0.3">
      <c r="B41" s="317" t="s">
        <v>28</v>
      </c>
      <c r="C41" s="308" t="s">
        <v>25</v>
      </c>
      <c r="D41" s="298">
        <v>13</v>
      </c>
      <c r="E41" s="297"/>
      <c r="F41" s="297"/>
      <c r="G41" s="302" t="s">
        <v>24</v>
      </c>
      <c r="H41" s="302" t="s">
        <v>23</v>
      </c>
      <c r="I41" s="302" t="s">
        <v>25</v>
      </c>
      <c r="J41" s="302" t="s">
        <v>22</v>
      </c>
      <c r="K41" s="302"/>
      <c r="L41" s="297"/>
      <c r="M41" s="297"/>
      <c r="N41" s="297"/>
      <c r="O41" s="297"/>
      <c r="P41" s="297"/>
      <c r="Q41" s="297"/>
      <c r="R41" s="297"/>
      <c r="S41" s="297"/>
    </row>
    <row r="42" spans="2:19" x14ac:dyDescent="0.3">
      <c r="B42" s="317" t="s">
        <v>28</v>
      </c>
      <c r="C42" s="308" t="s">
        <v>25</v>
      </c>
      <c r="D42" s="298">
        <v>21</v>
      </c>
      <c r="E42" s="297"/>
      <c r="F42" s="297" t="s">
        <v>29</v>
      </c>
      <c r="G42" s="340">
        <v>12.75</v>
      </c>
      <c r="H42" s="341">
        <v>7.666666666666667</v>
      </c>
      <c r="I42" s="341">
        <v>15</v>
      </c>
      <c r="J42" s="342">
        <v>9.3333333333333339</v>
      </c>
      <c r="K42" s="302">
        <v>11.187500000000002</v>
      </c>
      <c r="L42" s="297"/>
      <c r="M42" s="297"/>
      <c r="N42" s="297"/>
      <c r="O42" s="297"/>
      <c r="P42" s="297"/>
      <c r="Q42" s="297"/>
      <c r="R42" s="297"/>
      <c r="S42" s="297"/>
    </row>
    <row r="43" spans="2:19" x14ac:dyDescent="0.3">
      <c r="B43" s="318" t="s">
        <v>28</v>
      </c>
      <c r="C43" s="309" t="s">
        <v>25</v>
      </c>
      <c r="D43" s="306">
        <v>17</v>
      </c>
      <c r="E43" s="297"/>
      <c r="F43" s="297" t="s">
        <v>28</v>
      </c>
      <c r="G43" s="343">
        <v>11.666666666666666</v>
      </c>
      <c r="H43" s="302">
        <v>9.25</v>
      </c>
      <c r="I43" s="302">
        <v>17</v>
      </c>
      <c r="J43" s="344">
        <v>8.3333333333333339</v>
      </c>
      <c r="K43" s="302">
        <v>11.5625</v>
      </c>
      <c r="L43" s="297"/>
      <c r="M43" s="297"/>
      <c r="N43" s="297"/>
      <c r="O43" s="297"/>
      <c r="P43" s="297"/>
      <c r="Q43" s="297"/>
      <c r="R43" s="297"/>
      <c r="S43" s="297"/>
    </row>
    <row r="44" spans="2:19" x14ac:dyDescent="0.3">
      <c r="B44" s="319" t="s">
        <v>29</v>
      </c>
      <c r="C44" s="310" t="s">
        <v>22</v>
      </c>
      <c r="D44" s="300">
        <v>8</v>
      </c>
      <c r="E44" s="297"/>
      <c r="F44" s="297" t="s">
        <v>30</v>
      </c>
      <c r="G44" s="345">
        <v>14.666666666666666</v>
      </c>
      <c r="H44" s="346">
        <v>11.25</v>
      </c>
      <c r="I44" s="346">
        <v>17</v>
      </c>
      <c r="J44" s="347">
        <v>7</v>
      </c>
      <c r="K44" s="302">
        <v>12.479166666666666</v>
      </c>
      <c r="L44" s="297"/>
      <c r="M44" s="297"/>
      <c r="N44" s="297"/>
      <c r="O44" s="297"/>
      <c r="P44" s="297"/>
      <c r="Q44" s="297"/>
      <c r="R44" s="297"/>
      <c r="S44" s="297"/>
    </row>
    <row r="45" spans="2:19" x14ac:dyDescent="0.3">
      <c r="B45" s="319" t="s">
        <v>29</v>
      </c>
      <c r="C45" s="310" t="s">
        <v>22</v>
      </c>
      <c r="D45" s="300">
        <v>13</v>
      </c>
      <c r="E45" s="297"/>
      <c r="F45" s="297"/>
      <c r="G45" s="297">
        <v>13.027777777777777</v>
      </c>
      <c r="H45" s="297">
        <v>9.3888888888888893</v>
      </c>
      <c r="I45" s="297">
        <v>16.333333333333332</v>
      </c>
      <c r="J45" s="297">
        <v>8.2222222222222232</v>
      </c>
      <c r="K45" s="297">
        <v>11.743055555555555</v>
      </c>
      <c r="L45" s="297"/>
      <c r="M45" s="297"/>
      <c r="N45" s="297"/>
      <c r="O45" s="297"/>
      <c r="P45" s="297"/>
      <c r="Q45" s="297"/>
      <c r="R45" s="297"/>
      <c r="S45" s="297"/>
    </row>
    <row r="46" spans="2:19" x14ac:dyDescent="0.3">
      <c r="B46" s="319" t="s">
        <v>29</v>
      </c>
      <c r="C46" s="310" t="s">
        <v>22</v>
      </c>
      <c r="D46" s="300">
        <v>7</v>
      </c>
      <c r="E46" s="303"/>
      <c r="F46" s="303"/>
      <c r="G46" s="303"/>
      <c r="H46" s="303"/>
      <c r="I46" s="303"/>
      <c r="J46" s="303"/>
      <c r="K46" s="303"/>
      <c r="L46" s="303"/>
      <c r="M46" s="303"/>
      <c r="N46" s="303"/>
      <c r="O46" s="303"/>
      <c r="P46" s="303"/>
      <c r="Q46" s="303"/>
      <c r="R46" s="303"/>
      <c r="S46" s="303"/>
    </row>
    <row r="47" spans="2:19" x14ac:dyDescent="0.3">
      <c r="B47" s="319" t="s">
        <v>29</v>
      </c>
      <c r="C47" s="310" t="s">
        <v>23</v>
      </c>
      <c r="D47" s="299">
        <v>5</v>
      </c>
      <c r="E47" s="305"/>
      <c r="F47" s="339" t="s">
        <v>105</v>
      </c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</row>
    <row r="48" spans="2:19" x14ac:dyDescent="0.3">
      <c r="B48" s="319" t="s">
        <v>29</v>
      </c>
      <c r="C48" s="310" t="s">
        <v>23</v>
      </c>
      <c r="D48" s="299">
        <v>11</v>
      </c>
      <c r="E48" s="304"/>
      <c r="F48" s="304"/>
      <c r="G48" s="339" t="s">
        <v>24</v>
      </c>
      <c r="H48" s="339" t="s">
        <v>23</v>
      </c>
      <c r="I48" s="339" t="s">
        <v>25</v>
      </c>
      <c r="J48" s="339" t="s">
        <v>22</v>
      </c>
      <c r="K48" s="339"/>
      <c r="L48" s="304"/>
      <c r="M48" s="304"/>
      <c r="N48" s="304"/>
      <c r="O48" s="304"/>
      <c r="P48" s="304"/>
      <c r="Q48" s="304"/>
      <c r="R48" s="304"/>
      <c r="S48" s="304"/>
    </row>
    <row r="49" spans="2:19" x14ac:dyDescent="0.3">
      <c r="B49" s="319" t="s">
        <v>29</v>
      </c>
      <c r="C49" s="310" t="s">
        <v>23</v>
      </c>
      <c r="D49" s="299">
        <v>7</v>
      </c>
      <c r="E49" s="297"/>
      <c r="F49" s="297" t="s">
        <v>29</v>
      </c>
      <c r="G49" s="348">
        <v>9.5833333333333339</v>
      </c>
      <c r="H49" s="349">
        <v>9.3333333333333286</v>
      </c>
      <c r="I49" s="349">
        <v>2</v>
      </c>
      <c r="J49" s="350">
        <v>10.333333333333343</v>
      </c>
      <c r="K49" s="339">
        <v>14.181818181818182</v>
      </c>
      <c r="L49" s="297"/>
      <c r="M49" s="297"/>
      <c r="N49" s="297"/>
      <c r="O49" s="297"/>
      <c r="P49" s="297"/>
      <c r="Q49" s="297"/>
      <c r="R49" s="297"/>
      <c r="S49" s="297"/>
    </row>
    <row r="50" spans="2:19" x14ac:dyDescent="0.3">
      <c r="B50" s="319" t="s">
        <v>29</v>
      </c>
      <c r="C50" s="310" t="s">
        <v>24</v>
      </c>
      <c r="D50" s="299">
        <v>10</v>
      </c>
      <c r="E50" s="297"/>
      <c r="F50" s="297" t="s">
        <v>28</v>
      </c>
      <c r="G50" s="351">
        <v>52.333333333333343</v>
      </c>
      <c r="H50" s="339">
        <v>4.916666666666667</v>
      </c>
      <c r="I50" s="339">
        <v>16</v>
      </c>
      <c r="J50" s="352">
        <v>6.3333333333333286</v>
      </c>
      <c r="K50" s="339">
        <v>25.423076923076923</v>
      </c>
      <c r="L50" s="297"/>
      <c r="M50" s="297"/>
      <c r="N50" s="297"/>
      <c r="O50" s="297"/>
      <c r="P50" s="297"/>
      <c r="Q50" s="297"/>
      <c r="R50" s="297"/>
      <c r="S50" s="297"/>
    </row>
    <row r="51" spans="2:19" x14ac:dyDescent="0.3">
      <c r="B51" s="319" t="s">
        <v>29</v>
      </c>
      <c r="C51" s="310" t="s">
        <v>24</v>
      </c>
      <c r="D51" s="299">
        <v>17</v>
      </c>
      <c r="E51" s="297"/>
      <c r="F51" s="297" t="s">
        <v>30</v>
      </c>
      <c r="G51" s="353">
        <v>6.3333333333333144</v>
      </c>
      <c r="H51" s="354">
        <v>24.916666666666668</v>
      </c>
      <c r="I51" s="354">
        <v>11.5</v>
      </c>
      <c r="J51" s="355">
        <v>1</v>
      </c>
      <c r="K51" s="339">
        <v>24.571428571428573</v>
      </c>
      <c r="L51" s="297"/>
      <c r="M51" s="297"/>
      <c r="N51" s="297"/>
      <c r="O51" s="297"/>
      <c r="P51" s="297"/>
      <c r="Q51" s="297"/>
      <c r="R51" s="297"/>
      <c r="S51" s="297"/>
    </row>
    <row r="52" spans="2:19" x14ac:dyDescent="0.3">
      <c r="B52" s="319" t="s">
        <v>29</v>
      </c>
      <c r="C52" s="310" t="s">
        <v>24</v>
      </c>
      <c r="D52" s="299">
        <v>11</v>
      </c>
      <c r="E52" s="297"/>
      <c r="F52" s="297"/>
      <c r="G52" s="297">
        <v>17.777777777777779</v>
      </c>
      <c r="H52" s="297">
        <v>13.072727272727274</v>
      </c>
      <c r="I52" s="297">
        <v>9.6000000000000103</v>
      </c>
      <c r="J52" s="297">
        <v>5.4444444444444429</v>
      </c>
      <c r="K52" s="297">
        <v>21.445512820512821</v>
      </c>
      <c r="L52" s="297"/>
      <c r="M52" s="297"/>
      <c r="N52" s="297"/>
      <c r="O52" s="297"/>
      <c r="P52" s="297"/>
      <c r="Q52" s="297"/>
      <c r="R52" s="297"/>
      <c r="S52" s="297"/>
    </row>
    <row r="53" spans="2:19" x14ac:dyDescent="0.3">
      <c r="B53" s="319" t="s">
        <v>29</v>
      </c>
      <c r="C53" s="310" t="s">
        <v>24</v>
      </c>
      <c r="D53" s="299">
        <v>13</v>
      </c>
      <c r="E53" s="297"/>
      <c r="F53" s="297"/>
      <c r="G53" s="297"/>
      <c r="H53" s="297"/>
      <c r="I53" s="297"/>
      <c r="J53" s="297"/>
      <c r="K53" s="297"/>
      <c r="L53" s="297"/>
      <c r="M53" s="297"/>
      <c r="N53" s="297"/>
      <c r="O53" s="297"/>
      <c r="P53" s="297"/>
      <c r="Q53" s="297"/>
      <c r="R53" s="297"/>
      <c r="S53" s="297"/>
    </row>
    <row r="54" spans="2:19" x14ac:dyDescent="0.3">
      <c r="B54" s="319" t="s">
        <v>29</v>
      </c>
      <c r="C54" s="310" t="s">
        <v>25</v>
      </c>
      <c r="D54" s="299">
        <v>14</v>
      </c>
      <c r="E54" s="296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</row>
    <row r="55" spans="2:19" x14ac:dyDescent="0.3">
      <c r="B55" s="320" t="s">
        <v>29</v>
      </c>
      <c r="C55" s="311" t="s">
        <v>25</v>
      </c>
      <c r="D55" s="307">
        <v>16</v>
      </c>
      <c r="E55" s="296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</row>
    <row r="56" spans="2:19" x14ac:dyDescent="0.3">
      <c r="B56" s="321" t="s">
        <v>30</v>
      </c>
      <c r="C56" s="312" t="s">
        <v>22</v>
      </c>
      <c r="D56" s="322">
        <v>7</v>
      </c>
      <c r="E56" s="296"/>
      <c r="F56" s="301"/>
      <c r="G56" s="301"/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/>
      <c r="S56" s="301"/>
    </row>
    <row r="57" spans="2:19" x14ac:dyDescent="0.3">
      <c r="B57" s="321" t="s">
        <v>30</v>
      </c>
      <c r="C57" s="312" t="s">
        <v>22</v>
      </c>
      <c r="D57" s="322">
        <v>8</v>
      </c>
      <c r="E57" s="296"/>
      <c r="F57" s="301"/>
      <c r="G57" s="301"/>
      <c r="H57" s="301"/>
      <c r="I57" s="301"/>
      <c r="J57" s="301"/>
      <c r="K57" s="301"/>
      <c r="L57" s="301"/>
      <c r="M57" s="301"/>
      <c r="N57" s="301"/>
      <c r="O57" s="301"/>
      <c r="P57" s="301"/>
      <c r="Q57" s="301"/>
      <c r="R57" s="301"/>
      <c r="S57" s="301"/>
    </row>
    <row r="58" spans="2:19" x14ac:dyDescent="0.3">
      <c r="B58" s="321" t="s">
        <v>30</v>
      </c>
      <c r="C58" s="312" t="s">
        <v>22</v>
      </c>
      <c r="D58" s="322">
        <v>6</v>
      </c>
      <c r="E58" s="296"/>
      <c r="F58" s="301"/>
      <c r="G58" s="301"/>
      <c r="H58" s="301"/>
      <c r="I58" s="301"/>
      <c r="J58" s="301"/>
      <c r="K58" s="301"/>
      <c r="L58" s="301"/>
      <c r="M58" s="301"/>
      <c r="N58" s="301"/>
      <c r="O58" s="301"/>
      <c r="P58" s="301"/>
      <c r="Q58" s="301"/>
      <c r="R58" s="301"/>
      <c r="S58" s="301"/>
    </row>
    <row r="59" spans="2:19" x14ac:dyDescent="0.3">
      <c r="B59" s="321" t="s">
        <v>30</v>
      </c>
      <c r="C59" s="312" t="s">
        <v>23</v>
      </c>
      <c r="D59" s="322">
        <v>6</v>
      </c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</row>
    <row r="60" spans="2:19" x14ac:dyDescent="0.3">
      <c r="B60" s="321" t="s">
        <v>30</v>
      </c>
      <c r="C60" s="312" t="s">
        <v>23</v>
      </c>
      <c r="D60" s="322">
        <v>8</v>
      </c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6"/>
      <c r="P60" s="296"/>
      <c r="Q60" s="296"/>
      <c r="R60" s="296"/>
      <c r="S60" s="296"/>
    </row>
    <row r="61" spans="2:19" x14ac:dyDescent="0.3">
      <c r="B61" s="321" t="s">
        <v>30</v>
      </c>
      <c r="C61" s="312" t="s">
        <v>23</v>
      </c>
      <c r="D61" s="322">
        <v>16</v>
      </c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</row>
    <row r="62" spans="2:19" x14ac:dyDescent="0.3">
      <c r="B62" s="321" t="s">
        <v>30</v>
      </c>
      <c r="C62" s="312" t="s">
        <v>23</v>
      </c>
      <c r="D62" s="322">
        <v>15</v>
      </c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</row>
    <row r="63" spans="2:19" x14ac:dyDescent="0.3">
      <c r="B63" s="321" t="s">
        <v>30</v>
      </c>
      <c r="C63" s="312" t="s">
        <v>24</v>
      </c>
      <c r="D63" s="322">
        <v>12</v>
      </c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  <c r="S63" s="296"/>
    </row>
    <row r="64" spans="2:19" x14ac:dyDescent="0.3">
      <c r="B64" s="321" t="s">
        <v>30</v>
      </c>
      <c r="C64" s="312" t="s">
        <v>24</v>
      </c>
      <c r="D64" s="322">
        <v>17</v>
      </c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6"/>
      <c r="P64" s="296"/>
      <c r="Q64" s="296"/>
      <c r="R64" s="296"/>
      <c r="S64" s="296"/>
    </row>
    <row r="65" spans="2:19" x14ac:dyDescent="0.3">
      <c r="B65" s="323" t="s">
        <v>30</v>
      </c>
      <c r="C65" s="313" t="s">
        <v>24</v>
      </c>
      <c r="D65" s="324">
        <v>15</v>
      </c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  <c r="S65" s="296"/>
    </row>
    <row r="66" spans="2:19" x14ac:dyDescent="0.3">
      <c r="B66" s="321" t="s">
        <v>30</v>
      </c>
      <c r="C66" s="312" t="s">
        <v>25</v>
      </c>
      <c r="D66" s="322">
        <v>13</v>
      </c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</row>
    <row r="67" spans="2:19" x14ac:dyDescent="0.3">
      <c r="B67" s="321" t="s">
        <v>30</v>
      </c>
      <c r="C67" s="312" t="s">
        <v>25</v>
      </c>
      <c r="D67" s="322">
        <v>17</v>
      </c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6"/>
      <c r="P67" s="296"/>
      <c r="Q67" s="296"/>
      <c r="R67" s="296"/>
      <c r="S67" s="296"/>
    </row>
    <row r="68" spans="2:19" x14ac:dyDescent="0.3">
      <c r="B68" s="321" t="s">
        <v>30</v>
      </c>
      <c r="C68" s="312" t="s">
        <v>25</v>
      </c>
      <c r="D68" s="322">
        <v>15</v>
      </c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6"/>
      <c r="P68" s="296"/>
      <c r="Q68" s="296"/>
      <c r="R68" s="296"/>
      <c r="S68" s="296"/>
    </row>
    <row r="69" spans="2:19" x14ac:dyDescent="0.3">
      <c r="B69" s="321" t="s">
        <v>30</v>
      </c>
      <c r="C69" s="312" t="s">
        <v>25</v>
      </c>
      <c r="D69" s="322">
        <v>22</v>
      </c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6"/>
      <c r="P69" s="296"/>
      <c r="Q69" s="296"/>
      <c r="R69" s="296"/>
      <c r="S69" s="296"/>
    </row>
    <row r="70" spans="2:19" ht="15" thickBot="1" x14ac:dyDescent="0.35">
      <c r="B70" s="325" t="s">
        <v>30</v>
      </c>
      <c r="C70" s="326" t="s">
        <v>25</v>
      </c>
      <c r="D70" s="327">
        <v>18</v>
      </c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6"/>
      <c r="P70" s="296"/>
      <c r="Q70" s="296"/>
      <c r="R70" s="296"/>
      <c r="S70" s="296"/>
    </row>
  </sheetData>
  <mergeCells count="15">
    <mergeCell ref="B28:D29"/>
    <mergeCell ref="F28:S29"/>
    <mergeCell ref="I2:N3"/>
    <mergeCell ref="F31:G31"/>
    <mergeCell ref="M31:P31"/>
    <mergeCell ref="B2:G3"/>
    <mergeCell ref="L19:O19"/>
    <mergeCell ref="C5:F5"/>
    <mergeCell ref="B7:B10"/>
    <mergeCell ref="B11:B14"/>
    <mergeCell ref="B15:B19"/>
    <mergeCell ref="G5:G6"/>
    <mergeCell ref="G7:G10"/>
    <mergeCell ref="G11:G14"/>
    <mergeCell ref="G15:G19"/>
  </mergeCells>
  <pageMargins left="0.7" right="0.7" top="0.78740157499999996" bottom="0.78740157499999996" header="0.3" footer="0.3"/>
  <pageSetup paperSize="9" orientation="portrait" horizontalDpi="0" verticalDpi="0" r:id="rId1"/>
  <ignoredErrors>
    <ignoredError sqref="J12:M12 K13:M13 L14 J13 J6:K7 L6:L8 M6:M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0390-B89D-4E69-9DDE-B3ABF6D1A760}">
  <dimension ref="B2:H32"/>
  <sheetViews>
    <sheetView workbookViewId="0">
      <selection activeCell="C14" sqref="C14"/>
    </sheetView>
  </sheetViews>
  <sheetFormatPr defaultRowHeight="14.4" x14ac:dyDescent="0.3"/>
  <cols>
    <col min="2" max="2" width="16.44140625" customWidth="1"/>
    <col min="10" max="10" width="8.88671875" customWidth="1"/>
  </cols>
  <sheetData>
    <row r="2" spans="2:8" ht="15" thickBot="1" x14ac:dyDescent="0.35">
      <c r="B2" s="289" t="s">
        <v>11</v>
      </c>
      <c r="C2" s="289"/>
      <c r="D2" s="289"/>
      <c r="E2" s="289"/>
      <c r="F2" s="289"/>
      <c r="G2" s="289"/>
      <c r="H2" s="289"/>
    </row>
    <row r="3" spans="2:8" ht="15" thickBot="1" x14ac:dyDescent="0.35">
      <c r="B3" s="2" t="s">
        <v>0</v>
      </c>
      <c r="C3" s="38" t="s">
        <v>5</v>
      </c>
      <c r="D3" s="39" t="s">
        <v>6</v>
      </c>
      <c r="E3" s="39" t="s">
        <v>7</v>
      </c>
      <c r="F3" s="39" t="s">
        <v>8</v>
      </c>
      <c r="G3" s="40" t="s">
        <v>9</v>
      </c>
      <c r="H3" s="37" t="s">
        <v>10</v>
      </c>
    </row>
    <row r="4" spans="2:8" x14ac:dyDescent="0.3">
      <c r="B4" s="3" t="s">
        <v>1</v>
      </c>
      <c r="C4" s="4">
        <v>6</v>
      </c>
      <c r="D4" s="5">
        <v>14</v>
      </c>
      <c r="E4" s="5">
        <v>15</v>
      </c>
      <c r="F4" s="5">
        <v>9</v>
      </c>
      <c r="G4" s="6">
        <v>5</v>
      </c>
      <c r="H4" s="7">
        <f>SUM(C4:G4)</f>
        <v>49</v>
      </c>
    </row>
    <row r="5" spans="2:8" x14ac:dyDescent="0.3">
      <c r="B5" s="8" t="s">
        <v>2</v>
      </c>
      <c r="C5" s="9">
        <v>4</v>
      </c>
      <c r="D5" s="10">
        <v>8</v>
      </c>
      <c r="E5" s="10">
        <v>12</v>
      </c>
      <c r="F5" s="10">
        <v>14</v>
      </c>
      <c r="G5" s="11">
        <v>8</v>
      </c>
      <c r="H5" s="12">
        <f t="shared" ref="H5:H7" si="0">SUM(C5:G5)</f>
        <v>46</v>
      </c>
    </row>
    <row r="6" spans="2:8" x14ac:dyDescent="0.3">
      <c r="B6" s="8" t="s">
        <v>3</v>
      </c>
      <c r="C6" s="9">
        <v>3</v>
      </c>
      <c r="D6" s="10">
        <v>6</v>
      </c>
      <c r="E6" s="10">
        <v>17</v>
      </c>
      <c r="F6" s="10">
        <v>18</v>
      </c>
      <c r="G6" s="11">
        <v>6</v>
      </c>
      <c r="H6" s="12">
        <f t="shared" si="0"/>
        <v>50</v>
      </c>
    </row>
    <row r="7" spans="2:8" ht="15" thickBot="1" x14ac:dyDescent="0.35">
      <c r="B7" s="35" t="s">
        <v>4</v>
      </c>
      <c r="C7" s="13">
        <v>9</v>
      </c>
      <c r="D7" s="14">
        <v>18</v>
      </c>
      <c r="E7" s="14">
        <v>14</v>
      </c>
      <c r="F7" s="14">
        <v>8</v>
      </c>
      <c r="G7" s="15">
        <v>3</v>
      </c>
      <c r="H7" s="16">
        <f t="shared" si="0"/>
        <v>52</v>
      </c>
    </row>
    <row r="8" spans="2:8" ht="15" thickBot="1" x14ac:dyDescent="0.35">
      <c r="B8" s="36" t="s">
        <v>10</v>
      </c>
      <c r="C8" s="17">
        <f t="shared" ref="C8:H8" si="1">SUM(C4:C7)</f>
        <v>22</v>
      </c>
      <c r="D8" s="18">
        <f t="shared" si="1"/>
        <v>46</v>
      </c>
      <c r="E8" s="18">
        <f t="shared" si="1"/>
        <v>58</v>
      </c>
      <c r="F8" s="18">
        <f t="shared" si="1"/>
        <v>49</v>
      </c>
      <c r="G8" s="19">
        <f t="shared" si="1"/>
        <v>22</v>
      </c>
      <c r="H8" s="20">
        <f t="shared" si="1"/>
        <v>197</v>
      </c>
    </row>
    <row r="9" spans="2:8" x14ac:dyDescent="0.3">
      <c r="B9" s="23"/>
      <c r="C9" s="25"/>
      <c r="D9" s="25"/>
      <c r="E9" s="25"/>
      <c r="F9" s="25"/>
      <c r="G9" s="25"/>
      <c r="H9" s="25"/>
    </row>
    <row r="10" spans="2:8" s="24" customFormat="1" ht="15" thickBot="1" x14ac:dyDescent="0.35">
      <c r="B10" s="289" t="s">
        <v>12</v>
      </c>
      <c r="C10" s="289"/>
      <c r="D10" s="289"/>
      <c r="E10" s="289"/>
      <c r="F10" s="289"/>
      <c r="G10" s="289"/>
      <c r="H10" s="289"/>
    </row>
    <row r="11" spans="2:8" ht="15" thickBot="1" x14ac:dyDescent="0.35">
      <c r="B11" s="2" t="s">
        <v>0</v>
      </c>
      <c r="C11" s="195" t="s">
        <v>5</v>
      </c>
      <c r="D11" s="196" t="s">
        <v>6</v>
      </c>
      <c r="E11" s="196" t="s">
        <v>7</v>
      </c>
      <c r="F11" s="196" t="s">
        <v>8</v>
      </c>
      <c r="G11" s="197" t="s">
        <v>9</v>
      </c>
      <c r="H11" s="37" t="s">
        <v>10</v>
      </c>
    </row>
    <row r="12" spans="2:8" x14ac:dyDescent="0.3">
      <c r="B12" s="192" t="s">
        <v>1</v>
      </c>
      <c r="C12" s="4">
        <f>C8*$H4/$H8</f>
        <v>5.4720812182741119</v>
      </c>
      <c r="D12" s="5">
        <f>D8*$H4/$H8</f>
        <v>11.441624365482234</v>
      </c>
      <c r="E12" s="5">
        <f>E8*$H4/$H8</f>
        <v>14.426395939086294</v>
      </c>
      <c r="F12" s="5">
        <f>F8*$H4/$H8</f>
        <v>12.187817258883248</v>
      </c>
      <c r="G12" s="6">
        <f>G8*$H4/$H8</f>
        <v>5.4720812182741119</v>
      </c>
      <c r="H12" s="7">
        <f>SUM(C12:G12)</f>
        <v>49</v>
      </c>
    </row>
    <row r="13" spans="2:8" x14ac:dyDescent="0.3">
      <c r="B13" s="193" t="s">
        <v>2</v>
      </c>
      <c r="C13" s="9">
        <f>C8*$H5/$H8</f>
        <v>5.1370558375634516</v>
      </c>
      <c r="D13" s="181">
        <f>D8*$H5/$H8</f>
        <v>10.741116751269036</v>
      </c>
      <c r="E13" s="181">
        <f>E8*$H5/$H8</f>
        <v>13.543147208121827</v>
      </c>
      <c r="F13" s="181">
        <f>F8*$H5/$H8</f>
        <v>11.441624365482234</v>
      </c>
      <c r="G13" s="182">
        <f>G8*$H5/$H8</f>
        <v>5.1370558375634516</v>
      </c>
      <c r="H13" s="7">
        <f t="shared" ref="H13:H16" si="2">SUM(C13:G13)</f>
        <v>46</v>
      </c>
    </row>
    <row r="14" spans="2:8" x14ac:dyDescent="0.3">
      <c r="B14" s="193" t="s">
        <v>3</v>
      </c>
      <c r="C14" s="9">
        <f>C8*$H6/$H8</f>
        <v>5.5837563451776653</v>
      </c>
      <c r="D14" s="181">
        <f>D8*$H6/$H8</f>
        <v>11.6751269035533</v>
      </c>
      <c r="E14" s="181">
        <f>E8*$H6/$H8</f>
        <v>14.720812182741117</v>
      </c>
      <c r="F14" s="181">
        <f>F8*$H6/$H8</f>
        <v>12.436548223350254</v>
      </c>
      <c r="G14" s="182">
        <f>G8*$H6/$H8</f>
        <v>5.5837563451776653</v>
      </c>
      <c r="H14" s="7">
        <f t="shared" si="2"/>
        <v>50</v>
      </c>
    </row>
    <row r="15" spans="2:8" ht="15" thickBot="1" x14ac:dyDescent="0.35">
      <c r="B15" s="194" t="s">
        <v>4</v>
      </c>
      <c r="C15" s="13">
        <f>C8*$H7/$H8</f>
        <v>5.8071065989847712</v>
      </c>
      <c r="D15" s="14">
        <f>D8*$H7/$H8</f>
        <v>12.142131979695431</v>
      </c>
      <c r="E15" s="14">
        <f>E8*$H7/$H8</f>
        <v>15.309644670050762</v>
      </c>
      <c r="F15" s="14">
        <f>F8*$H7/$H8</f>
        <v>12.934010152284264</v>
      </c>
      <c r="G15" s="15">
        <f>G8*$H7/$H8</f>
        <v>5.8071065989847712</v>
      </c>
      <c r="H15" s="22">
        <f t="shared" si="2"/>
        <v>52.000000000000007</v>
      </c>
    </row>
    <row r="16" spans="2:8" ht="15" thickBot="1" x14ac:dyDescent="0.35">
      <c r="B16" s="36" t="s">
        <v>10</v>
      </c>
      <c r="C16" s="17">
        <f>SUM(C12:C15)</f>
        <v>22</v>
      </c>
      <c r="D16" s="17">
        <f t="shared" ref="D16:G16" si="3">SUM(D12:D15)</f>
        <v>46</v>
      </c>
      <c r="E16" s="17">
        <f t="shared" si="3"/>
        <v>58</v>
      </c>
      <c r="F16" s="17">
        <f t="shared" si="3"/>
        <v>49.000000000000007</v>
      </c>
      <c r="G16" s="21">
        <f t="shared" si="3"/>
        <v>22</v>
      </c>
      <c r="H16" s="20">
        <f t="shared" si="2"/>
        <v>197</v>
      </c>
    </row>
    <row r="18" spans="2:8" x14ac:dyDescent="0.3">
      <c r="B18" s="291" t="s">
        <v>15</v>
      </c>
      <c r="C18" s="292"/>
      <c r="D18" s="292"/>
      <c r="E18" s="292"/>
      <c r="F18" s="292"/>
      <c r="G18" s="292"/>
      <c r="H18" s="292"/>
    </row>
    <row r="19" spans="2:8" ht="16.8" thickBot="1" x14ac:dyDescent="0.35">
      <c r="B19" s="290" t="s">
        <v>14</v>
      </c>
      <c r="C19" s="290"/>
      <c r="D19" s="290"/>
      <c r="E19" s="290"/>
      <c r="F19" s="290"/>
      <c r="G19" s="290"/>
      <c r="H19" s="290"/>
    </row>
    <row r="20" spans="2:8" ht="15" thickBot="1" x14ac:dyDescent="0.35">
      <c r="B20" s="2" t="s">
        <v>0</v>
      </c>
      <c r="C20" s="41" t="s">
        <v>5</v>
      </c>
      <c r="D20" s="39" t="s">
        <v>6</v>
      </c>
      <c r="E20" s="39" t="s">
        <v>7</v>
      </c>
      <c r="F20" s="39" t="s">
        <v>8</v>
      </c>
      <c r="G20" s="40" t="s">
        <v>9</v>
      </c>
      <c r="H20" s="37" t="s">
        <v>10</v>
      </c>
    </row>
    <row r="21" spans="2:8" x14ac:dyDescent="0.3">
      <c r="B21" s="3" t="s">
        <v>1</v>
      </c>
      <c r="C21" s="27">
        <f>(C4-C12)^2/C12</f>
        <v>5.0930939980976198E-2</v>
      </c>
      <c r="D21" s="27">
        <f t="shared" ref="D21:G21" si="4">(D4-D12)^2/D12</f>
        <v>0.57205914809092906</v>
      </c>
      <c r="E21" s="27">
        <f t="shared" si="4"/>
        <v>2.280691727067162E-2</v>
      </c>
      <c r="F21" s="27">
        <f t="shared" si="4"/>
        <v>0.83379810019936673</v>
      </c>
      <c r="G21" s="27">
        <f t="shared" si="4"/>
        <v>4.0726858348323208E-2</v>
      </c>
      <c r="H21" s="32">
        <f>SUM(C21:G21)</f>
        <v>1.5203219638902667</v>
      </c>
    </row>
    <row r="22" spans="2:8" x14ac:dyDescent="0.3">
      <c r="B22" s="8" t="s">
        <v>2</v>
      </c>
      <c r="C22" s="27">
        <f t="shared" ref="C22:G24" si="5">(C5-C13)^2/C13</f>
        <v>0.25168034349230545</v>
      </c>
      <c r="D22" s="27">
        <f t="shared" si="5"/>
        <v>0.69952884956771255</v>
      </c>
      <c r="E22" s="27">
        <f t="shared" si="5"/>
        <v>0.17583086629274178</v>
      </c>
      <c r="F22" s="27">
        <f t="shared" si="5"/>
        <v>0.57205914809092906</v>
      </c>
      <c r="G22" s="27">
        <f t="shared" si="5"/>
        <v>1.5955538612788671</v>
      </c>
      <c r="H22" s="33">
        <f t="shared" ref="H22:H25" si="6">SUM(C22:G22)</f>
        <v>3.2946530687225559</v>
      </c>
    </row>
    <row r="23" spans="2:8" x14ac:dyDescent="0.3">
      <c r="B23" s="8" t="s">
        <v>3</v>
      </c>
      <c r="C23" s="27">
        <f t="shared" si="5"/>
        <v>1.1955745269958469</v>
      </c>
      <c r="D23" s="27">
        <f t="shared" si="5"/>
        <v>2.7586051644228649</v>
      </c>
      <c r="E23" s="27">
        <f t="shared" si="5"/>
        <v>0.35288114825835804</v>
      </c>
      <c r="F23" s="27">
        <f t="shared" si="5"/>
        <v>2.4887931213094374</v>
      </c>
      <c r="G23" s="27">
        <f t="shared" si="5"/>
        <v>3.1029072450392201E-2</v>
      </c>
      <c r="H23" s="33">
        <f t="shared" si="6"/>
        <v>6.8268830334368991</v>
      </c>
    </row>
    <row r="24" spans="2:8" ht="15" thickBot="1" x14ac:dyDescent="0.35">
      <c r="B24" s="35" t="s">
        <v>4</v>
      </c>
      <c r="C24" s="27">
        <f t="shared" si="5"/>
        <v>1.7555331724113457</v>
      </c>
      <c r="D24" s="27">
        <f t="shared" si="5"/>
        <v>2.8260784679897459</v>
      </c>
      <c r="E24" s="27">
        <f t="shared" si="5"/>
        <v>0.11203193795527079</v>
      </c>
      <c r="F24" s="27">
        <f t="shared" si="5"/>
        <v>1.8822048147646409</v>
      </c>
      <c r="G24" s="27">
        <f t="shared" si="5"/>
        <v>1.356931773809946</v>
      </c>
      <c r="H24" s="34">
        <f t="shared" si="6"/>
        <v>7.9327801669309492</v>
      </c>
    </row>
    <row r="25" spans="2:8" ht="15" thickBot="1" x14ac:dyDescent="0.35">
      <c r="B25" s="36" t="s">
        <v>10</v>
      </c>
      <c r="C25" s="29">
        <f>SUM(C21:C24)</f>
        <v>3.253718982880474</v>
      </c>
      <c r="D25" s="30">
        <f t="shared" ref="D25" si="7">SUM(D21:D24)</f>
        <v>6.8562716300712516</v>
      </c>
      <c r="E25" s="30">
        <f t="shared" ref="E25" si="8">SUM(E21:E24)</f>
        <v>0.66355086977704225</v>
      </c>
      <c r="F25" s="30">
        <f t="shared" ref="F25" si="9">SUM(F21:F24)</f>
        <v>5.7768551843643738</v>
      </c>
      <c r="G25" s="31">
        <f t="shared" ref="G25" si="10">SUM(G21:G24)</f>
        <v>3.0242415658875283</v>
      </c>
      <c r="H25" s="20">
        <f t="shared" si="6"/>
        <v>19.574638232980671</v>
      </c>
    </row>
    <row r="26" spans="2:8" ht="15" thickBot="1" x14ac:dyDescent="0.35">
      <c r="C26" s="1"/>
    </row>
    <row r="27" spans="2:8" ht="15.6" thickTop="1" thickBot="1" x14ac:dyDescent="0.35">
      <c r="B27" s="45" t="s">
        <v>13</v>
      </c>
      <c r="C27" s="43">
        <f>H25</f>
        <v>19.574638232980671</v>
      </c>
      <c r="D27" s="42"/>
    </row>
    <row r="28" spans="2:8" ht="15" thickTop="1" x14ac:dyDescent="0.3">
      <c r="B28" s="44" t="s">
        <v>16</v>
      </c>
      <c r="C28" s="44">
        <v>12</v>
      </c>
    </row>
    <row r="29" spans="2:8" ht="15" thickBot="1" x14ac:dyDescent="0.35">
      <c r="B29" s="46" t="s">
        <v>17</v>
      </c>
      <c r="C29">
        <v>0.05</v>
      </c>
    </row>
    <row r="30" spans="2:8" ht="17.399999999999999" thickBot="1" x14ac:dyDescent="0.4">
      <c r="B30" s="47" t="s">
        <v>18</v>
      </c>
      <c r="C30" s="48">
        <v>21.026</v>
      </c>
    </row>
    <row r="31" spans="2:8" ht="15" thickBot="1" x14ac:dyDescent="0.35"/>
    <row r="32" spans="2:8" ht="16.2" thickBot="1" x14ac:dyDescent="0.4">
      <c r="B32" s="293" t="s">
        <v>19</v>
      </c>
      <c r="C32" s="294"/>
      <c r="D32" s="295"/>
    </row>
  </sheetData>
  <mergeCells count="5">
    <mergeCell ref="B2:H2"/>
    <mergeCell ref="B10:H10"/>
    <mergeCell ref="B19:H19"/>
    <mergeCell ref="B18:H18"/>
    <mergeCell ref="B32:D32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Úkol 1</vt:lpstr>
      <vt:lpstr>Úkol 2</vt:lpstr>
      <vt:lpstr>Úkol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Lorenc</dc:creator>
  <cp:lastModifiedBy>Jan Lorenc</cp:lastModifiedBy>
  <dcterms:created xsi:type="dcterms:W3CDTF">2021-10-28T19:41:27Z</dcterms:created>
  <dcterms:modified xsi:type="dcterms:W3CDTF">2021-12-08T17:58:36Z</dcterms:modified>
</cp:coreProperties>
</file>