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03952f84c0642/Documents/Uni/DecisionTheory/Project1/"/>
    </mc:Choice>
  </mc:AlternateContent>
  <xr:revisionPtr revIDLastSave="0" documentId="8_{A5AE7412-D66F-4061-85F4-7624DBC9E530}" xr6:coauthVersionLast="47" xr6:coauthVersionMax="47" xr10:uidLastSave="{00000000-0000-0000-0000-000000000000}"/>
  <bookViews>
    <workbookView xWindow="-108" yWindow="-108" windowWidth="23256" windowHeight="12456" activeTab="2" xr2:uid="{EF468373-7BA3-419A-BB80-932CCDE0A79F}"/>
  </bookViews>
  <sheets>
    <sheet name="Current policy" sheetId="3" r:id="rId1"/>
    <sheet name="Wagner Whitin" sheetId="1" r:id="rId2"/>
    <sheet name="Silver Mea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B11" i="3"/>
  <c r="B10" i="3"/>
  <c r="B9" i="3"/>
  <c r="B8" i="3"/>
  <c r="B7" i="3"/>
  <c r="B6" i="3"/>
  <c r="B5" i="3"/>
  <c r="B4" i="3"/>
  <c r="B3" i="3"/>
  <c r="B2" i="3"/>
  <c r="H14" i="2"/>
  <c r="D5" i="2"/>
  <c r="C3" i="2"/>
  <c r="D6" i="2"/>
  <c r="D4" i="2"/>
  <c r="H13" i="2"/>
  <c r="H12" i="2"/>
  <c r="G12" i="2"/>
  <c r="G11" i="2"/>
  <c r="G10" i="2"/>
  <c r="F10" i="2"/>
  <c r="F9" i="2"/>
  <c r="F8" i="2"/>
  <c r="E8" i="2"/>
  <c r="E7" i="2"/>
  <c r="E6" i="2"/>
  <c r="C2" i="2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C2" i="1"/>
  <c r="D2" i="1" s="1"/>
  <c r="C4" i="2" l="1"/>
  <c r="E2" i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E5" i="1" l="1"/>
  <c r="F5" i="1" s="1"/>
  <c r="G5" i="1" s="1"/>
  <c r="H5" i="1" s="1"/>
  <c r="I5" i="1" s="1"/>
  <c r="J5" i="1" s="1"/>
  <c r="K5" i="1" s="1"/>
  <c r="L5" i="1" s="1"/>
  <c r="M5" i="1" s="1"/>
  <c r="N5" i="1" s="1"/>
  <c r="F2" i="1"/>
  <c r="G2" i="1" l="1"/>
  <c r="F6" i="1"/>
  <c r="G6" i="1" s="1"/>
  <c r="H6" i="1" s="1"/>
  <c r="I6" i="1" s="1"/>
  <c r="J6" i="1" s="1"/>
  <c r="K6" i="1" s="1"/>
  <c r="L6" i="1" s="1"/>
  <c r="M6" i="1" s="1"/>
  <c r="N6" i="1" s="1"/>
  <c r="H2" i="1" l="1"/>
  <c r="G7" i="1"/>
  <c r="H7" i="1" s="1"/>
  <c r="I7" i="1" s="1"/>
  <c r="J7" i="1" s="1"/>
  <c r="K7" i="1" s="1"/>
  <c r="L7" i="1" s="1"/>
  <c r="M7" i="1" s="1"/>
  <c r="N7" i="1" s="1"/>
  <c r="H8" i="1" l="1"/>
  <c r="I8" i="1" s="1"/>
  <c r="J8" i="1" s="1"/>
  <c r="K8" i="1" s="1"/>
  <c r="L8" i="1" s="1"/>
  <c r="M8" i="1" s="1"/>
  <c r="N8" i="1" s="1"/>
  <c r="I2" i="1"/>
  <c r="I9" i="1" l="1"/>
  <c r="J9" i="1" s="1"/>
  <c r="K9" i="1" s="1"/>
  <c r="L9" i="1" s="1"/>
  <c r="M9" i="1" s="1"/>
  <c r="N9" i="1" s="1"/>
  <c r="J2" i="1"/>
  <c r="J10" i="1" l="1"/>
  <c r="K10" i="1" s="1"/>
  <c r="L10" i="1" s="1"/>
  <c r="M10" i="1" s="1"/>
  <c r="N10" i="1" s="1"/>
  <c r="K2" i="1"/>
  <c r="L2" i="1" l="1"/>
  <c r="K11" i="1"/>
  <c r="L11" i="1" s="1"/>
  <c r="M11" i="1" s="1"/>
  <c r="N11" i="1" s="1"/>
  <c r="L12" i="1" l="1"/>
  <c r="M12" i="1" s="1"/>
  <c r="N12" i="1" s="1"/>
  <c r="M2" i="1"/>
  <c r="N2" i="1" l="1"/>
  <c r="M13" i="1"/>
  <c r="N13" i="1" s="1"/>
  <c r="N14" i="1" l="1"/>
</calcChain>
</file>

<file path=xl/sharedStrings.xml><?xml version="1.0" encoding="utf-8"?>
<sst xmlns="http://schemas.openxmlformats.org/spreadsheetml/2006/main" count="41" uniqueCount="30">
  <si>
    <t>D</t>
  </si>
  <si>
    <t>F(1)</t>
  </si>
  <si>
    <t>F(2)</t>
  </si>
  <si>
    <t>F(3)</t>
  </si>
  <si>
    <t>F(4)</t>
  </si>
  <si>
    <t>F(5)</t>
  </si>
  <si>
    <t>F(6)</t>
  </si>
  <si>
    <t>F(7)</t>
  </si>
  <si>
    <t>F(8)</t>
  </si>
  <si>
    <t>F(9)</t>
  </si>
  <si>
    <t>F(10)</t>
  </si>
  <si>
    <t>F(11)</t>
  </si>
  <si>
    <t>F(12)</t>
  </si>
  <si>
    <t>fixed costs</t>
  </si>
  <si>
    <t>variable costs</t>
  </si>
  <si>
    <t>carrying cost rate</t>
  </si>
  <si>
    <t>Month</t>
  </si>
  <si>
    <t>Jan+Feb</t>
  </si>
  <si>
    <t>Jan+Mar</t>
  </si>
  <si>
    <t>Jan+Apr</t>
  </si>
  <si>
    <t>Jan+May</t>
  </si>
  <si>
    <t>Jan+Jun</t>
  </si>
  <si>
    <t>Jan+Jul</t>
  </si>
  <si>
    <t>Jan+Aug</t>
  </si>
  <si>
    <t>Jan+Sep</t>
  </si>
  <si>
    <t>Jan+Oct</t>
  </si>
  <si>
    <t>Jan+Nov</t>
  </si>
  <si>
    <t>Jan+Dec</t>
  </si>
  <si>
    <t>Order Months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</si>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</sst>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/>
    <xf numFmtId="3" fontId="1" fillId="0" borderId="0" xfId="0" applyNumberFormat="1" applyFont="1"/>
    <xf numFmtId="3" fontId="0" fillId="2" borderId="0" xfId="0" applyNumberFormat="1" applyFill="1"/>
    <xf numFmtId="0" fontId="3" fillId="0" borderId="0" xfId="0" applyFont="1"/>
    <xf numFmtId="3" fontId="3" fillId="2" borderId="0" xfId="0" applyNumberFormat="1" applyFont="1" applyFill="1"/>
    <xf numFmtId="3" fontId="4" fillId="0" borderId="0" xfId="0" applyNumberFormat="1" applyFont="1"/>
  </cellXfs>
  <cellStyles count="1">
    <cellStyle name="Normal" xfId="0" builtinId="0"/>
  </cellStyles>
  <dxfs count="52"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9CAB43-EC9C-45F3-B319-D8C69AB5F920}" name="Tabel3" displayName="Tabel3" ref="A1:B12" totalsRowShown="0">
  <autoFilter ref="A1:B12" xr:uid="{BF9CAB43-EC9C-45F3-B319-D8C69AB5F920}"/>
  <tableColumns count="2">
    <tableColumn id="1" xr3:uid="{BDD944F3-BBC6-4EE6-BA55-B9DCF8F3AB10}" name="Order Months"/>
    <tableColumn id="2" xr3:uid="{CEFCBAFB-FAB9-4CD7-9B2A-5B83BDC0D617}" name="Cost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3BF60-9308-418A-BD8D-DAB451E9469D}" name="Tabel1" displayName="Tabel1" ref="A1:N14" totalsRowCount="1">
  <autoFilter ref="A1:N13" xr:uid="{ED73BF60-9308-418A-BD8D-DAB451E9469D}"/>
  <tableColumns count="14">
    <tableColumn id="1" xr3:uid="{29B7F507-6D40-4D74-A002-D81AF58F6250}" name="Month"/>
    <tableColumn id="2" xr3:uid="{F7706B4E-2AFD-410A-B419-534A771961BC}" name="D" totalsRowDxfId="50"/>
    <tableColumn id="3" xr3:uid="{1352CACA-A636-44FB-9DC2-C26ECD404183}" name="F(1)" dataDxfId="49" totalsRowDxfId="48"/>
    <tableColumn id="4" xr3:uid="{94826B86-0C78-4A0C-B3AA-C347731FF789}" name="F(2)" dataDxfId="47" totalsRowDxfId="46"/>
    <tableColumn id="5" xr3:uid="{18D1FB3A-F381-4377-840C-306BB3F238A5}" name="F(3)" dataDxfId="45" totalsRowDxfId="44"/>
    <tableColumn id="6" xr3:uid="{6F8E4A81-8F4B-4ED4-AC0B-CBA2A270DFCC}" name="F(4)" dataDxfId="43" totalsRowDxfId="42"/>
    <tableColumn id="7" xr3:uid="{DEFA03DE-20DF-4E78-9FDF-1FD4ADA49591}" name="F(5)" dataDxfId="41" totalsRowDxfId="40"/>
    <tableColumn id="8" xr3:uid="{567FADA6-D127-462B-A825-DDFF00AFEE63}" name="F(6)" dataDxfId="39" totalsRowDxfId="38"/>
    <tableColumn id="9" xr3:uid="{A1BBB520-D2FE-482D-82ED-9A87B5E610AB}" name="F(7)" dataDxfId="37" totalsRowDxfId="36"/>
    <tableColumn id="10" xr3:uid="{37EDD36E-B073-4414-9FB3-9DBDE12F413E}" name="F(8)" dataDxfId="35" totalsRowDxfId="34"/>
    <tableColumn id="11" xr3:uid="{69F2BE5E-7B42-4FAF-B906-5584514A7CAB}" name="F(9)" dataDxfId="33" totalsRowDxfId="32"/>
    <tableColumn id="12" xr3:uid="{D28A9585-6AD4-4D25-8EF1-58C5F836F651}" name="F(10)" dataDxfId="31" totalsRowDxfId="30"/>
    <tableColumn id="13" xr3:uid="{240675A9-AFB0-4028-8AB4-0E1830416EA9}" name="F(11)" dataDxfId="29" totalsRowDxfId="28"/>
    <tableColumn id="14" xr3:uid="{31C0AD22-8E00-47B4-B801-ACCEA4553084}" name="F(12)" totalsRowFunction="custom" dataDxfId="27" totalsRowDxfId="26">
      <totalsRowFormula>MIN(N1:N13)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0C88D-CB05-4532-B751-3095C05758F7}" name="Tabel13" displayName="Tabel13" ref="A1:H14" totalsRowCount="1">
  <autoFilter ref="A1:H13" xr:uid="{63C0C88D-CB05-4532-B751-3095C05758F7}"/>
  <tableColumns count="8">
    <tableColumn id="1" xr3:uid="{661DD431-CC37-4281-B59E-52C6FD483B1D}" name="Month" dataDxfId="25"/>
    <tableColumn id="2" xr3:uid="{509F7B36-621F-4B65-8464-21E111D7A3B7}" name="D" totalsRowDxfId="24"/>
    <tableColumn id="3" xr3:uid="{5C592D87-ED21-48DA-9582-B6663D578E97}" name="F(1)" dataDxfId="23" totalsRowDxfId="22"/>
    <tableColumn id="4" xr3:uid="{09F538BF-E48B-4DC0-A6AD-1EF9C7403661}" name="F(2)" dataDxfId="21" totalsRowDxfId="20"/>
    <tableColumn id="5" xr3:uid="{D36F7397-BFE1-4D42-9318-3008158BA400}" name="F(3)" dataDxfId="19" totalsRowDxfId="18"/>
    <tableColumn id="6" xr3:uid="{755E9ED3-EDBA-4232-B8BD-9253FEA205C6}" name="F(4)" dataDxfId="17" totalsRowDxfId="16"/>
    <tableColumn id="7" xr3:uid="{4B66A647-35B3-4579-AD8A-BB24F5937D09}" name="F(5)" dataDxfId="15" totalsRowDxfId="14"/>
    <tableColumn id="8" xr3:uid="{6461B0D1-CE91-4153-A1EF-563CE79569E6}" name="F(6)" totalsRowFunction="custom" dataDxfId="13" totalsRowDxfId="12">
      <totalsRowFormula>C3*2+D5*2+E7*2+F9*2+G11*2+H13*2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42B2-54F2-4BB4-B65D-E32068DC0BED}">
  <dimension ref="A1:B12"/>
  <sheetViews>
    <sheetView zoomScale="123" workbookViewId="0">
      <selection activeCell="C9" sqref="C9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17</v>
      </c>
      <c r="B2" s="2">
        <f>1600+'Wagner Whitin'!Q3*'Wagner Whitin'!Q4*('Wagner Whitin'!B4+2*'Wagner Whitin'!B5+3*'Wagner Whitin'!B6+4*'Wagner Whitin'!B7+5*'Wagner Whitin'!B8+6*'Wagner Whitin'!B9+7*'Wagner Whitin'!B10+8*'Wagner Whitin'!B11+9*'Wagner Whitin'!B12+10*'Wagner Whitin'!B13)</f>
        <v>19312</v>
      </c>
    </row>
    <row r="3" spans="1:2" x14ac:dyDescent="0.3">
      <c r="A3" t="s">
        <v>18</v>
      </c>
      <c r="B3" s="2">
        <f>1600+'Wagner Whitin'!Q3*'Wagner Whitin'!Q4*('Wagner Whitin'!B3+'Wagner Whitin'!B5+2*'Wagner Whitin'!B6+3*'Wagner Whitin'!B7+4*'Wagner Whitin'!B8+5*'Wagner Whitin'!B9+6*'Wagner Whitin'!B10+7*'Wagner Whitin'!B11+8*'Wagner Whitin'!B12+9*'Wagner Whitin'!B13)</f>
        <v>16348</v>
      </c>
    </row>
    <row r="4" spans="1:2" x14ac:dyDescent="0.3">
      <c r="A4" t="s">
        <v>19</v>
      </c>
      <c r="B4" s="2">
        <f>1600+'Wagner Whitin'!Q3*'Wagner Whitin'!Q4*('Wagner Whitin'!B3+2*'Wagner Whitin'!B4+'Wagner Whitin'!B6+2*'Wagner Whitin'!B7+3*'Wagner Whitin'!B8+4*'Wagner Whitin'!B9+5*'Wagner Whitin'!B10+6*'Wagner Whitin'!B11+7*'Wagner Whitin'!B12+8*'Wagner Whitin'!B13)</f>
        <v>14236</v>
      </c>
    </row>
    <row r="5" spans="1:2" x14ac:dyDescent="0.3">
      <c r="A5" t="s">
        <v>20</v>
      </c>
      <c r="B5" s="2">
        <f>1600+'Wagner Whitin'!Q3*'Wagner Whitin'!Q4*('Wagner Whitin'!B3+2*'Wagner Whitin'!B4+3*'Wagner Whitin'!B5+'Wagner Whitin'!B7+2*'Wagner Whitin'!B8+3*'Wagner Whitin'!B9+4*'Wagner Whitin'!B10+5*'Wagner Whitin'!B11+6*'Wagner Whitin'!B12+7*'Wagner Whitin'!B13)</f>
        <v>12484</v>
      </c>
    </row>
    <row r="6" spans="1:2" x14ac:dyDescent="0.3">
      <c r="A6" t="s">
        <v>21</v>
      </c>
      <c r="B6" s="2">
        <f>1600+'Wagner Whitin'!Q3*'Wagner Whitin'!Q4*('Wagner Whitin'!B3+2*'Wagner Whitin'!B4+3*'Wagner Whitin'!B5+4*'Wagner Whitin'!B6+'Wagner Whitin'!B8+2*'Wagner Whitin'!B9+3*'Wagner Whitin'!B10+4*'Wagner Whitin'!B11+5*'Wagner Whitin'!B12+6*'Wagner Whitin'!B13)</f>
        <v>11824</v>
      </c>
    </row>
    <row r="7" spans="1:2" x14ac:dyDescent="0.3">
      <c r="A7" t="s">
        <v>22</v>
      </c>
      <c r="B7" s="8">
        <f>1600+'Wagner Whitin'!Q3*'Wagner Whitin'!Q4*('Wagner Whitin'!B3+2*'Wagner Whitin'!B4+3*'Wagner Whitin'!B5+4*'Wagner Whitin'!B6+5*'Wagner Whitin'!B7+'Wagner Whitin'!B9+2*'Wagner Whitin'!B10+3*'Wagner Whitin'!B11+4*'Wagner Whitin'!B12+5*'Wagner Whitin'!B13)</f>
        <v>10708</v>
      </c>
    </row>
    <row r="8" spans="1:2" x14ac:dyDescent="0.3">
      <c r="A8" t="s">
        <v>23</v>
      </c>
      <c r="B8" s="2">
        <f>1600+'Wagner Whitin'!Q3*'Wagner Whitin'!Q4*('Wagner Whitin'!B3+2*'Wagner Whitin'!B4+3*'Wagner Whitin'!B5+4*'Wagner Whitin'!B6+5*'Wagner Whitin'!B7+6*'Wagner Whitin'!B8+'Wagner Whitin'!B10+2*'Wagner Whitin'!B11+3*'Wagner Whitin'!B12+4*'Wagner Whitin'!B13)</f>
        <v>11968</v>
      </c>
    </row>
    <row r="9" spans="1:2" x14ac:dyDescent="0.3">
      <c r="A9" t="s">
        <v>24</v>
      </c>
      <c r="B9" s="2">
        <f>1600+'Wagner Whitin'!Q3*'Wagner Whitin'!Q4*('Wagner Whitin'!B3+2*'Wagner Whitin'!B4+3*'Wagner Whitin'!B5+4*'Wagner Whitin'!B6+5*'Wagner Whitin'!B7+6*'Wagner Whitin'!B8+7*'Wagner Whitin'!B9+'Wagner Whitin'!B11+2*'Wagner Whitin'!B12+3*'Wagner Whitin'!B13)</f>
        <v>11668</v>
      </c>
    </row>
    <row r="10" spans="1:2" x14ac:dyDescent="0.3">
      <c r="A10" t="s">
        <v>25</v>
      </c>
      <c r="B10" s="2">
        <f>1600+'Wagner Whitin'!Q3*'Wagner Whitin'!Q4*('Wagner Whitin'!B3+2*'Wagner Whitin'!B4+3*'Wagner Whitin'!B5+4*'Wagner Whitin'!B6+5*'Wagner Whitin'!B7+6*'Wagner Whitin'!B8+7*'Wagner Whitin'!B9+8*'Wagner Whitin'!B10+'Wagner Whitin'!B12+2*'Wagner Whitin'!B13)</f>
        <v>14812</v>
      </c>
    </row>
    <row r="11" spans="1:2" x14ac:dyDescent="0.3">
      <c r="A11" t="s">
        <v>26</v>
      </c>
      <c r="B11" s="2">
        <f>1600+'Wagner Whitin'!Q3*'Wagner Whitin'!Q4*('Wagner Whitin'!B3+2*'Wagner Whitin'!B4+3*'Wagner Whitin'!B5+4*'Wagner Whitin'!B6+5*'Wagner Whitin'!B7+6*'Wagner Whitin'!B8+7*'Wagner Whitin'!B9+8*'Wagner Whitin'!B10+9*'Wagner Whitin'!B11 + 'Wagner Whitin'!B13)</f>
        <v>15484</v>
      </c>
    </row>
    <row r="12" spans="1:2" x14ac:dyDescent="0.3">
      <c r="A12" t="s">
        <v>27</v>
      </c>
      <c r="B12" s="2">
        <f>1600+'Wagner Whitin'!Q3*'Wagner Whitin'!Q4*('Wagner Whitin'!B3+2*'Wagner Whitin'!B4+3*'Wagner Whitin'!B5+4*'Wagner Whitin'!B6+5*'Wagner Whitin'!B7+6*'Wagner Whitin'!B8+7*'Wagner Whitin'!B9+8*'Wagner Whitin'!B10+9*'Wagner Whitin'!B11 +10*'Wagner Whitin'!B12)</f>
        <v>19768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B281-B5F3-4ADA-B914-FB1A6E386C12}">
  <dimension ref="A1:Q14"/>
  <sheetViews>
    <sheetView workbookViewId="0">
      <selection activeCell="P3" sqref="P3"/>
    </sheetView>
  </sheetViews>
  <sheetFormatPr defaultRowHeight="14.4" x14ac:dyDescent="0.3"/>
  <cols>
    <col min="19" max="19" width="14.21875" customWidth="1"/>
    <col min="20" max="20" width="14.77734375" customWidth="1"/>
  </cols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3">
      <c r="A2" s="1">
        <v>1</v>
      </c>
      <c r="B2">
        <v>20</v>
      </c>
      <c r="C2" s="5">
        <f>Q2</f>
        <v>800</v>
      </c>
      <c r="D2" s="7">
        <f>Tabel1[[#This Row],[F(1)]]+B3*Q3*Q4</f>
        <v>1064</v>
      </c>
      <c r="E2" s="3">
        <f>Tabel1[[#This Row],[F(2)]]+2*B4*Q3*Q4</f>
        <v>1808</v>
      </c>
      <c r="F2" s="2">
        <f>Tabel1[[#This Row],[F(3)]]+3*B5*Q3*Q4</f>
        <v>2636</v>
      </c>
      <c r="G2" s="2">
        <f>Tabel1[[#This Row],[F(4)]]+4*B6*Q3*Q4</f>
        <v>4172</v>
      </c>
      <c r="H2" s="2">
        <f>Tabel1[[#This Row],[F(5)]]+5*B7*Q3*Q4</f>
        <v>5072</v>
      </c>
      <c r="I2" s="2">
        <f>Tabel1[[#This Row],[F(6)]]+6*B8*Q3*Q4</f>
        <v>7880</v>
      </c>
      <c r="J2" s="2">
        <f>Tabel1[[#This Row],[F(7)]]+7*B9*Q3*Q4</f>
        <v>8972</v>
      </c>
      <c r="K2" s="2">
        <f>Tabel1[[#This Row],[F(8)]]+8*B10*Q3*Q4</f>
        <v>13004</v>
      </c>
      <c r="L2" s="2">
        <f>Tabel1[[#This Row],[F(9)]]+9*B11*Q3*Q4</f>
        <v>14408</v>
      </c>
      <c r="M2" s="2">
        <f>Tabel1[[#This Row],[F(10)]]+10*B12*Q3*Q4</f>
        <v>18968</v>
      </c>
      <c r="N2" s="2">
        <f>Tabel1[[#This Row],[F(11)]]+11*B13*Q3*Q4</f>
        <v>22004</v>
      </c>
      <c r="P2" t="s">
        <v>13</v>
      </c>
      <c r="Q2">
        <v>800</v>
      </c>
    </row>
    <row r="3" spans="1:17" x14ac:dyDescent="0.3">
      <c r="A3">
        <v>2</v>
      </c>
      <c r="B3">
        <v>22</v>
      </c>
      <c r="C3" s="4">
        <f>MIN(C2)</f>
        <v>800</v>
      </c>
      <c r="D3" s="5">
        <f>Tabel1[[#This Row],[F(1)]]+Q2</f>
        <v>1600</v>
      </c>
      <c r="E3" s="2">
        <f>Tabel1[[#This Row],[F(2)]]+B4*Q3*Q4</f>
        <v>1972</v>
      </c>
      <c r="F3" s="2">
        <f>Tabel1[[#This Row],[F(3)]]+2*B5*Q3*Q4</f>
        <v>2524</v>
      </c>
      <c r="G3" s="2">
        <f>Tabel1[[#This Row],[F(4)]]+3*B6*Q3*Q4</f>
        <v>3676</v>
      </c>
      <c r="H3" s="2">
        <f>Tabel1[[#This Row],[F(5)]]+4*B7*Q3*Q4</f>
        <v>4396</v>
      </c>
      <c r="I3" s="2">
        <f>Tabel1[[#This Row],[F(6)]]+5*B8*Q3*Q4</f>
        <v>6736</v>
      </c>
      <c r="J3" s="2">
        <f>Tabel1[[#This Row],[F(7)]]+6*B9*Q3*Q4</f>
        <v>7672</v>
      </c>
      <c r="K3" s="2">
        <f>Tabel1[[#This Row],[F(8)]]+7*B10*Q3*Q4</f>
        <v>11200</v>
      </c>
      <c r="L3" s="2">
        <f>Tabel1[[#This Row],[F(9)]]+8*B11*Q3*Q4</f>
        <v>12448</v>
      </c>
      <c r="M3" s="2">
        <f>Tabel1[[#This Row],[F(10)]]+9*B12*Q3*Q4</f>
        <v>16552</v>
      </c>
      <c r="N3" s="2">
        <f>Tabel1[[#This Row],[F(11)]]+10*B13*Q3*Q4</f>
        <v>19312</v>
      </c>
      <c r="P3" t="s">
        <v>14</v>
      </c>
      <c r="Q3">
        <v>400</v>
      </c>
    </row>
    <row r="4" spans="1:17" x14ac:dyDescent="0.3">
      <c r="A4" s="1">
        <v>3</v>
      </c>
      <c r="B4">
        <v>31</v>
      </c>
      <c r="C4" s="2"/>
      <c r="D4" s="4">
        <f>MIN(D2:D3)</f>
        <v>1064</v>
      </c>
      <c r="E4" s="5">
        <f>Tabel1[[#This Row],[F(2)]]+Q2</f>
        <v>1864</v>
      </c>
      <c r="F4" s="7">
        <f>Tabel1[[#This Row],[F(3)]]+B5*Q3*Q4</f>
        <v>2140</v>
      </c>
      <c r="G4" s="3">
        <f>Tabel1[[#This Row],[F(4)]]+2*B6*Q3*Q4</f>
        <v>2908</v>
      </c>
      <c r="H4" s="2">
        <f>Tabel1[[#This Row],[F(5)]]+3*B7*Q3*Q4</f>
        <v>3448</v>
      </c>
      <c r="I4" s="2">
        <f>Tabel1[[#This Row],[F(6)]]+4*B8*Q3*Q4</f>
        <v>5320</v>
      </c>
      <c r="J4" s="2">
        <f>Tabel1[[#This Row],[F(7)]]+5*B9*Q3*Q4</f>
        <v>6100</v>
      </c>
      <c r="K4" s="2">
        <f>Tabel1[[#This Row],[F(8)]]+6*B10*Q3*Q4</f>
        <v>9124</v>
      </c>
      <c r="L4" s="2">
        <f>Tabel1[[#This Row],[F(9)]]+7*B11*Q3*Q4</f>
        <v>10216</v>
      </c>
      <c r="M4" s="2">
        <f>Tabel1[[#This Row],[F(10)]]+8*B12*Q3*Q4</f>
        <v>13864</v>
      </c>
      <c r="N4" s="2">
        <f>Tabel1[[#This Row],[F(11)]]+9*B13*Q3*Q4</f>
        <v>16348</v>
      </c>
      <c r="P4" t="s">
        <v>15</v>
      </c>
      <c r="Q4">
        <v>0.03</v>
      </c>
    </row>
    <row r="5" spans="1:17" x14ac:dyDescent="0.3">
      <c r="A5">
        <v>4</v>
      </c>
      <c r="B5">
        <v>23</v>
      </c>
      <c r="C5" s="2"/>
      <c r="D5" s="2"/>
      <c r="E5" s="4">
        <f>MIN(E2:E4)</f>
        <v>1808</v>
      </c>
      <c r="F5" s="5">
        <f>Tabel1[[#This Row],[F(3)]]+Q2</f>
        <v>2608</v>
      </c>
      <c r="G5" s="2">
        <f>Tabel1[[#This Row],[F(4)]]+B6*Q3*Q4</f>
        <v>2992</v>
      </c>
      <c r="H5" s="2">
        <f>Tabel1[[#This Row],[F(5)]]+2*B7*Q3*Q4</f>
        <v>3352</v>
      </c>
      <c r="I5" s="2">
        <f>Tabel1[[#This Row],[F(6)]]+3*B8*Q3*Q4</f>
        <v>4756</v>
      </c>
      <c r="J5" s="2">
        <f>Tabel1[[#This Row],[F(7)]]+4*B9*Q3*Q4</f>
        <v>5380</v>
      </c>
      <c r="K5" s="2">
        <f>Tabel1[[#This Row],[F(8)]]+5*B10*Q3*Q4</f>
        <v>7900</v>
      </c>
      <c r="L5" s="2">
        <f>Tabel1[[#This Row],[F(9)]]+6*B11*Q3*Q4</f>
        <v>8836</v>
      </c>
      <c r="M5" s="2">
        <f>Tabel1[[#This Row],[F(10)]]+7*B12*Q3*Q4</f>
        <v>12028</v>
      </c>
      <c r="N5" s="2">
        <f>Tabel1[[#This Row],[F(11)]]+8*B13*Q3*Q4</f>
        <v>14236</v>
      </c>
    </row>
    <row r="6" spans="1:17" x14ac:dyDescent="0.3">
      <c r="A6" s="1">
        <v>5</v>
      </c>
      <c r="B6">
        <v>32</v>
      </c>
      <c r="C6" s="2"/>
      <c r="D6" s="2"/>
      <c r="E6" s="2"/>
      <c r="F6" s="4">
        <f>MIN(F2:F5)</f>
        <v>2140</v>
      </c>
      <c r="G6" s="5">
        <f>Tabel1[[#This Row],[F(4)]]+Q2</f>
        <v>2940</v>
      </c>
      <c r="H6" s="7">
        <f>Tabel1[[#This Row],[F(5)]]+B7*Q3*Q4</f>
        <v>3120</v>
      </c>
      <c r="I6" s="2">
        <f>Tabel1[[#This Row],[F(6)]]+2*B8*Q3*Q4</f>
        <v>4056</v>
      </c>
      <c r="J6" s="2">
        <f>Tabel1[[#This Row],[F(7)]]+3*B9*Q3*Q4</f>
        <v>4524</v>
      </c>
      <c r="K6" s="2">
        <f>Tabel1[[#This Row],[F(8)]]+4*B10*Q3*Q4</f>
        <v>6540</v>
      </c>
      <c r="L6" s="2">
        <f>Tabel1[[#This Row],[F(9)]]+5*B11*Q3*Q4</f>
        <v>7320</v>
      </c>
      <c r="M6" s="2">
        <f>Tabel1[[#This Row],[F(10)]]+6*B12*Q3*Q4</f>
        <v>10056</v>
      </c>
      <c r="N6" s="2">
        <f>Tabel1[[#This Row],[F(11)]]+7*B13*Q3*Q4</f>
        <v>11988</v>
      </c>
    </row>
    <row r="7" spans="1:17" x14ac:dyDescent="0.3">
      <c r="A7">
        <v>6</v>
      </c>
      <c r="B7">
        <v>15</v>
      </c>
      <c r="C7" s="2"/>
      <c r="D7" s="2"/>
      <c r="E7" s="2"/>
      <c r="F7" s="2"/>
      <c r="G7" s="4">
        <f>MIN(G1:G6)</f>
        <v>2908</v>
      </c>
      <c r="H7" s="5">
        <f>Tabel1[[#This Row],[F(5)]]+Q2</f>
        <v>3708</v>
      </c>
      <c r="I7" s="2">
        <f>Tabel1[[#This Row],[F(6)]]+1*B8*Q3*Q4</f>
        <v>4176</v>
      </c>
      <c r="J7" s="2">
        <f>Tabel1[[#This Row],[F(7)]]+2*B9*Q3*Q4</f>
        <v>4488</v>
      </c>
      <c r="K7" s="2">
        <f>Tabel1[[#This Row],[F(8)]]+3*B10*Q3*Q4</f>
        <v>6000</v>
      </c>
      <c r="L7" s="2">
        <f>Tabel1[[#This Row],[F(9)]]+4*B11*Q3*Q4</f>
        <v>6624</v>
      </c>
      <c r="M7" s="2">
        <f>Tabel1[[#This Row],[F(10)]]+5*B12*Q3*Q4</f>
        <v>8904</v>
      </c>
      <c r="N7" s="2">
        <f>Tabel1[[#This Row],[F(11)]]+6*B13*Q3*Q4</f>
        <v>10560</v>
      </c>
    </row>
    <row r="8" spans="1:17" x14ac:dyDescent="0.3">
      <c r="A8" s="1">
        <v>7</v>
      </c>
      <c r="B8">
        <v>39</v>
      </c>
      <c r="C8" s="2"/>
      <c r="D8" s="2"/>
      <c r="E8" s="2"/>
      <c r="F8" s="2"/>
      <c r="G8" s="2"/>
      <c r="H8" s="4">
        <f>MIN(H1:H7)</f>
        <v>3120</v>
      </c>
      <c r="I8" s="5">
        <f>Tabel1[[#This Row],[F(6)]]+Q2</f>
        <v>3920</v>
      </c>
      <c r="J8" s="7">
        <f>Tabel1[[#This Row],[F(7)]]+1*B9*Q3*Q4</f>
        <v>4076</v>
      </c>
      <c r="K8" s="2">
        <f>Tabel1[[#This Row],[F(8)]]+2*B10*Q3*Q4</f>
        <v>5084</v>
      </c>
      <c r="L8" s="2">
        <f>Tabel1[[#This Row],[F(9)]]+3*B11*Q3*Q4</f>
        <v>5552</v>
      </c>
      <c r="M8" s="2">
        <f>Tabel1[[#This Row],[F(10)]]+4*B12*Q3*Q4</f>
        <v>7376</v>
      </c>
      <c r="N8" s="2">
        <f>Tabel1[[#This Row],[F(11)]]+5*B13*Q3*Q4</f>
        <v>8756</v>
      </c>
    </row>
    <row r="9" spans="1:17" x14ac:dyDescent="0.3">
      <c r="A9">
        <v>8</v>
      </c>
      <c r="B9">
        <v>13</v>
      </c>
      <c r="C9" s="2"/>
      <c r="D9" s="2"/>
      <c r="E9" s="2"/>
      <c r="F9" s="2"/>
      <c r="G9" s="2"/>
      <c r="H9" s="2"/>
      <c r="I9" s="4">
        <f>MIN(I1:I8)</f>
        <v>3920</v>
      </c>
      <c r="J9" s="5">
        <f>Tabel1[[#This Row],[F(7)]]+Q2</f>
        <v>4720</v>
      </c>
      <c r="K9" s="2">
        <f>Tabel1[[#This Row],[F(8)]]+1*B10*Q3*Q4</f>
        <v>5224</v>
      </c>
      <c r="L9" s="2">
        <f>Tabel1[[#This Row],[F(9)]]+2*B11*Q3*Q4</f>
        <v>5536</v>
      </c>
      <c r="M9" s="2">
        <f>Tabel1[[#This Row],[F(10)]]+3*B12*Q3*Q4</f>
        <v>6904</v>
      </c>
      <c r="N9" s="2">
        <f>Tabel1[[#This Row],[F(11)]]+4*B13*Q3*Q4</f>
        <v>8008</v>
      </c>
    </row>
    <row r="10" spans="1:17" x14ac:dyDescent="0.3">
      <c r="A10" s="1">
        <v>9</v>
      </c>
      <c r="B10">
        <v>42</v>
      </c>
      <c r="C10" s="2"/>
      <c r="D10" s="2"/>
      <c r="E10" s="2"/>
      <c r="F10" s="2"/>
      <c r="G10" s="2"/>
      <c r="H10" s="2"/>
      <c r="I10" s="2"/>
      <c r="J10" s="4">
        <f>MIN(J1:J9)</f>
        <v>4076</v>
      </c>
      <c r="K10" s="5">
        <f>Tabel1[[#This Row],[F(8)]]+Q2</f>
        <v>4876</v>
      </c>
      <c r="L10" s="7">
        <f>Tabel1[[#This Row],[F(9)]]+1*B11*Q3*Q4</f>
        <v>5032</v>
      </c>
      <c r="M10" s="2">
        <f>Tabel1[[#This Row],[F(10)]]+2*B12*Q3*Q4</f>
        <v>5944</v>
      </c>
      <c r="N10" s="2">
        <f>Tabel1[[#This Row],[F(11)]]+3*B13*Q3*Q4</f>
        <v>6772</v>
      </c>
    </row>
    <row r="11" spans="1:17" x14ac:dyDescent="0.3">
      <c r="A11">
        <v>10</v>
      </c>
      <c r="B11">
        <v>13</v>
      </c>
      <c r="C11" s="2"/>
      <c r="D11" s="2"/>
      <c r="E11" s="2"/>
      <c r="F11" s="2"/>
      <c r="G11" s="2"/>
      <c r="H11" s="2"/>
      <c r="I11" s="2"/>
      <c r="J11" s="2"/>
      <c r="K11" s="4">
        <f>MIN(K1:K10)</f>
        <v>4876</v>
      </c>
      <c r="L11" s="5">
        <f>Tabel1[[#This Row],[F(9)]]+Q2</f>
        <v>5676</v>
      </c>
      <c r="M11" s="2">
        <f>Tabel1[[#This Row],[F(10)]]+1*B12*Q3*Q4</f>
        <v>6132</v>
      </c>
      <c r="N11" s="2">
        <f>Tabel1[[#This Row],[F(11)]]+3*B13*Q3*Q4</f>
        <v>6960</v>
      </c>
    </row>
    <row r="12" spans="1:17" x14ac:dyDescent="0.3">
      <c r="A12" s="1">
        <v>11</v>
      </c>
      <c r="B12">
        <v>38</v>
      </c>
      <c r="C12" s="2"/>
      <c r="D12" s="2"/>
      <c r="E12" s="2"/>
      <c r="F12" s="2"/>
      <c r="G12" s="2"/>
      <c r="H12" s="2"/>
      <c r="I12" s="2"/>
      <c r="J12" s="2"/>
      <c r="K12" s="2"/>
      <c r="L12" s="4">
        <f>MIN(L1:L11)</f>
        <v>5032</v>
      </c>
      <c r="M12" s="5">
        <f>Tabel1[[#This Row],[F(10)]]+Q2</f>
        <v>5832</v>
      </c>
      <c r="N12" s="7">
        <f>Tabel1[[#This Row],[F(11)]]+1*B13*Q3*Q4</f>
        <v>6108</v>
      </c>
    </row>
    <row r="13" spans="1:17" x14ac:dyDescent="0.3">
      <c r="A13">
        <v>12</v>
      </c>
      <c r="B13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f>MIN(M1:M12)</f>
        <v>5832</v>
      </c>
      <c r="N13" s="5">
        <f>Tabel1[[#This Row],[F(11)]]+Q2</f>
        <v>6632</v>
      </c>
    </row>
    <row r="14" spans="1:17" x14ac:dyDescent="0.3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>
        <f>MIN(N1:N13)</f>
        <v>6108</v>
      </c>
    </row>
  </sheetData>
  <conditionalFormatting sqref="C2">
    <cfRule type="top10" dxfId="11" priority="13" bottom="1" rank="1"/>
  </conditionalFormatting>
  <conditionalFormatting sqref="D2:D3">
    <cfRule type="top10" dxfId="10" priority="14" bottom="1" rank="1"/>
  </conditionalFormatting>
  <conditionalFormatting sqref="E2:E4">
    <cfRule type="top10" dxfId="9" priority="12" bottom="1" rank="1"/>
  </conditionalFormatting>
  <conditionalFormatting sqref="F2:F5">
    <cfRule type="top10" dxfId="8" priority="11" bottom="1" rank="1"/>
  </conditionalFormatting>
  <conditionalFormatting sqref="G2:G6">
    <cfRule type="top10" dxfId="7" priority="10" bottom="1" rank="1"/>
  </conditionalFormatting>
  <conditionalFormatting sqref="H2:H7">
    <cfRule type="top10" dxfId="6" priority="9" bottom="1" rank="1"/>
  </conditionalFormatting>
  <conditionalFormatting sqref="I2:I8">
    <cfRule type="top10" dxfId="5" priority="8" bottom="1" rank="1"/>
  </conditionalFormatting>
  <conditionalFormatting sqref="J2:J9">
    <cfRule type="top10" dxfId="4" priority="7" bottom="1" rank="1"/>
  </conditionalFormatting>
  <conditionalFormatting sqref="K2:K10">
    <cfRule type="top10" dxfId="3" priority="6" bottom="1" rank="1"/>
  </conditionalFormatting>
  <conditionalFormatting sqref="L2:L11">
    <cfRule type="top10" dxfId="2" priority="5" bottom="1" rank="1"/>
  </conditionalFormatting>
  <conditionalFormatting sqref="M2:M12">
    <cfRule type="top10" dxfId="1" priority="4" bottom="1" rank="1"/>
  </conditionalFormatting>
  <conditionalFormatting sqref="N2:N13">
    <cfRule type="top10" dxfId="0" priority="2" bottom="1" rank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7C84-4FA7-4108-A67B-C60C065A151D}">
  <dimension ref="A1:K14"/>
  <sheetViews>
    <sheetView tabSelected="1" workbookViewId="0"/>
  </sheetViews>
  <sheetFormatPr defaultRowHeight="14.4" x14ac:dyDescent="0.3"/>
  <sheetData>
    <row r="1" spans="1:11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3">
      <c r="A2" s="1">
        <v>1</v>
      </c>
      <c r="B2">
        <v>20</v>
      </c>
      <c r="C2" s="3">
        <f>K2</f>
        <v>800</v>
      </c>
      <c r="D2" s="3"/>
      <c r="E2" s="3"/>
      <c r="F2" s="3"/>
      <c r="G2" s="3"/>
      <c r="H2" s="3"/>
      <c r="J2" t="s">
        <v>13</v>
      </c>
      <c r="K2">
        <v>800</v>
      </c>
    </row>
    <row r="3" spans="1:11" x14ac:dyDescent="0.3">
      <c r="A3">
        <v>2</v>
      </c>
      <c r="B3">
        <v>22</v>
      </c>
      <c r="C3" s="8">
        <f>(C2+K3*K4*B3)/2</f>
        <v>532</v>
      </c>
      <c r="D3" s="3"/>
      <c r="E3" s="3"/>
      <c r="F3" s="3"/>
      <c r="G3" s="3"/>
      <c r="H3" s="3"/>
      <c r="J3" t="s">
        <v>14</v>
      </c>
      <c r="K3">
        <v>400</v>
      </c>
    </row>
    <row r="4" spans="1:11" x14ac:dyDescent="0.3">
      <c r="A4" s="1">
        <v>3</v>
      </c>
      <c r="B4">
        <v>31</v>
      </c>
      <c r="C4" s="3">
        <f>(C3*2+2*K3*K4*B4)/3</f>
        <v>602.66666666666663</v>
      </c>
      <c r="D4" s="3">
        <f>K2</f>
        <v>800</v>
      </c>
      <c r="E4" s="3"/>
      <c r="F4" s="3"/>
      <c r="G4" s="3"/>
      <c r="H4" s="3"/>
      <c r="J4" t="s">
        <v>15</v>
      </c>
      <c r="K4">
        <v>0.03</v>
      </c>
    </row>
    <row r="5" spans="1:11" x14ac:dyDescent="0.3">
      <c r="A5">
        <v>4</v>
      </c>
      <c r="B5">
        <v>23</v>
      </c>
      <c r="C5" s="3"/>
      <c r="D5" s="8">
        <f>(K2+K3*K4*(B5))/2</f>
        <v>538</v>
      </c>
      <c r="E5" s="3"/>
      <c r="F5" s="3"/>
      <c r="G5" s="3"/>
      <c r="H5" s="3"/>
    </row>
    <row r="6" spans="1:11" x14ac:dyDescent="0.3">
      <c r="A6" s="1">
        <v>5</v>
      </c>
      <c r="B6">
        <v>32</v>
      </c>
      <c r="C6" s="3"/>
      <c r="D6" s="3">
        <f>(K2+(B5+2*B6)*K3*K4)/3</f>
        <v>614.66666666666663</v>
      </c>
      <c r="E6" s="3">
        <f>K2</f>
        <v>800</v>
      </c>
      <c r="F6" s="3"/>
      <c r="G6" s="3"/>
      <c r="H6" s="3"/>
    </row>
    <row r="7" spans="1:11" x14ac:dyDescent="0.3">
      <c r="A7">
        <v>6</v>
      </c>
      <c r="B7">
        <v>15</v>
      </c>
      <c r="C7" s="3"/>
      <c r="D7" s="3"/>
      <c r="E7" s="8">
        <f>(K2+K3*K4*(B7))/2</f>
        <v>490</v>
      </c>
      <c r="F7" s="3"/>
      <c r="G7" s="3"/>
      <c r="H7" s="3"/>
    </row>
    <row r="8" spans="1:11" x14ac:dyDescent="0.3">
      <c r="A8" s="1">
        <v>7</v>
      </c>
      <c r="B8">
        <v>39</v>
      </c>
      <c r="C8" s="3"/>
      <c r="D8" s="3"/>
      <c r="E8" s="3">
        <f>(K2+K3*K4*(B7+2*B8))/3</f>
        <v>638.66666666666663</v>
      </c>
      <c r="F8" s="3">
        <f>K2</f>
        <v>800</v>
      </c>
      <c r="G8" s="3"/>
      <c r="H8" s="3"/>
    </row>
    <row r="9" spans="1:11" x14ac:dyDescent="0.3">
      <c r="A9">
        <v>8</v>
      </c>
      <c r="B9">
        <v>13</v>
      </c>
      <c r="C9" s="3"/>
      <c r="D9" s="3"/>
      <c r="E9" s="3"/>
      <c r="F9" s="8">
        <f>(K2+K3*K4*(B9))/2</f>
        <v>478</v>
      </c>
      <c r="G9" s="3"/>
      <c r="H9" s="3"/>
    </row>
    <row r="10" spans="1:11" x14ac:dyDescent="0.3">
      <c r="A10" s="1">
        <v>9</v>
      </c>
      <c r="B10">
        <v>42</v>
      </c>
      <c r="C10" s="3"/>
      <c r="D10" s="3"/>
      <c r="E10" s="3"/>
      <c r="F10" s="3">
        <f>(K2+K3*K4*(B9+2*B10))/3</f>
        <v>654.66666666666663</v>
      </c>
      <c r="G10" s="3">
        <f>K2</f>
        <v>800</v>
      </c>
      <c r="H10" s="3"/>
    </row>
    <row r="11" spans="1:11" x14ac:dyDescent="0.3">
      <c r="A11">
        <v>10</v>
      </c>
      <c r="B11">
        <v>13</v>
      </c>
      <c r="C11" s="3"/>
      <c r="D11" s="3"/>
      <c r="E11" s="3"/>
      <c r="F11" s="3"/>
      <c r="G11" s="8">
        <f>(K2+K3*K4*(B11))/2</f>
        <v>478</v>
      </c>
      <c r="H11" s="3"/>
    </row>
    <row r="12" spans="1:11" x14ac:dyDescent="0.3">
      <c r="A12" s="1">
        <v>11</v>
      </c>
      <c r="B12">
        <v>38</v>
      </c>
      <c r="C12" s="3"/>
      <c r="D12" s="3"/>
      <c r="E12" s="3"/>
      <c r="F12" s="3"/>
      <c r="G12" s="3">
        <f>(K2+K3*K4*(B11+2*B12))/3</f>
        <v>622.66666666666663</v>
      </c>
      <c r="H12" s="3">
        <f>K2</f>
        <v>800</v>
      </c>
    </row>
    <row r="13" spans="1:11" x14ac:dyDescent="0.3">
      <c r="A13">
        <v>12</v>
      </c>
      <c r="B13">
        <v>23</v>
      </c>
      <c r="C13" s="3"/>
      <c r="D13" s="3"/>
      <c r="E13" s="3"/>
      <c r="F13" s="3"/>
      <c r="G13" s="3"/>
      <c r="H13" s="8">
        <f>(K2+K3*K4*(B13))/2</f>
        <v>538</v>
      </c>
    </row>
    <row r="14" spans="1:11" x14ac:dyDescent="0.3">
      <c r="B14" s="6"/>
      <c r="C14" s="3"/>
      <c r="D14" s="3"/>
      <c r="E14" s="3"/>
      <c r="F14" s="3"/>
      <c r="G14" s="3"/>
      <c r="H14" s="3">
        <f>C3*2+D5*2+E7*2+F9*2+G11*2+H13*2</f>
        <v>6108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09763D9E92C4AB56B783DF7C7CDCA" ma:contentTypeVersion="0" ma:contentTypeDescription="Een nieuw document maken." ma:contentTypeScope="" ma:versionID="f56917b846322bf7e3d71c3b179fb06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40277cf85acc2bba7b9ea02b61bd7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CEA47-23FB-4766-8C57-6836291E26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E1EBF7-52A5-45E4-AD42-0AC256122DE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699042B-32FF-4FF8-B181-DDCC278F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policy</vt:lpstr>
      <vt:lpstr>Wagner Whitin</vt:lpstr>
      <vt:lpstr>Silver Meal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Verbeeke</dc:creator>
  <cp:keywords/>
  <dc:description/>
  <cp:lastModifiedBy>Lorenzo Termaat</cp:lastModifiedBy>
  <cp:revision/>
  <dcterms:created xsi:type="dcterms:W3CDTF">2023-02-28T09:58:13Z</dcterms:created>
  <dcterms:modified xsi:type="dcterms:W3CDTF">2023-03-12T20:37:40Z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0x010100A0509763D9E92C4AB56B783DF7C7CDCA</vt:lpwstr>
  </property>
</Properties>
</file>