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6180" windowWidth="20550" windowHeight="1170" activeTab="6"/>
  </bookViews>
  <sheets>
    <sheet name="Bluetooth" sheetId="9" r:id="rId1"/>
    <sheet name="Batteries" sheetId="1" r:id="rId2"/>
    <sheet name="Packets Structures" sheetId="7" r:id="rId3"/>
    <sheet name="Tab. Intervals" sheetId="6" r:id="rId4"/>
    <sheet name="hp. 1.0" sheetId="3" r:id="rId5"/>
    <sheet name="hp.2.0" sheetId="8" r:id="rId6"/>
    <sheet name="hp.3.0" sheetId="10" r:id="rId7"/>
    <sheet name="Unity measures" sheetId="4" r:id="rId8"/>
  </sheets>
  <calcPr calcId="125725"/>
</workbook>
</file>

<file path=xl/calcChain.xml><?xml version="1.0" encoding="utf-8"?>
<calcChain xmlns="http://schemas.openxmlformats.org/spreadsheetml/2006/main">
  <c r="F12" i="10"/>
  <c r="AH12"/>
  <c r="AG12"/>
  <c r="AE12"/>
  <c r="AF12" s="1"/>
  <c r="AD12"/>
  <c r="AB12" s="1"/>
  <c r="AA12"/>
  <c r="Y12"/>
  <c r="W12"/>
  <c r="U12"/>
  <c r="S12"/>
  <c r="Q12"/>
  <c r="O12"/>
  <c r="M12"/>
  <c r="L12"/>
  <c r="K12"/>
  <c r="J12"/>
  <c r="H12"/>
  <c r="C4"/>
  <c r="B4"/>
  <c r="B3"/>
  <c r="S6" i="1"/>
  <c r="T6" s="1"/>
  <c r="U6" s="1"/>
  <c r="V6"/>
  <c r="W6"/>
  <c r="X6" s="1"/>
  <c r="Y6"/>
  <c r="Z6" s="1"/>
  <c r="AA6" s="1"/>
  <c r="S7"/>
  <c r="T7"/>
  <c r="U7" s="1"/>
  <c r="V7"/>
  <c r="W7" s="1"/>
  <c r="X7" s="1"/>
  <c r="Y7"/>
  <c r="Z7"/>
  <c r="AA7" s="1"/>
  <c r="S8"/>
  <c r="T8" s="1"/>
  <c r="U8" s="1"/>
  <c r="V8"/>
  <c r="W8"/>
  <c r="X8" s="1"/>
  <c r="Y8"/>
  <c r="Z8" s="1"/>
  <c r="AA8" s="1"/>
  <c r="S9"/>
  <c r="T9"/>
  <c r="U9" s="1"/>
  <c r="V9"/>
  <c r="W9" s="1"/>
  <c r="X9" s="1"/>
  <c r="Y9"/>
  <c r="Z9"/>
  <c r="AA9" s="1"/>
  <c r="S10"/>
  <c r="T10" s="1"/>
  <c r="U10" s="1"/>
  <c r="V10"/>
  <c r="W10"/>
  <c r="X10" s="1"/>
  <c r="Y10"/>
  <c r="Z10" s="1"/>
  <c r="AA10" s="1"/>
  <c r="S11"/>
  <c r="T11"/>
  <c r="U11" s="1"/>
  <c r="V11"/>
  <c r="W11" s="1"/>
  <c r="X11" s="1"/>
  <c r="Y11"/>
  <c r="Z11"/>
  <c r="AA11" s="1"/>
  <c r="S12"/>
  <c r="T12" s="1"/>
  <c r="U12" s="1"/>
  <c r="V12"/>
  <c r="W12"/>
  <c r="X12" s="1"/>
  <c r="Y12"/>
  <c r="Z12" s="1"/>
  <c r="AA12" s="1"/>
  <c r="S13"/>
  <c r="T13"/>
  <c r="U13" s="1"/>
  <c r="V13"/>
  <c r="W13" s="1"/>
  <c r="X13" s="1"/>
  <c r="Y13"/>
  <c r="Z13"/>
  <c r="AA13" s="1"/>
  <c r="S14"/>
  <c r="T14" s="1"/>
  <c r="U14" s="1"/>
  <c r="V14"/>
  <c r="W14"/>
  <c r="X14" s="1"/>
  <c r="Y14"/>
  <c r="Z14" s="1"/>
  <c r="AA14" s="1"/>
  <c r="S15"/>
  <c r="T15"/>
  <c r="U15" s="1"/>
  <c r="V15"/>
  <c r="W15" s="1"/>
  <c r="X15" s="1"/>
  <c r="Y15"/>
  <c r="Z15"/>
  <c r="AA15" s="1"/>
  <c r="S16"/>
  <c r="T16" s="1"/>
  <c r="U16" s="1"/>
  <c r="V16"/>
  <c r="W16"/>
  <c r="X16" s="1"/>
  <c r="Y16"/>
  <c r="Z16" s="1"/>
  <c r="AA16" s="1"/>
  <c r="S5"/>
  <c r="Y5"/>
  <c r="Z5" s="1"/>
  <c r="AA5" s="1"/>
  <c r="W5"/>
  <c r="X5" s="1"/>
  <c r="V5"/>
  <c r="U12" i="8"/>
  <c r="W12"/>
  <c r="F18"/>
  <c r="H18"/>
  <c r="J18"/>
  <c r="K18"/>
  <c r="L18"/>
  <c r="M18"/>
  <c r="O18"/>
  <c r="P18"/>
  <c r="Q18"/>
  <c r="S18"/>
  <c r="U18"/>
  <c r="W18"/>
  <c r="Y18"/>
  <c r="AA18"/>
  <c r="AD18"/>
  <c r="AB18" s="1"/>
  <c r="AG18"/>
  <c r="AE18" s="1"/>
  <c r="AH18"/>
  <c r="F17"/>
  <c r="H17"/>
  <c r="J17"/>
  <c r="K17"/>
  <c r="L17"/>
  <c r="M17"/>
  <c r="O17"/>
  <c r="P17"/>
  <c r="Q17"/>
  <c r="S17"/>
  <c r="U17"/>
  <c r="W17"/>
  <c r="Y17"/>
  <c r="AA17"/>
  <c r="AD17"/>
  <c r="AB17" s="1"/>
  <c r="AG17"/>
  <c r="AE17" s="1"/>
  <c r="AH17"/>
  <c r="Q38"/>
  <c r="K39"/>
  <c r="K40"/>
  <c r="K41"/>
  <c r="K42"/>
  <c r="K38"/>
  <c r="J39"/>
  <c r="J40"/>
  <c r="J41"/>
  <c r="J42"/>
  <c r="J38"/>
  <c r="J13"/>
  <c r="J14"/>
  <c r="J15"/>
  <c r="J16"/>
  <c r="J12"/>
  <c r="H39"/>
  <c r="H40"/>
  <c r="H41"/>
  <c r="H42"/>
  <c r="H38"/>
  <c r="H12"/>
  <c r="H13"/>
  <c r="H14"/>
  <c r="H15"/>
  <c r="H16"/>
  <c r="AF39"/>
  <c r="AF40"/>
  <c r="AF41"/>
  <c r="AF42"/>
  <c r="AC39"/>
  <c r="AC40"/>
  <c r="AC41"/>
  <c r="AC42"/>
  <c r="S38"/>
  <c r="U38"/>
  <c r="W38"/>
  <c r="Y38"/>
  <c r="S39"/>
  <c r="U39"/>
  <c r="W39"/>
  <c r="Y39"/>
  <c r="S40"/>
  <c r="U40"/>
  <c r="W40"/>
  <c r="Y40"/>
  <c r="S41"/>
  <c r="U41"/>
  <c r="W41"/>
  <c r="Y41"/>
  <c r="S42"/>
  <c r="U42"/>
  <c r="W42"/>
  <c r="Y42"/>
  <c r="AA39"/>
  <c r="AA40"/>
  <c r="AA41"/>
  <c r="AA42"/>
  <c r="AA38"/>
  <c r="Q16" i="1"/>
  <c r="R16" s="1"/>
  <c r="P16"/>
  <c r="P15"/>
  <c r="Q15" s="1"/>
  <c r="R15" s="1"/>
  <c r="Q14"/>
  <c r="R14" s="1"/>
  <c r="P14"/>
  <c r="P13"/>
  <c r="Q13" s="1"/>
  <c r="R13" s="1"/>
  <c r="Q12"/>
  <c r="R12" s="1"/>
  <c r="P12"/>
  <c r="P11"/>
  <c r="Q11" s="1"/>
  <c r="R11" s="1"/>
  <c r="Q10"/>
  <c r="R10" s="1"/>
  <c r="P10"/>
  <c r="P9"/>
  <c r="Q9" s="1"/>
  <c r="R9" s="1"/>
  <c r="Q8"/>
  <c r="R8" s="1"/>
  <c r="P8"/>
  <c r="P7"/>
  <c r="Q7" s="1"/>
  <c r="R7" s="1"/>
  <c r="Q6"/>
  <c r="R6" s="1"/>
  <c r="P6"/>
  <c r="P5"/>
  <c r="K16" i="8"/>
  <c r="Q16"/>
  <c r="S16"/>
  <c r="U16"/>
  <c r="W16"/>
  <c r="Y16"/>
  <c r="AA16"/>
  <c r="M11" i="3"/>
  <c r="M10"/>
  <c r="C4" i="8"/>
  <c r="B4"/>
  <c r="F29" i="7" s="1"/>
  <c r="O12" i="8" s="1"/>
  <c r="C4" i="3"/>
  <c r="B4"/>
  <c r="B3" i="8"/>
  <c r="AT39" s="1"/>
  <c r="B3" i="3"/>
  <c r="K14" i="8"/>
  <c r="Q14"/>
  <c r="S14"/>
  <c r="U14"/>
  <c r="W14"/>
  <c r="Y14"/>
  <c r="AA14"/>
  <c r="K15"/>
  <c r="Q15"/>
  <c r="S15"/>
  <c r="U15"/>
  <c r="W15"/>
  <c r="Y15"/>
  <c r="AA15"/>
  <c r="K13"/>
  <c r="Q13"/>
  <c r="S13"/>
  <c r="U13"/>
  <c r="W13"/>
  <c r="Y13"/>
  <c r="AA13"/>
  <c r="AA12"/>
  <c r="Y12"/>
  <c r="S12"/>
  <c r="F28" i="7"/>
  <c r="L13" i="8" s="1"/>
  <c r="M28" i="7"/>
  <c r="M30"/>
  <c r="L30"/>
  <c r="M27"/>
  <c r="W4"/>
  <c r="Y4" s="1"/>
  <c r="W5"/>
  <c r="Y5" s="1"/>
  <c r="W6"/>
  <c r="Y6" s="1"/>
  <c r="Q12" i="8"/>
  <c r="N10" i="7"/>
  <c r="K12" i="8"/>
  <c r="W25" i="4" a="1"/>
  <c r="W25" s="1"/>
  <c r="P26" s="1"/>
  <c r="V26"/>
  <c r="U26"/>
  <c r="T26"/>
  <c r="T25"/>
  <c r="S26"/>
  <c r="V25"/>
  <c r="U25"/>
  <c r="C5" a="1"/>
  <c r="C5" s="1"/>
  <c r="C6" a="1"/>
  <c r="C6" s="1"/>
  <c r="C7" a="1"/>
  <c r="C7" s="1"/>
  <c r="C8" a="1"/>
  <c r="C8" s="1"/>
  <c r="C9" a="1"/>
  <c r="C9" s="1"/>
  <c r="C10" a="1"/>
  <c r="C10" s="1"/>
  <c r="C11" a="1"/>
  <c r="C11" s="1"/>
  <c r="C12" a="1"/>
  <c r="C12" s="1"/>
  <c r="C13" a="1"/>
  <c r="C13" s="1"/>
  <c r="C14" a="1"/>
  <c r="C14" s="1"/>
  <c r="C15" a="1"/>
  <c r="C15" s="1"/>
  <c r="C16" a="1"/>
  <c r="C16" s="1"/>
  <c r="C17" a="1"/>
  <c r="C17" s="1"/>
  <c r="C18" a="1"/>
  <c r="C18" s="1"/>
  <c r="C19" a="1"/>
  <c r="C19" s="1"/>
  <c r="C20" a="1"/>
  <c r="C20" s="1"/>
  <c r="C21" a="1"/>
  <c r="C21" s="1"/>
  <c r="C22" a="1"/>
  <c r="C22" s="1"/>
  <c r="C23" a="1"/>
  <c r="C23" s="1"/>
  <c r="C24" a="1"/>
  <c r="C24" s="1"/>
  <c r="C25" a="1"/>
  <c r="C25" s="1"/>
  <c r="C26" a="1"/>
  <c r="C26" s="1"/>
  <c r="C27" a="1"/>
  <c r="C27" s="1"/>
  <c r="C28" a="1"/>
  <c r="C28" s="1"/>
  <c r="C29" a="1"/>
  <c r="C29" s="1"/>
  <c r="C30" a="1"/>
  <c r="C30" s="1"/>
  <c r="C31" a="1"/>
  <c r="C31" s="1"/>
  <c r="C32" a="1"/>
  <c r="C32" s="1"/>
  <c r="C33" a="1"/>
  <c r="C33" s="1"/>
  <c r="C34" a="1"/>
  <c r="C34" s="1"/>
  <c r="C35" a="1"/>
  <c r="C35" s="1"/>
  <c r="C36" a="1"/>
  <c r="C36" s="1"/>
  <c r="C37" a="1"/>
  <c r="C37" s="1"/>
  <c r="C38" a="1"/>
  <c r="C38" s="1"/>
  <c r="C39" a="1"/>
  <c r="C39" s="1"/>
  <c r="C40" a="1"/>
  <c r="C40" s="1"/>
  <c r="C41" a="1"/>
  <c r="C41" s="1"/>
  <c r="C42" a="1"/>
  <c r="C42" s="1"/>
  <c r="C43" a="1"/>
  <c r="C43" s="1"/>
  <c r="C44" a="1"/>
  <c r="C44" s="1"/>
  <c r="C45" a="1"/>
  <c r="C45" s="1"/>
  <c r="C46" a="1"/>
  <c r="C46" s="1"/>
  <c r="C47" a="1"/>
  <c r="C47" s="1"/>
  <c r="C48" a="1"/>
  <c r="C48" s="1"/>
  <c r="C49" a="1"/>
  <c r="C49" s="1"/>
  <c r="C50" a="1"/>
  <c r="C50" s="1"/>
  <c r="C51" a="1"/>
  <c r="C51" s="1"/>
  <c r="C52" a="1"/>
  <c r="C52" s="1"/>
  <c r="C53" a="1"/>
  <c r="C53" s="1"/>
  <c r="C54" a="1"/>
  <c r="C54" s="1"/>
  <c r="C55" a="1"/>
  <c r="C55" s="1"/>
  <c r="C56" a="1"/>
  <c r="C56" s="1"/>
  <c r="C57" a="1"/>
  <c r="C57" s="1"/>
  <c r="C58" a="1"/>
  <c r="C58" s="1"/>
  <c r="C59" a="1"/>
  <c r="C59" s="1"/>
  <c r="C60" a="1"/>
  <c r="C60" s="1"/>
  <c r="C61" a="1"/>
  <c r="C61" s="1"/>
  <c r="C62" a="1"/>
  <c r="C62" s="1"/>
  <c r="C63" a="1"/>
  <c r="C63" s="1"/>
  <c r="C64" a="1"/>
  <c r="C64" s="1"/>
  <c r="C65" a="1"/>
  <c r="C65" s="1"/>
  <c r="C66" a="1"/>
  <c r="C66" s="1"/>
  <c r="C67" a="1"/>
  <c r="C67" s="1"/>
  <c r="C4" a="1"/>
  <c r="C4" s="1"/>
  <c r="N13" a="1"/>
  <c r="N13" s="1"/>
  <c r="N14" a="1"/>
  <c r="N14" s="1"/>
  <c r="N15" a="1"/>
  <c r="N15" s="1"/>
  <c r="N17" a="1"/>
  <c r="N17" s="1"/>
  <c r="K10"/>
  <c r="N7" s="1" a="1"/>
  <c r="N7" s="1"/>
  <c r="S25"/>
  <c r="K19"/>
  <c r="K21"/>
  <c r="G33" s="1" a="1"/>
  <c r="G33" s="1"/>
  <c r="K16"/>
  <c r="K17"/>
  <c r="K18"/>
  <c r="K20"/>
  <c r="G25" s="1" a="1"/>
  <c r="G25" s="1"/>
  <c r="K8"/>
  <c r="K6"/>
  <c r="J11" i="3"/>
  <c r="K11" s="1"/>
  <c r="J10"/>
  <c r="K10" s="1"/>
  <c r="S9" i="4"/>
  <c r="S10"/>
  <c r="S11"/>
  <c r="S12"/>
  <c r="S13"/>
  <c r="S14"/>
  <c r="R9"/>
  <c r="R10"/>
  <c r="R11"/>
  <c r="R12"/>
  <c r="R13"/>
  <c r="R14"/>
  <c r="S8"/>
  <c r="P9"/>
  <c r="Q9"/>
  <c r="P10"/>
  <c r="Q10"/>
  <c r="P11"/>
  <c r="Q11"/>
  <c r="Q8"/>
  <c r="R8"/>
  <c r="P8"/>
  <c r="K7"/>
  <c r="N6" s="1" a="1"/>
  <c r="N6" s="1"/>
  <c r="K9"/>
  <c r="N16" s="1" a="1"/>
  <c r="N16" s="1"/>
  <c r="K11"/>
  <c r="N11" s="1" a="1"/>
  <c r="N11" s="1"/>
  <c r="K12"/>
  <c r="N9" s="1" a="1"/>
  <c r="N9" s="1"/>
  <c r="K13"/>
  <c r="N10" s="1" a="1"/>
  <c r="N10" s="1"/>
  <c r="K5"/>
  <c r="P2" i="1"/>
  <c r="D3" i="3"/>
  <c r="D4" s="1"/>
  <c r="AJ12" i="10" l="1"/>
  <c r="AK12" s="1"/>
  <c r="AI12"/>
  <c r="AC12"/>
  <c r="P12"/>
  <c r="AC18" i="8"/>
  <c r="AI18"/>
  <c r="AF18"/>
  <c r="AJ18"/>
  <c r="AF17"/>
  <c r="AJ17"/>
  <c r="AC17"/>
  <c r="AI17"/>
  <c r="AK17" s="1"/>
  <c r="AG38"/>
  <c r="AE38" s="1"/>
  <c r="AH38"/>
  <c r="L38"/>
  <c r="O38"/>
  <c r="AR42"/>
  <c r="AR41"/>
  <c r="AR40"/>
  <c r="AR39"/>
  <c r="AS39" s="1"/>
  <c r="AT42"/>
  <c r="AT41"/>
  <c r="AT40"/>
  <c r="L16"/>
  <c r="L14"/>
  <c r="L15"/>
  <c r="AG16"/>
  <c r="AE16" s="1"/>
  <c r="AF16" s="1"/>
  <c r="AH12"/>
  <c r="AH16"/>
  <c r="O16"/>
  <c r="M29" i="7"/>
  <c r="AD15" i="8" s="1"/>
  <c r="AB15" s="1"/>
  <c r="AC15" s="1"/>
  <c r="F27" i="7"/>
  <c r="M38" i="8" s="1"/>
  <c r="AG15"/>
  <c r="AE15" s="1"/>
  <c r="AF15" s="1"/>
  <c r="M15"/>
  <c r="AG14"/>
  <c r="AE14" s="1"/>
  <c r="AF14" s="1"/>
  <c r="M14"/>
  <c r="AH15"/>
  <c r="O15"/>
  <c r="AH14"/>
  <c r="O14"/>
  <c r="M13"/>
  <c r="L12"/>
  <c r="AG13"/>
  <c r="AE13" s="1"/>
  <c r="AF13" s="1"/>
  <c r="AG12"/>
  <c r="AE12" s="1"/>
  <c r="AH13"/>
  <c r="O13"/>
  <c r="V28" i="4"/>
  <c r="N4" a="1"/>
  <c r="N4" s="1"/>
  <c r="N12" a="1"/>
  <c r="N12" s="1"/>
  <c r="N8" a="1"/>
  <c r="N8" s="1"/>
  <c r="G9" a="1"/>
  <c r="G9" s="1"/>
  <c r="N5" a="1"/>
  <c r="N5" s="1"/>
  <c r="G15" a="1"/>
  <c r="G15" s="1"/>
  <c r="G29" a="1"/>
  <c r="G29" s="1"/>
  <c r="G19" a="1"/>
  <c r="G19" s="1"/>
  <c r="G7" a="1"/>
  <c r="G7" s="1"/>
  <c r="G5" a="1"/>
  <c r="G5" s="1"/>
  <c r="G32" a="1"/>
  <c r="G32" s="1"/>
  <c r="G30" a="1"/>
  <c r="G30" s="1"/>
  <c r="G28" a="1"/>
  <c r="G28" s="1"/>
  <c r="G26" a="1"/>
  <c r="G26" s="1"/>
  <c r="G24" a="1"/>
  <c r="G24" s="1"/>
  <c r="G22" a="1"/>
  <c r="G22" s="1"/>
  <c r="G20" a="1"/>
  <c r="G20" s="1"/>
  <c r="G18" a="1"/>
  <c r="G18" s="1"/>
  <c r="G16" a="1"/>
  <c r="G16" s="1"/>
  <c r="G14" a="1"/>
  <c r="G14" s="1"/>
  <c r="G12" a="1"/>
  <c r="G12" s="1"/>
  <c r="G10" a="1"/>
  <c r="G10" s="1"/>
  <c r="G8" a="1"/>
  <c r="G8" s="1"/>
  <c r="G4" a="1"/>
  <c r="G4" s="1"/>
  <c r="G6" a="1"/>
  <c r="G6" s="1"/>
  <c r="G31" a="1"/>
  <c r="G31" s="1"/>
  <c r="G27" a="1"/>
  <c r="G27" s="1"/>
  <c r="G23" a="1"/>
  <c r="G23" s="1"/>
  <c r="G21" a="1"/>
  <c r="G21" s="1"/>
  <c r="G17" a="1"/>
  <c r="G17" s="1"/>
  <c r="G13" a="1"/>
  <c r="G13" s="1"/>
  <c r="G11" a="1"/>
  <c r="G11" s="1"/>
  <c r="N11" i="3"/>
  <c r="AL12" i="10" l="1"/>
  <c r="AQ12"/>
  <c r="AT12" s="1"/>
  <c r="AK18" i="8"/>
  <c r="AL17"/>
  <c r="AQ17"/>
  <c r="AT17" s="1"/>
  <c r="AJ38"/>
  <c r="AF38"/>
  <c r="AD38"/>
  <c r="AB38" s="1"/>
  <c r="AS40"/>
  <c r="AS42"/>
  <c r="AJ12"/>
  <c r="AF12"/>
  <c r="AD12"/>
  <c r="AD13"/>
  <c r="AB13" s="1"/>
  <c r="AC13" s="1"/>
  <c r="AS41"/>
  <c r="AJ16"/>
  <c r="M12"/>
  <c r="P12" s="1"/>
  <c r="M16"/>
  <c r="P16" s="1"/>
  <c r="AD16"/>
  <c r="AB16" s="1"/>
  <c r="AC16" s="1"/>
  <c r="AD14"/>
  <c r="AB14" s="1"/>
  <c r="AC14" s="1"/>
  <c r="AJ14"/>
  <c r="AJ15"/>
  <c r="P14"/>
  <c r="P15"/>
  <c r="N10" i="3"/>
  <c r="Q5" i="1"/>
  <c r="R5" s="1"/>
  <c r="AI15" i="8"/>
  <c r="AK15" s="1"/>
  <c r="P13"/>
  <c r="AB12"/>
  <c r="AJ13"/>
  <c r="AI13"/>
  <c r="AK13" s="1"/>
  <c r="AM12" i="10" l="1"/>
  <c r="AN12"/>
  <c r="AQ18" i="8"/>
  <c r="AT18" s="1"/>
  <c r="AL18"/>
  <c r="AN17"/>
  <c r="AM17"/>
  <c r="AO17" s="1"/>
  <c r="AP17" s="1"/>
  <c r="AR17" s="1"/>
  <c r="AS17" s="1"/>
  <c r="AI14"/>
  <c r="AK14" s="1"/>
  <c r="AC38"/>
  <c r="AI38"/>
  <c r="AK38" s="1"/>
  <c r="AL38" s="1"/>
  <c r="P38"/>
  <c r="AQ38" s="1"/>
  <c r="AT38" s="1"/>
  <c r="AN38"/>
  <c r="AM38"/>
  <c r="AO38" s="1"/>
  <c r="AP38" s="1"/>
  <c r="AR38" s="1"/>
  <c r="AS38" s="1"/>
  <c r="AI12"/>
  <c r="AK12" s="1"/>
  <c r="AC12"/>
  <c r="AI16"/>
  <c r="AK16" s="1"/>
  <c r="AL16" s="1"/>
  <c r="AM16" s="1"/>
  <c r="AL15"/>
  <c r="AM15" s="1"/>
  <c r="AQ14"/>
  <c r="AT14" s="1"/>
  <c r="AQ15"/>
  <c r="AT15" s="1"/>
  <c r="AL14"/>
  <c r="AN14" s="1"/>
  <c r="AN15"/>
  <c r="AQ13"/>
  <c r="AT13" s="1"/>
  <c r="AL13"/>
  <c r="AO12" i="10" l="1"/>
  <c r="AP12" s="1"/>
  <c r="AR12" s="1"/>
  <c r="AS12" s="1"/>
  <c r="AM18" i="8"/>
  <c r="AN18"/>
  <c r="AQ12"/>
  <c r="AT12" s="1"/>
  <c r="AP5"/>
  <c r="AL12"/>
  <c r="AM12" s="1"/>
  <c r="AO5"/>
  <c r="AN16"/>
  <c r="AO16" s="1"/>
  <c r="AP16" s="1"/>
  <c r="AR16" s="1"/>
  <c r="AQ16"/>
  <c r="AT16" s="1"/>
  <c r="AM14"/>
  <c r="AO14" s="1"/>
  <c r="AP14" s="1"/>
  <c r="AO15"/>
  <c r="AP15" s="1"/>
  <c r="AR15" s="1"/>
  <c r="AS15" s="1"/>
  <c r="AN12"/>
  <c r="AM13"/>
  <c r="AN13"/>
  <c r="S22" i="1" l="1"/>
  <c r="T22" s="1"/>
  <c r="U22" s="1"/>
  <c r="S23"/>
  <c r="T23" s="1"/>
  <c r="U23" s="1"/>
  <c r="S26"/>
  <c r="T26" s="1"/>
  <c r="U26" s="1"/>
  <c r="S27"/>
  <c r="T27" s="1"/>
  <c r="U27" s="1"/>
  <c r="S30"/>
  <c r="T30" s="1"/>
  <c r="U30" s="1"/>
  <c r="S31"/>
  <c r="T31" s="1"/>
  <c r="U31" s="1"/>
  <c r="S21"/>
  <c r="T21" s="1"/>
  <c r="U21" s="1"/>
  <c r="S24"/>
  <c r="T24" s="1"/>
  <c r="U24" s="1"/>
  <c r="S25"/>
  <c r="T25" s="1"/>
  <c r="U25" s="1"/>
  <c r="S28"/>
  <c r="T28" s="1"/>
  <c r="U28" s="1"/>
  <c r="S29"/>
  <c r="T29" s="1"/>
  <c r="U29" s="1"/>
  <c r="S20"/>
  <c r="T20" s="1"/>
  <c r="U20" s="1"/>
  <c r="AO18" i="8"/>
  <c r="AP18" s="1"/>
  <c r="AR18" s="1"/>
  <c r="AS18" s="1"/>
  <c r="AS16"/>
  <c r="AR14"/>
  <c r="AS14" s="1"/>
  <c r="AO12"/>
  <c r="AP12" s="1"/>
  <c r="AO13"/>
  <c r="AP13" s="1"/>
  <c r="T5" i="1" l="1"/>
  <c r="U5" s="1"/>
  <c r="AR12" i="8"/>
  <c r="AS12" s="1"/>
  <c r="AR13"/>
  <c r="AS13" s="1"/>
</calcChain>
</file>

<file path=xl/comments1.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 ref="R35" authorId="0">
      <text>
        <r>
          <rPr>
            <b/>
            <sz val="9"/>
            <color indexed="81"/>
            <rFont val="Tahoma"/>
            <family val="2"/>
          </rPr>
          <t>Lorenzo:</t>
        </r>
        <r>
          <rPr>
            <sz val="9"/>
            <color indexed="81"/>
            <rFont val="Tahoma"/>
            <family val="2"/>
          </rPr>
          <t xml:space="preserve">
[7,5ms - 4000ms]</t>
        </r>
      </text>
    </comment>
    <comment ref="T35" authorId="0">
      <text>
        <r>
          <rPr>
            <b/>
            <sz val="9"/>
            <color indexed="81"/>
            <rFont val="Tahoma"/>
            <family val="2"/>
          </rPr>
          <t>Lorenzo:</t>
        </r>
        <r>
          <rPr>
            <sz val="9"/>
            <color indexed="81"/>
            <rFont val="Tahoma"/>
            <family val="2"/>
          </rPr>
          <t xml:space="preserve">
[100ms - 32000ms]</t>
        </r>
      </text>
    </comment>
    <comment ref="V35" authorId="0">
      <text>
        <r>
          <rPr>
            <b/>
            <sz val="9"/>
            <color indexed="81"/>
            <rFont val="Tahoma"/>
            <family val="2"/>
          </rPr>
          <t>Lorenzo:</t>
        </r>
        <r>
          <rPr>
            <sz val="9"/>
            <color indexed="81"/>
            <rFont val="Tahoma"/>
            <family val="2"/>
          </rPr>
          <t xml:space="preserve">
[0 - ….]</t>
        </r>
      </text>
    </comment>
    <comment ref="X35" authorId="0">
      <text>
        <r>
          <rPr>
            <b/>
            <sz val="9"/>
            <color indexed="81"/>
            <rFont val="Tahoma"/>
            <family val="2"/>
          </rPr>
          <t>Lorenzo:</t>
        </r>
        <r>
          <rPr>
            <sz val="9"/>
            <color indexed="81"/>
            <rFont val="Tahoma"/>
            <family val="2"/>
          </rPr>
          <t xml:space="preserve">
[0 - connInterval]</t>
        </r>
      </text>
    </comment>
    <comment ref="Z35" authorId="0">
      <text>
        <r>
          <rPr>
            <b/>
            <sz val="9"/>
            <color indexed="81"/>
            <rFont val="Tahoma"/>
            <family val="2"/>
          </rPr>
          <t>Lorenzo:</t>
        </r>
        <r>
          <rPr>
            <sz val="9"/>
            <color indexed="81"/>
            <rFont val="Tahoma"/>
            <family val="2"/>
          </rPr>
          <t xml:space="preserve">
[1,25ms - min(10ms;connInterval-1,25)]</t>
        </r>
      </text>
    </comment>
  </commentList>
</comments>
</file>

<file path=xl/comments2.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List>
</comments>
</file>

<file path=xl/sharedStrings.xml><?xml version="1.0" encoding="utf-8"?>
<sst xmlns="http://schemas.openxmlformats.org/spreadsheetml/2006/main" count="829" uniqueCount="387">
  <si>
    <t>Samsung Galaxy S5</t>
  </si>
  <si>
    <t>capacità [mAh]</t>
  </si>
  <si>
    <t>Bluetooth</t>
  </si>
  <si>
    <t>4.0</t>
  </si>
  <si>
    <t>Autonomia</t>
  </si>
  <si>
    <t>Samsung Galaxy S4</t>
  </si>
  <si>
    <t>LG G3</t>
  </si>
  <si>
    <t>LG G2</t>
  </si>
  <si>
    <t>Standby [h]</t>
  </si>
  <si>
    <t>iPhone 5</t>
  </si>
  <si>
    <t>V</t>
  </si>
  <si>
    <t>Batteria</t>
  </si>
  <si>
    <t>Wh</t>
  </si>
  <si>
    <t>Smartphone</t>
  </si>
  <si>
    <t>Google Nexus 5</t>
  </si>
  <si>
    <t>Google Nexus 6</t>
  </si>
  <si>
    <t>250 - 330</t>
  </si>
  <si>
    <t>4.1</t>
  </si>
  <si>
    <t>Classic</t>
  </si>
  <si>
    <t>Smart</t>
  </si>
  <si>
    <t>Range [m]</t>
  </si>
  <si>
    <t>&gt;100</t>
  </si>
  <si>
    <t>0.7 - 2.1</t>
  </si>
  <si>
    <t>0.27</t>
  </si>
  <si>
    <t>latency [ms]</t>
  </si>
  <si>
    <t>Minimum total time to send data (det.battery life) [ms]</t>
  </si>
  <si>
    <t xml:space="preserve">0.01 to 0.5 </t>
  </si>
  <si>
    <t>Power consumption [W]</t>
  </si>
  <si>
    <t>Peak current consumption [mA]</t>
  </si>
  <si>
    <t>&lt;30</t>
  </si>
  <si>
    <t>&lt;15</t>
  </si>
  <si>
    <t>Nokia Lumia 1020</t>
  </si>
  <si>
    <t>Wikipedia</t>
  </si>
  <si>
    <t>OS supported it</t>
  </si>
  <si>
    <t>Windows Phone 8.1</t>
  </si>
  <si>
    <t>Windows 8</t>
  </si>
  <si>
    <t>Android 4.3 and later</t>
  </si>
  <si>
    <t>BlackBerry 10</t>
  </si>
  <si>
    <t>iOS 5 and later</t>
  </si>
  <si>
    <t>Range</t>
  </si>
  <si>
    <t>Range is application specific and although a minimum range is mandated by the Core Specification, there is not a limit and manufacturers can tune their implementation to support the use case they are enabling. 
Range may vary depending on class of radio used in an implementation:</t>
  </si>
  <si>
    <t>Class 3 radios – have a range of up to 1 meter or 3 feet</t>
  </si>
  <si>
    <t>•</t>
  </si>
  <si>
    <t>Class 1 radios – used primarily in industrial use cases – have a range of 100 meters or 300 feet</t>
  </si>
  <si>
    <t>Class 2 radios – most commonly found in mobile devices – have a range of 10 meters or 33 feet</t>
  </si>
  <si>
    <t>The most commonly used radio is Class 2 and uses 2.5 mW of power. Bluetooth technology is designed to have very low power consumption. This is reinforced in the specification by allowing radios to be powered down when inactive.
The Generic Alternate MAC/PHY in Version 3.0 HS enables the discovery of remote AMPs for high speed devices and turns on the radio only when needed for data transfer giving a power optimization benefit as well as aiding in the security of the radios.
Bluetooth low energy technology, optimized for devices requiring maximum battery life instead of a high data transfer rate, consumes between 1/2 and 1/100 the power of classic Bluetooth technology.</t>
  </si>
  <si>
    <t>Source:</t>
  </si>
  <si>
    <t>http://www.bluetooth.com/Pages/Basics.aspx</t>
  </si>
  <si>
    <t>Output Power</t>
  </si>
  <si>
    <t>Max current</t>
  </si>
  <si>
    <t>Latency</t>
  </si>
  <si>
    <t>Connection</t>
  </si>
  <si>
    <t>Sleep current</t>
  </si>
  <si>
    <t>(fonte)</t>
  </si>
  <si>
    <t>Bluetooth 4.0</t>
  </si>
  <si>
    <t>m</t>
  </si>
  <si>
    <t>~</t>
  </si>
  <si>
    <t>mW</t>
  </si>
  <si>
    <t>mA</t>
  </si>
  <si>
    <t>ms</t>
  </si>
  <si>
    <t>&gt;</t>
  </si>
  <si>
    <t>billion</t>
  </si>
  <si>
    <t>µA</t>
  </si>
  <si>
    <t>https://www.cs.nctu.edu.tw/cswebsite/</t>
  </si>
  <si>
    <r>
      <t xml:space="preserve">Professor </t>
    </r>
    <r>
      <rPr>
        <b/>
        <sz val="11"/>
        <color rgb="FFFF0000"/>
        <rFont val="Calibri"/>
        <family val="2"/>
        <scheme val="minor"/>
      </rPr>
      <t xml:space="preserve">Yu-Chee Tseng </t>
    </r>
    <r>
      <rPr>
        <sz val="11"/>
        <color theme="1"/>
        <rFont val="Calibri"/>
        <family val="2"/>
        <scheme val="minor"/>
      </rPr>
      <t xml:space="preserve">of </t>
    </r>
    <r>
      <rPr>
        <b/>
        <i/>
        <u/>
        <sz val="11"/>
        <color theme="1"/>
        <rFont val="Calibri"/>
        <family val="2"/>
        <scheme val="minor"/>
      </rPr>
      <t>National Chiao Tung University -</t>
    </r>
    <r>
      <rPr>
        <b/>
        <u/>
        <sz val="11"/>
        <color theme="1"/>
        <rFont val="Calibri"/>
        <family val="2"/>
        <scheme val="minor"/>
      </rPr>
      <t xml:space="preserve"> </t>
    </r>
    <r>
      <rPr>
        <b/>
        <i/>
        <u/>
        <sz val="11"/>
        <color theme="1"/>
        <rFont val="Calibri"/>
        <family val="2"/>
        <scheme val="minor"/>
      </rPr>
      <t>Departement of Computer Science</t>
    </r>
  </si>
  <si>
    <t>doc:</t>
  </si>
  <si>
    <t>people.cs.nctu.edu.tw/...09/book-ch04-5(BLE).ppt</t>
  </si>
  <si>
    <t>uni:</t>
  </si>
  <si>
    <t>prof:</t>
  </si>
  <si>
    <t>http://people.cs.nctu.edu.tw/~yctseng/</t>
  </si>
  <si>
    <t>Qta msg inviabili</t>
  </si>
  <si>
    <t>Estimate Tx power</t>
  </si>
  <si>
    <t>tx/day</t>
  </si>
  <si>
    <t>Consumption</t>
  </si>
  <si>
    <t>min</t>
  </si>
  <si>
    <t>avg</t>
  </si>
  <si>
    <t>max</t>
  </si>
  <si>
    <t>3G [h]</t>
  </si>
  <si>
    <t>LTE [h]</t>
  </si>
  <si>
    <t>idle [w]</t>
  </si>
  <si>
    <t>load [w]</t>
  </si>
  <si>
    <t>sleep [w]</t>
  </si>
  <si>
    <t>tx/hour</t>
  </si>
  <si>
    <t>tx/min</t>
  </si>
  <si>
    <t>durata [h]</t>
  </si>
  <si>
    <t>num. Tx</t>
  </si>
  <si>
    <t>Samsung Galaxy S3</t>
  </si>
  <si>
    <t>w</t>
  </si>
  <si>
    <t>Classe</t>
  </si>
  <si>
    <t>Potenza</t>
  </si>
  <si>
    <t>(mW)</t>
  </si>
  <si>
    <t>(dBm)</t>
  </si>
  <si>
    <t>Distanza</t>
  </si>
  <si>
    <t>(m)</t>
  </si>
  <si>
    <t>Classe 1</t>
  </si>
  <si>
    <t>Classe 2</t>
  </si>
  <si>
    <t>~ 10</t>
  </si>
  <si>
    <t>Classe 3</t>
  </si>
  <si>
    <t>~ 1</t>
  </si>
  <si>
    <t>~100</t>
  </si>
  <si>
    <t>http://it.wikipedia.org/wiki/Bluetooth</t>
  </si>
  <si>
    <t>Application troughput [Mb/s]</t>
  </si>
  <si>
    <t>Over the air data rate [Mbit/s]</t>
  </si>
  <si>
    <t>1 -3</t>
  </si>
  <si>
    <t>Potenza massima all’output</t>
  </si>
  <si>
    <t xml:space="preserve"> Potenza minima all’output </t>
  </si>
  <si>
    <t>0.01 mW (-20 dBm)</t>
  </si>
  <si>
    <t xml:space="preserve">10 mW (10 dBm) </t>
  </si>
  <si>
    <t>~ 50 m</t>
  </si>
  <si>
    <t>http://tesi.cab.unipd.it/44150/1/tesi_tibertoa.pdf</t>
  </si>
  <si>
    <t>Per BlueTooth Low Energy</t>
  </si>
  <si>
    <t>Data rate</t>
  </si>
  <si>
    <t>Mbit/s</t>
  </si>
  <si>
    <t>W</t>
  </si>
  <si>
    <t>Consumo medio tx :</t>
  </si>
  <si>
    <t>Parametri</t>
  </si>
  <si>
    <t>Time intervall [s]</t>
  </si>
  <si>
    <t>msg. type</t>
  </si>
  <si>
    <t>empty msg.</t>
  </si>
  <si>
    <t>Throughput:</t>
  </si>
  <si>
    <t>Tot. [b]</t>
  </si>
  <si>
    <t>Tx attive per min</t>
  </si>
  <si>
    <t>Tx passive per min</t>
  </si>
  <si>
    <t>Unità di misura</t>
  </si>
  <si>
    <t>Scala</t>
  </si>
  <si>
    <t>b</t>
  </si>
  <si>
    <t>B</t>
  </si>
  <si>
    <t>G</t>
  </si>
  <si>
    <t>M</t>
  </si>
  <si>
    <t>K</t>
  </si>
  <si>
    <t>-</t>
  </si>
  <si>
    <t>u</t>
  </si>
  <si>
    <t>n</t>
  </si>
  <si>
    <t>exp</t>
  </si>
  <si>
    <t>10^exp</t>
  </si>
  <si>
    <t>PDU [B] (2-39 B)</t>
  </si>
  <si>
    <t>MIC [B] (4)</t>
  </si>
  <si>
    <t>Msg. Size (80bit - 376bit)</t>
  </si>
  <si>
    <t>PDU [B] (0-33)</t>
  </si>
  <si>
    <t>header pdu [B] (2)</t>
  </si>
  <si>
    <t>Header pck. [B] (8)</t>
  </si>
  <si>
    <t>Consideriamo solo una tx attiva al minuto e una solo connessione passiva ritardata (ricezioni) , per uno totale di 2 connessione per minuto</t>
  </si>
  <si>
    <t>GRANDEZZA SMS</t>
  </si>
  <si>
    <t>solo testo</t>
  </si>
  <si>
    <t>bit</t>
  </si>
  <si>
    <t>Encoding</t>
  </si>
  <si>
    <t>tot</t>
  </si>
  <si>
    <t>Nome</t>
  </si>
  <si>
    <t>Sigla</t>
  </si>
  <si>
    <t>Valore</t>
  </si>
  <si>
    <t>Descrizione</t>
  </si>
  <si>
    <t>val</t>
  </si>
  <si>
    <t>T_IFS</t>
  </si>
  <si>
    <t>Intervallo di tempo tra due pacchetti consecutivi sullo stesso channel index.</t>
  </si>
  <si>
    <t>us</t>
  </si>
  <si>
    <t>Advertising Interval</t>
  </si>
  <si>
    <t>page on pdf</t>
  </si>
  <si>
    <t>Formula</t>
  </si>
  <si>
    <t>s</t>
  </si>
  <si>
    <t>per tutti gli UNDIRECTED ADVERTISING EVENTS, è il tempo tra l'inizio di due A.E. consecutivi. Viene calcolato per ogni A.E.</t>
  </si>
  <si>
    <t>advInterval</t>
  </si>
  <si>
    <t>T_advEvent</t>
  </si>
  <si>
    <t>T_advEvent = advInterval + advDelay</t>
  </si>
  <si>
    <t>mul</t>
  </si>
  <si>
    <t>range</t>
  </si>
  <si>
    <t>[</t>
  </si>
  <si>
    <t>]</t>
  </si>
  <si>
    <t>multiplo di 0,625ms e compreso tra 20ms e 10,24s</t>
  </si>
  <si>
    <t>pseudo-random compreso tra 0ms e 10ms</t>
  </si>
  <si>
    <t>Sub-Time</t>
  </si>
  <si>
    <t>*T_ADV_IND</t>
  </si>
  <si>
    <t>*Tempo tra ADV_IND</t>
  </si>
  <si>
    <t>≤</t>
  </si>
  <si>
    <t>*Tempo tra ADV_DIRECT_IND</t>
  </si>
  <si>
    <t>*T_ADV_DIR_IND</t>
  </si>
  <si>
    <t>Quando viene usato il CONNECTABLE UNDIRECTED ADVERTISING EVENT TYPE all'interno di uno stesso A.E., il tempo tra l'inizio di due consecutivi ADV_IND è &lt;= 10ms</t>
  </si>
  <si>
    <r>
      <t xml:space="preserve">Quando viene usato il CONNECTABLE DIRECTED ADVERTISING EVENT TYPE  il tempo tra l'inizio di due consecutivi ADV_DIR_IND sullo stesso canale è </t>
    </r>
    <r>
      <rPr>
        <sz val="11"/>
        <color theme="1"/>
        <rFont val="Calibri"/>
        <family val="2"/>
      </rPr>
      <t>≤3,75ms e il Link Layer dovrebbe uscire dallo stato di advertising non oltre 1,28s</t>
    </r>
  </si>
  <si>
    <t>ADVERTISING EVENT</t>
  </si>
  <si>
    <t>INTER FRAME SPACE</t>
  </si>
  <si>
    <t>CONNECTION EVENT</t>
  </si>
  <si>
    <t>connInterval</t>
  </si>
  <si>
    <r>
      <t xml:space="preserve">Un connection event è caratterizzato da due parametri: </t>
    </r>
    <r>
      <rPr>
        <u/>
        <sz val="11"/>
        <color theme="1"/>
        <rFont val="Calibri"/>
        <family val="2"/>
        <scheme val="minor"/>
      </rPr>
      <t>connection event interval</t>
    </r>
    <r>
      <rPr>
        <sz val="11"/>
        <color theme="1"/>
        <rFont val="Calibri"/>
        <family val="2"/>
        <scheme val="minor"/>
      </rPr>
      <t xml:space="preserve"> (</t>
    </r>
    <r>
      <rPr>
        <i/>
        <sz val="11"/>
        <color theme="1"/>
        <rFont val="Calibri"/>
        <family val="2"/>
        <scheme val="minor"/>
      </rPr>
      <t>connInterval</t>
    </r>
    <r>
      <rPr>
        <sz val="11"/>
        <color theme="1"/>
        <rFont val="Calibri"/>
        <family val="2"/>
        <scheme val="minor"/>
      </rPr>
      <t xml:space="preserve">) e </t>
    </r>
    <r>
      <rPr>
        <u/>
        <sz val="11"/>
        <color theme="1"/>
        <rFont val="Calibri"/>
        <family val="2"/>
        <scheme val="minor"/>
      </rPr>
      <t>slave latency</t>
    </r>
    <r>
      <rPr>
        <sz val="11"/>
        <color theme="1"/>
        <rFont val="Calibri"/>
        <family val="2"/>
        <scheme val="minor"/>
      </rPr>
      <t xml:space="preserve"> (</t>
    </r>
    <r>
      <rPr>
        <i/>
        <sz val="11"/>
        <color theme="1"/>
        <rFont val="Calibri"/>
        <family val="2"/>
        <scheme val="minor"/>
      </rPr>
      <t>connSlaveLatency</t>
    </r>
    <r>
      <rPr>
        <sz val="11"/>
        <color theme="1"/>
        <rFont val="Calibri"/>
        <family val="2"/>
        <scheme val="minor"/>
      </rPr>
      <t>)</t>
    </r>
  </si>
  <si>
    <t>Connection Event Interval</t>
  </si>
  <si>
    <t>Slave Latency</t>
  </si>
  <si>
    <t>connSlaveLatency</t>
  </si>
  <si>
    <t>L'inizio di più C.E. è spaziato regolarmente di connInterval e non si dovrebbero sovrapporre. Il conInterval parte dall'anchor point del C.E. Il master dovrebbe assicurare che un C.E. si chiuda almeno T_IFS prima del nuovo anchor point del nuovo C.E.</t>
  </si>
  <si>
    <r>
      <t xml:space="preserve">E' un parametro che permette allo Slave di usare un ridotto numero di C.E. </t>
    </r>
    <r>
      <rPr>
        <i/>
        <sz val="11"/>
        <color theme="1"/>
        <rFont val="Calibri"/>
        <family val="2"/>
        <scheme val="minor"/>
      </rPr>
      <t>ConnSlaveLatency</t>
    </r>
    <r>
      <rPr>
        <sz val="11"/>
        <color theme="1"/>
        <rFont val="Calibri"/>
        <family val="2"/>
        <scheme val="minor"/>
      </rPr>
      <t xml:space="preserve"> definisce il numero di C.E. consecutivi che lo slave non è tenuto ad ascoltare dal master. Questo paramentro è un intero compreso tra 0 e il max(500; connSupervisionTimeout/connInterval -1)</t>
    </r>
  </si>
  <si>
    <t>Connection Event Counter</t>
  </si>
  <si>
    <t>connEventCounter</t>
  </si>
  <si>
    <t>0x0000</t>
  </si>
  <si>
    <t>0xFFFF</t>
  </si>
  <si>
    <t>Contatore a 16-bit che sia master sia slave devono avere. Viene incrementato di 1 per ogni nuovo C.E.. Lo slave deve incrementare il contatore anche se non sta ascoltando il master per lo slave latency. Questo serve per sincronizzare i Link Layer.</t>
  </si>
  <si>
    <t>Supervision Timeout</t>
  </si>
  <si>
    <t>connSupervisionTimeout</t>
  </si>
  <si>
    <t>Connection Supervision Timer</t>
  </si>
  <si>
    <t>6*connInterval</t>
  </si>
  <si>
    <t>Se il Connection Supervision Timer raggiunge 6*connInterval prima che la connessione sia stabilita, la connessione viene considerata persa.</t>
  </si>
  <si>
    <t>(1+connSlaveLatency)*connInterval</t>
  </si>
  <si>
    <t>ConnSupervisionTimout  è un parametro che definisce il tempo massimo tra due Data Packet ricevuti prima che la connessione venga considerata persa. Se ha connessione stabilita il Connection Supervision Timer raggiunge il Supervision Timeout, la connessione viene considerata persa.</t>
  </si>
  <si>
    <t>Connection Event</t>
  </si>
  <si>
    <t>MIN(500 ; connSupervisionTimeout/connInterval -1)</t>
  </si>
  <si>
    <t>csl ∈ [0 ; min(500;(connSupervisionTimeout/connInterval -1))]</t>
  </si>
  <si>
    <t>cst ∈ [100ms ; 32s] &amp; (&gt; (1+connSlaveLatency)*connInterval)</t>
  </si>
  <si>
    <t>transmitWindowOffset</t>
  </si>
  <si>
    <t>Il trasmitWindowOffset è uno dei parametri mandati nel CONNECT_REQ_PDU e indica un eventuale offset dell'inizio della trasmission window</t>
  </si>
  <si>
    <t>il trasmitWindowSize è uno dei parametri mandati nel CONNECT_REQ_PDU e indica la grandezza della trasmission window</t>
  </si>
  <si>
    <t>Trasmission Window</t>
  </si>
  <si>
    <t xml:space="preserve">La Trasmission Window è la finestra in cui il master "dovrebbe" spedire il primo pacchetto (l'anchor point). I parametri di offset e di size, vengono calcolati dal master per far si che diversi C.E. non si sovrappongano. </t>
  </si>
  <si>
    <r>
      <t>T_</t>
    </r>
    <r>
      <rPr>
        <b/>
        <vertAlign val="subscript"/>
        <sz val="11"/>
        <color theme="1"/>
        <rFont val="Calibri"/>
        <family val="2"/>
        <scheme val="minor"/>
      </rPr>
      <t>LLconnSupervision</t>
    </r>
  </si>
  <si>
    <t>la Trasmission Window comincia a 1,25ms + transitWindowOffset e finisce a 1,25ms + transmitWindowOffset + trasmitWindowSize, dopo il termine dell'invio del CONNECT_REQ PDU. Quindi il primo paccheto dovrebbe partire in quest'intervallo; se non accade ==&gt; connection lost.</t>
  </si>
  <si>
    <t>Tx Interval [s]</t>
  </si>
  <si>
    <t>k</t>
  </si>
  <si>
    <t>PROVA</t>
  </si>
  <si>
    <t>Prefix.</t>
  </si>
  <si>
    <t>GB</t>
  </si>
  <si>
    <t>MW</t>
  </si>
  <si>
    <t>MB</t>
  </si>
  <si>
    <t>mb</t>
  </si>
  <si>
    <t>mB</t>
  </si>
  <si>
    <t>ub</t>
  </si>
  <si>
    <t>uB</t>
  </si>
  <si>
    <t>nb</t>
  </si>
  <si>
    <t>nB</t>
  </si>
  <si>
    <t>QUEST FUNZIONA</t>
  </si>
  <si>
    <t>partenza</t>
  </si>
  <si>
    <t>arrivo</t>
  </si>
  <si>
    <t>Per le formule matriciali, eseguirle con "Ctrl+Shif+Invio", se no da errore !!</t>
  </si>
  <si>
    <t>KB</t>
  </si>
  <si>
    <t>Prefix</t>
  </si>
  <si>
    <t>Exp</t>
  </si>
  <si>
    <t>1024^exp</t>
  </si>
  <si>
    <t>moltip.</t>
  </si>
  <si>
    <t>kB</t>
  </si>
  <si>
    <t>pos [</t>
  </si>
  <si>
    <t>IF(B||b)</t>
  </si>
  <si>
    <t>pos ]</t>
  </si>
  <si>
    <t>molt.</t>
  </si>
  <si>
    <t>v</t>
  </si>
  <si>
    <t>A</t>
  </si>
  <si>
    <t>u.m.</t>
  </si>
  <si>
    <t>Potenza [Gw]</t>
  </si>
  <si>
    <t>Potenza [MW]</t>
  </si>
  <si>
    <t>Table on times and intervals</t>
  </si>
  <si>
    <t>UNITY MEASURES</t>
  </si>
  <si>
    <t>Preamble</t>
  </si>
  <si>
    <t>Access Address</t>
  </si>
  <si>
    <t>PDU</t>
  </si>
  <si>
    <t>CRC</t>
  </si>
  <si>
    <t>1B</t>
  </si>
  <si>
    <t>4B</t>
  </si>
  <si>
    <t>3B</t>
  </si>
  <si>
    <t>2 to 39 B</t>
  </si>
  <si>
    <t>min size:</t>
  </si>
  <si>
    <t>max size</t>
  </si>
  <si>
    <t>Header</t>
  </si>
  <si>
    <t>2B</t>
  </si>
  <si>
    <t>Payload</t>
  </si>
  <si>
    <t>as per Length field in Header</t>
  </si>
  <si>
    <t>Header of Advertising Channel PDU</t>
  </si>
  <si>
    <t>PDU Type</t>
  </si>
  <si>
    <t>RFU</t>
  </si>
  <si>
    <t>TxAdd</t>
  </si>
  <si>
    <t>RxAdd</t>
  </si>
  <si>
    <t>Length</t>
  </si>
  <si>
    <t>4bits</t>
  </si>
  <si>
    <t>2bits</t>
  </si>
  <si>
    <t>1bit</t>
  </si>
  <si>
    <t>6bit</t>
  </si>
  <si>
    <t>2bit</t>
  </si>
  <si>
    <t>PACKET FORMATS (2200)</t>
  </si>
  <si>
    <t>ADVERTISING CHANNEL PDU (2201)</t>
  </si>
  <si>
    <t>a) Dettagli dei pacchetti ADV_  sono sulla documentazione</t>
  </si>
  <si>
    <t>d) CONNECT_REQ pag. 2206 per dettagli</t>
  </si>
  <si>
    <r>
      <t xml:space="preserve">c) ADV_DIRECT_IND  </t>
    </r>
    <r>
      <rPr>
        <b/>
        <u/>
        <sz val="12"/>
        <color theme="1"/>
        <rFont val="Calibri"/>
        <family val="2"/>
        <scheme val="minor"/>
      </rPr>
      <t>NON</t>
    </r>
    <r>
      <rPr>
        <sz val="11"/>
        <color theme="1"/>
        <rFont val="Calibri"/>
        <family val="2"/>
        <scheme val="minor"/>
      </rPr>
      <t xml:space="preserve"> può portare un payload</t>
    </r>
  </si>
  <si>
    <t>DATA CHANNEL PDU (2208)</t>
  </si>
  <si>
    <t>MIC</t>
  </si>
  <si>
    <t>Header of Data Channel PDU</t>
  </si>
  <si>
    <t>LLID</t>
  </si>
  <si>
    <t>NESN</t>
  </si>
  <si>
    <t>SN</t>
  </si>
  <si>
    <t>MD</t>
  </si>
  <si>
    <t>3bits</t>
  </si>
  <si>
    <t>5bits</t>
  </si>
  <si>
    <t>a) Se il MIC è presente deve essere contato nella lunghezza del Payload</t>
  </si>
  <si>
    <t>b) Payload max 31B (5bits of Length field)</t>
  </si>
  <si>
    <t>c) Il Payload vero e proprio dovrebbe essere ≤ 27B (più 4B di eventuale MIC = 31B)</t>
  </si>
  <si>
    <r>
      <t xml:space="preserve">d) I </t>
    </r>
    <r>
      <rPr>
        <b/>
        <i/>
        <sz val="11"/>
        <color theme="1"/>
        <rFont val="Calibri"/>
        <family val="2"/>
        <scheme val="minor"/>
      </rPr>
      <t>Control PDU</t>
    </r>
    <r>
      <rPr>
        <sz val="11"/>
        <color theme="1"/>
        <rFont val="Calibri"/>
        <family val="2"/>
        <scheme val="minor"/>
      </rPr>
      <t xml:space="preserve"> sono dei Data PDU, vedere specifiche su docs pag 2210</t>
    </r>
  </si>
  <si>
    <t>Consideriamo una situazione in cui si ha una serie di utenti disposti a "catena", quindi ognuno è in "range" di altre due persone. In media ogni dispositivo esegue (2n-2)/n trx attive e passive</t>
  </si>
  <si>
    <t>msg. size [B]</t>
  </si>
  <si>
    <t>n. data pdu needed</t>
  </si>
  <si>
    <t>min(10ms;(connInterval - 1,25ms))</t>
  </si>
  <si>
    <t>Connection Event Parameters</t>
  </si>
  <si>
    <t>Advertising Event</t>
  </si>
  <si>
    <t>Slave Latency [#]</t>
  </si>
  <si>
    <t>Window Offest [ms]</t>
  </si>
  <si>
    <t>Window Size    [ms ]</t>
  </si>
  <si>
    <t>Connect. Interval [ms]</t>
  </si>
  <si>
    <t>advDelay</t>
  </si>
  <si>
    <t>adv interval [ms]</t>
  </si>
  <si>
    <t>adv delay [ms]</t>
  </si>
  <si>
    <t>adv event [ms]</t>
  </si>
  <si>
    <t>ctrl</t>
  </si>
  <si>
    <t>Sup. timeout [ms]</t>
  </si>
  <si>
    <t>Hp. (1.0) on Bluetooth mean energy consumption</t>
  </si>
  <si>
    <t>Hp. (2.0) on Bluetooth mean energy consumption</t>
  </si>
  <si>
    <t>Min Wait to start window</t>
  </si>
  <si>
    <t>transmitWindowSize</t>
  </si>
  <si>
    <t>Min wait to open the tx window</t>
  </si>
  <si>
    <t>pool pdu</t>
  </si>
  <si>
    <t>ack pdu</t>
  </si>
  <si>
    <t>empty message:</t>
  </si>
  <si>
    <t>terminate pdu</t>
  </si>
  <si>
    <t>Max Payload Size [B]</t>
  </si>
  <si>
    <t>es. messaggio:</t>
  </si>
  <si>
    <t>Bit</t>
  </si>
  <si>
    <t>Tx Time [s]</t>
  </si>
  <si>
    <t>max payload</t>
  </si>
  <si>
    <t>conn_req time [ms]</t>
  </si>
  <si>
    <t>adv_ind time [ms]</t>
  </si>
  <si>
    <t>Tot A.E. Time [ms]</t>
  </si>
  <si>
    <t>n° dpdu/ti1</t>
  </si>
  <si>
    <t>n° dpdu/ti2</t>
  </si>
  <si>
    <t>297 ==&gt; 1 finestra</t>
  </si>
  <si>
    <t>621 ==&gt; 2 finestre</t>
  </si>
  <si>
    <t>945 ==&gt; 3 finestre</t>
  </si>
  <si>
    <t>hop di 324</t>
  </si>
  <si>
    <t>ADV_DIRECT_IND</t>
  </si>
  <si>
    <t>CONNECT_REQ</t>
  </si>
  <si>
    <t>b) ADV_IND può portare un payload -&gt; grandezza variabile</t>
  </si>
  <si>
    <t>ADV_IND (no info attached)</t>
  </si>
  <si>
    <t>Tot C.E.s Time [ms]</t>
  </si>
  <si>
    <t>Lower Bound of Tot Tx Time [ms]</t>
  </si>
  <si>
    <t>Upper Buond of Tot Tx Time [ms]</t>
  </si>
  <si>
    <t>NOTE</t>
  </si>
  <si>
    <t>min [mW]</t>
  </si>
  <si>
    <t>avg [mW]</t>
  </si>
  <si>
    <t>max [mW]</t>
  </si>
  <si>
    <t>Ciao come stai oggi ?aaaaaaaaaaaaa aaaaaaaaaaaaaaaaaaaaaaaaaaaaaaaaaaaaaaaaaaaaaaaaaaaaaaaaaaaaaaaaaaaaaaaaaaaaaaaaaaaaaaaaaaaaaaaaaaaaaaaaaaaaaaaaaapppppppppppppppppppppppppppppppppppppppppppppppppphhhhhhhhhhhhhhhhhhhhhhhhhhhhhhhhhhhhhhhhhhhhhhhhhhhhhhhhffffffffffffffffffffffffffffffffffffffffff</t>
  </si>
  <si>
    <t>adv_direct_ind time [ms]</t>
  </si>
  <si>
    <t>mask</t>
  </si>
  <si>
    <t>01</t>
  </si>
  <si>
    <t>10</t>
  </si>
  <si>
    <t>n° full packets [#]</t>
  </si>
  <si>
    <t>Last bytes [B]</t>
  </si>
  <si>
    <t>Trasmission of an empty packet - DIRECT mode - no controls (copied the slide)</t>
  </si>
  <si>
    <t>Trasmission of an empty packet - INDIRECT mode - no controls (similar to the slide)</t>
  </si>
  <si>
    <t>Trasmission of a full window - INDIRECT mode - no controls</t>
  </si>
  <si>
    <t>297 B ==&gt; 1 finestra</t>
  </si>
  <si>
    <t>621 B ==&gt; 2 finestre</t>
  </si>
  <si>
    <t>945 B ==&gt; 3 finestre</t>
  </si>
  <si>
    <t>hop di 324 B</t>
  </si>
  <si>
    <t>Bluetooth Official Site Data</t>
  </si>
  <si>
    <t>Hp. 2.1)   (2txa+2txp)/min)</t>
  </si>
  <si>
    <t>Consumo medio energia [mw]</t>
  </si>
  <si>
    <t>Hp. 1.1) 1tx/min</t>
  </si>
  <si>
    <t>Hp. 2.1) 2tx/min</t>
  </si>
  <si>
    <t>Valori maschera</t>
  </si>
  <si>
    <t>vuoto</t>
  </si>
  <si>
    <t>adv_ind</t>
  </si>
  <si>
    <t>adv_dir_ind</t>
  </si>
  <si>
    <t>2KB msg</t>
  </si>
  <si>
    <t>Nokia Lumia 930</t>
  </si>
  <si>
    <t>iPhone 6 plus</t>
  </si>
  <si>
    <t>iPhone 6</t>
  </si>
  <si>
    <t>setup on I2 [ms]</t>
  </si>
  <si>
    <t>setup on I1 [ms]</t>
  </si>
  <si>
    <t>left time interval1 [ms]</t>
  </si>
  <si>
    <t>left time interval 2 [ms]</t>
  </si>
  <si>
    <t>time dpdu + ack [ms]</t>
  </si>
  <si>
    <t>conn.  windows needed</t>
  </si>
  <si>
    <t>Bytes in last win. [#]</t>
  </si>
  <si>
    <t>Energy consumption</t>
  </si>
  <si>
    <t>*nome o sigla inventanti</t>
  </si>
  <si>
    <t>Trasmission of a full packet - INDIRECT mode - no controls</t>
  </si>
  <si>
    <t>Come l'hp. 2.1, con modifiche: aggiungiamo un riassunto del messaggio nel pdu di advertising, chi già c'e l'ha non lo riscarica più. Si diminuiscono le comunicazioni passive.</t>
  </si>
  <si>
    <t>Hp. 2.2) 1tx/min</t>
  </si>
  <si>
    <t>Trasmission of a 2k msg - INDIRECT mode - ADV_IND DATA PDU control</t>
  </si>
  <si>
    <t>800k image</t>
  </si>
  <si>
    <t>Trasmission of a 2MB Multiple Contents Page - INDIRECT mode - no controls</t>
  </si>
  <si>
    <t>Trasmission of a 2kB msg - INDIRECT mode - no controls</t>
  </si>
  <si>
    <t>Trasmission of a 800kB image - INDIRECT mode - no controls</t>
  </si>
  <si>
    <t>2MB multiple content</t>
  </si>
  <si>
    <t>Consideriamo una situazione in cui la gente è concentrata molto in un punto e il traffico sia di 10 trasmissioni ogni minuto (150 ogni 15minuti). L'idea è quella di simulare un burst di trasmissioni ogni quarto d'ora.</t>
  </si>
  <si>
    <t>Trasmission of a 2MB Multiple Contents Page - INDIRECT mode - controls</t>
  </si>
  <si>
    <t>Hp. 3.1)   (150txa/15min)</t>
  </si>
  <si>
    <t>Hp. (3.0) on Bluetooth mean energy consumption</t>
  </si>
  <si>
    <t>Hp. 3.1) 150tx/15min</t>
  </si>
</sst>
</file>

<file path=xl/styles.xml><?xml version="1.0" encoding="utf-8"?>
<styleSheet xmlns="http://schemas.openxmlformats.org/spreadsheetml/2006/main">
  <numFmts count="2">
    <numFmt numFmtId="164" formatCode="0.0"/>
    <numFmt numFmtId="165" formatCode="#,##0.000000_ ;[Red]\-#,##0.000000\ "/>
  </numFmts>
  <fonts count="34">
    <font>
      <sz val="11"/>
      <color theme="1"/>
      <name val="Calibri"/>
      <family val="2"/>
      <scheme val="minor"/>
    </font>
    <font>
      <sz val="11"/>
      <name val="Calibri"/>
      <family val="2"/>
      <scheme val="minor"/>
    </font>
    <font>
      <b/>
      <sz val="16"/>
      <name val="Calibri"/>
      <family val="2"/>
      <scheme val="minor"/>
    </font>
    <font>
      <b/>
      <sz val="14"/>
      <color theme="1"/>
      <name val="Calibri"/>
      <family val="2"/>
      <scheme val="minor"/>
    </font>
    <font>
      <b/>
      <sz val="11"/>
      <name val="Calibri"/>
      <family val="2"/>
      <scheme val="minor"/>
    </font>
    <font>
      <b/>
      <sz val="12"/>
      <color theme="1"/>
      <name val="Calibri"/>
      <family val="2"/>
      <scheme val="minor"/>
    </font>
    <font>
      <sz val="11.5"/>
      <color theme="1"/>
      <name val="Calibri"/>
      <family val="2"/>
      <scheme val="minor"/>
    </font>
    <font>
      <b/>
      <sz val="11"/>
      <color theme="1"/>
      <name val="Calibri"/>
      <family val="2"/>
      <scheme val="minor"/>
    </font>
    <font>
      <u/>
      <sz val="11"/>
      <color theme="10"/>
      <name val="Calibri"/>
      <family val="2"/>
    </font>
    <font>
      <b/>
      <sz val="16"/>
      <color theme="1"/>
      <name val="Calibri"/>
      <family val="2"/>
      <scheme val="minor"/>
    </font>
    <font>
      <sz val="11"/>
      <color theme="1"/>
      <name val="Calibri"/>
      <family val="2"/>
    </font>
    <font>
      <b/>
      <sz val="18"/>
      <color theme="1"/>
      <name val="Calibri"/>
      <family val="2"/>
      <scheme val="minor"/>
    </font>
    <font>
      <b/>
      <i/>
      <u/>
      <sz val="11"/>
      <color theme="1"/>
      <name val="Calibri"/>
      <family val="2"/>
      <scheme val="minor"/>
    </font>
    <font>
      <b/>
      <u/>
      <sz val="11"/>
      <color theme="1"/>
      <name val="Calibri"/>
      <family val="2"/>
      <scheme val="minor"/>
    </font>
    <font>
      <b/>
      <sz val="11"/>
      <color rgb="FFFF0000"/>
      <name val="Calibri"/>
      <family val="2"/>
      <scheme val="minor"/>
    </font>
    <font>
      <b/>
      <i/>
      <sz val="14"/>
      <color theme="1"/>
      <name val="Calibri"/>
      <family val="2"/>
      <scheme val="minor"/>
    </font>
    <font>
      <b/>
      <i/>
      <sz val="18"/>
      <color theme="1"/>
      <name val="Calibri"/>
      <family val="2"/>
      <scheme val="minor"/>
    </font>
    <font>
      <i/>
      <sz val="11"/>
      <color theme="1"/>
      <name val="Calibri"/>
      <family val="2"/>
      <scheme val="minor"/>
    </font>
    <font>
      <b/>
      <sz val="16"/>
      <color rgb="FFC00000"/>
      <name val="Calibri"/>
      <family val="2"/>
      <scheme val="minor"/>
    </font>
    <font>
      <u/>
      <sz val="11"/>
      <color theme="1"/>
      <name val="Calibri"/>
      <family val="2"/>
      <scheme val="minor"/>
    </font>
    <font>
      <b/>
      <i/>
      <sz val="12"/>
      <color rgb="FF00B050"/>
      <name val="Calibri"/>
      <family val="2"/>
      <scheme val="minor"/>
    </font>
    <font>
      <b/>
      <vertAlign val="subscript"/>
      <sz val="11"/>
      <color theme="1"/>
      <name val="Calibri"/>
      <family val="2"/>
      <scheme val="minor"/>
    </font>
    <font>
      <b/>
      <sz val="14"/>
      <name val="Calibri"/>
      <family val="2"/>
      <scheme val="minor"/>
    </font>
    <font>
      <sz val="14"/>
      <color theme="1"/>
      <name val="Calibri"/>
      <family val="2"/>
      <scheme val="minor"/>
    </font>
    <font>
      <sz val="14"/>
      <name val="Calibri"/>
      <family val="2"/>
      <scheme val="minor"/>
    </font>
    <font>
      <sz val="10"/>
      <color rgb="FF333333"/>
      <name val="Courier New"/>
      <family val="3"/>
    </font>
    <font>
      <b/>
      <sz val="14"/>
      <color rgb="FFFF0000"/>
      <name val="Calibri"/>
      <family val="2"/>
      <scheme val="minor"/>
    </font>
    <font>
      <b/>
      <sz val="12"/>
      <color rgb="FFC00000"/>
      <name val="Calibri"/>
      <family val="2"/>
      <scheme val="minor"/>
    </font>
    <font>
      <b/>
      <sz val="14"/>
      <color rgb="FFC00000"/>
      <name val="Calibri"/>
      <family val="2"/>
      <scheme val="minor"/>
    </font>
    <font>
      <b/>
      <u/>
      <sz val="12"/>
      <color theme="1"/>
      <name val="Calibri"/>
      <family val="2"/>
      <scheme val="minor"/>
    </font>
    <font>
      <b/>
      <i/>
      <sz val="11"/>
      <color theme="1"/>
      <name val="Calibri"/>
      <family val="2"/>
      <scheme val="minor"/>
    </font>
    <font>
      <sz val="9"/>
      <color indexed="81"/>
      <name val="Tahoma"/>
      <family val="2"/>
    </font>
    <font>
      <b/>
      <sz val="9"/>
      <color indexed="81"/>
      <name val="Tahoma"/>
      <family val="2"/>
    </font>
    <font>
      <b/>
      <i/>
      <sz val="12"/>
      <color theme="1"/>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2929"/>
        <bgColor indexed="64"/>
      </patternFill>
    </fill>
    <fill>
      <patternFill patternType="solid">
        <fgColor rgb="FFFF5353"/>
        <bgColor indexed="64"/>
      </patternFill>
    </fill>
    <fill>
      <patternFill patternType="solid">
        <fgColor rgb="FFF9F9F9"/>
        <bgColor indexed="64"/>
      </patternFill>
    </fill>
    <fill>
      <patternFill patternType="solid">
        <fgColor theme="3" tint="0.79998168889431442"/>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FF9797"/>
        <bgColor indexed="64"/>
      </patternFill>
    </fill>
    <fill>
      <patternFill patternType="solid">
        <fgColor rgb="FFFFCC66"/>
        <bgColor indexed="64"/>
      </patternFill>
    </fill>
    <fill>
      <patternFill patternType="solid">
        <fgColor theme="8" tint="0.79998168889431442"/>
        <bgColor indexed="64"/>
      </patternFill>
    </fill>
    <fill>
      <patternFill patternType="solid">
        <fgColor theme="6" tint="-0.249977111117893"/>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dashed">
        <color indexed="64"/>
      </left>
      <right/>
      <top style="dashed">
        <color indexed="64"/>
      </top>
      <bottom style="dashed">
        <color indexed="64"/>
      </bottom>
      <diagonal/>
    </border>
    <border>
      <left/>
      <right style="dashed">
        <color indexed="64"/>
      </right>
      <top style="dashed">
        <color indexed="64"/>
      </top>
      <bottom style="dashed">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698">
    <xf numFmtId="0" fontId="0" fillId="0" borderId="0" xfId="0"/>
    <xf numFmtId="0" fontId="0" fillId="0" borderId="2" xfId="0" applyBorder="1" applyAlignment="1">
      <alignment horizontal="center"/>
    </xf>
    <xf numFmtId="0" fontId="0" fillId="0" borderId="4" xfId="0" applyBorder="1"/>
    <xf numFmtId="0" fontId="0" fillId="0" borderId="4" xfId="0" applyBorder="1" applyAlignment="1">
      <alignment horizontal="center"/>
    </xf>
    <xf numFmtId="0" fontId="1" fillId="0" borderId="2" xfId="0" applyFont="1" applyFill="1" applyBorder="1"/>
    <xf numFmtId="0" fontId="1" fillId="0" borderId="4" xfId="0" applyFont="1" applyFill="1" applyBorder="1"/>
    <xf numFmtId="0" fontId="1" fillId="0" borderId="2" xfId="0" applyFont="1" applyFill="1" applyBorder="1" applyAlignment="1">
      <alignment horizontal="center"/>
    </xf>
    <xf numFmtId="0" fontId="0" fillId="0" borderId="4" xfId="0" applyFill="1" applyBorder="1" applyAlignment="1">
      <alignment horizontal="center"/>
    </xf>
    <xf numFmtId="0" fontId="1" fillId="0" borderId="4" xfId="0" applyFont="1" applyFill="1" applyBorder="1" applyAlignment="1">
      <alignment horizontal="center"/>
    </xf>
    <xf numFmtId="0" fontId="0" fillId="0" borderId="2" xfId="0" applyFill="1" applyBorder="1" applyAlignment="1">
      <alignment horizontal="center"/>
    </xf>
    <xf numFmtId="0" fontId="1" fillId="2" borderId="2" xfId="0" applyFont="1" applyFill="1" applyBorder="1"/>
    <xf numFmtId="0" fontId="0" fillId="2" borderId="2" xfId="0" applyNumberFormat="1" applyFill="1" applyBorder="1" applyAlignment="1">
      <alignment horizontal="center"/>
    </xf>
    <xf numFmtId="0" fontId="1" fillId="2" borderId="2" xfId="0" applyFont="1" applyFill="1" applyBorder="1" applyAlignment="1">
      <alignment horizontal="center"/>
    </xf>
    <xf numFmtId="0" fontId="1" fillId="2" borderId="3" xfId="0" applyFont="1" applyFill="1" applyBorder="1"/>
    <xf numFmtId="0" fontId="0" fillId="2" borderId="3" xfId="0" applyFill="1" applyBorder="1" applyAlignment="1">
      <alignment horizontal="center"/>
    </xf>
    <xf numFmtId="0" fontId="1" fillId="2" borderId="3" xfId="0" applyFont="1" applyFill="1" applyBorder="1" applyAlignment="1">
      <alignment horizontal="center"/>
    </xf>
    <xf numFmtId="0" fontId="1" fillId="2" borderId="4" xfId="0" applyFont="1" applyFill="1" applyBorder="1"/>
    <xf numFmtId="0" fontId="0" fillId="2" borderId="4" xfId="0" applyFill="1" applyBorder="1" applyAlignment="1">
      <alignment horizontal="center"/>
    </xf>
    <xf numFmtId="0" fontId="1" fillId="2" borderId="4" xfId="0" applyFont="1"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5" fillId="4" borderId="2" xfId="0" applyFont="1" applyFill="1" applyBorder="1" applyAlignment="1">
      <alignment horizontal="center"/>
    </xf>
    <xf numFmtId="0" fontId="0" fillId="2" borderId="14" xfId="0" applyFill="1" applyBorder="1" applyAlignment="1">
      <alignment horizontal="center"/>
    </xf>
    <xf numFmtId="0" fontId="0" fillId="2" borderId="13" xfId="0" applyFill="1" applyBorder="1" applyAlignment="1">
      <alignment horizontal="center"/>
    </xf>
    <xf numFmtId="0" fontId="1" fillId="2" borderId="9" xfId="0" applyFont="1" applyFill="1" applyBorder="1" applyAlignment="1">
      <alignment horizontal="center"/>
    </xf>
    <xf numFmtId="0" fontId="7" fillId="0" borderId="0" xfId="0" applyFont="1" applyAlignment="1">
      <alignment vertical="center" textRotation="255"/>
    </xf>
    <xf numFmtId="0" fontId="0" fillId="0" borderId="1" xfId="0" applyBorder="1" applyAlignment="1">
      <alignment horizontal="center"/>
    </xf>
    <xf numFmtId="0" fontId="0" fillId="0" borderId="0" xfId="0" applyAlignment="1">
      <alignment vertical="top"/>
    </xf>
    <xf numFmtId="0" fontId="0" fillId="0" borderId="0" xfId="0" applyAlignment="1">
      <alignment vertical="top" wrapText="1"/>
    </xf>
    <xf numFmtId="0" fontId="0" fillId="5" borderId="10" xfId="0" applyFill="1" applyBorder="1" applyAlignment="1">
      <alignment vertical="top"/>
    </xf>
    <xf numFmtId="0" fontId="10" fillId="5" borderId="0" xfId="0" applyFont="1" applyFill="1" applyBorder="1" applyAlignment="1">
      <alignment horizontal="center" vertical="center"/>
    </xf>
    <xf numFmtId="0" fontId="0" fillId="5" borderId="0" xfId="0" applyFill="1" applyBorder="1" applyAlignment="1">
      <alignment horizontal="left" vertical="top"/>
    </xf>
    <xf numFmtId="0" fontId="0" fillId="5" borderId="0" xfId="0" applyFill="1" applyBorder="1" applyAlignment="1">
      <alignment vertical="top"/>
    </xf>
    <xf numFmtId="0" fontId="0" fillId="5" borderId="11" xfId="0" applyFill="1" applyBorder="1" applyAlignment="1">
      <alignment vertical="top"/>
    </xf>
    <xf numFmtId="0" fontId="10" fillId="5" borderId="10" xfId="0" applyFont="1" applyFill="1" applyBorder="1" applyAlignment="1">
      <alignment vertical="top"/>
    </xf>
    <xf numFmtId="0" fontId="0" fillId="5" borderId="10" xfId="0" applyFill="1" applyBorder="1"/>
    <xf numFmtId="0" fontId="10" fillId="5" borderId="0" xfId="0" applyFont="1" applyFill="1" applyBorder="1" applyAlignment="1">
      <alignment vertical="top"/>
    </xf>
    <xf numFmtId="0" fontId="0" fillId="5" borderId="10" xfId="0" applyFill="1" applyBorder="1" applyAlignment="1">
      <alignment vertical="top" wrapText="1"/>
    </xf>
    <xf numFmtId="0" fontId="10" fillId="5" borderId="0" xfId="0" applyFont="1" applyFill="1" applyBorder="1" applyAlignment="1">
      <alignment horizontal="center" vertical="center" wrapText="1"/>
    </xf>
    <xf numFmtId="0" fontId="0" fillId="5" borderId="12" xfId="0" applyFill="1" applyBorder="1" applyAlignment="1">
      <alignment vertical="top" wrapText="1"/>
    </xf>
    <xf numFmtId="0" fontId="0" fillId="5" borderId="14" xfId="0" applyFill="1" applyBorder="1"/>
    <xf numFmtId="0" fontId="0" fillId="0" borderId="5" xfId="0" applyBorder="1" applyAlignment="1">
      <alignment vertical="top"/>
    </xf>
    <xf numFmtId="0" fontId="0" fillId="2" borderId="1" xfId="0" applyFill="1" applyBorder="1" applyAlignment="1">
      <alignment horizontal="center"/>
    </xf>
    <xf numFmtId="0" fontId="0" fillId="0" borderId="8" xfId="0" applyBorder="1"/>
    <xf numFmtId="0" fontId="0" fillId="0" borderId="10" xfId="0" applyBorder="1" applyAlignment="1"/>
    <xf numFmtId="0" fontId="0" fillId="0" borderId="5" xfId="0" applyBorder="1" applyAlignment="1"/>
    <xf numFmtId="0" fontId="0" fillId="2" borderId="5" xfId="0" applyFill="1" applyBorder="1" applyAlignment="1"/>
    <xf numFmtId="0" fontId="0" fillId="0" borderId="9" xfId="0" applyBorder="1" applyAlignment="1">
      <alignment horizontal="left" vertical="center"/>
    </xf>
    <xf numFmtId="0" fontId="0" fillId="2" borderId="7" xfId="0" applyFill="1" applyBorder="1" applyAlignment="1">
      <alignment horizontal="left" vertical="center"/>
    </xf>
    <xf numFmtId="0" fontId="0" fillId="0" borderId="11" xfId="0" applyBorder="1" applyAlignment="1">
      <alignment horizontal="left" vertical="center"/>
    </xf>
    <xf numFmtId="0" fontId="10" fillId="0" borderId="7" xfId="0" applyFont="1" applyBorder="1" applyAlignment="1">
      <alignment horizontal="left" vertical="center"/>
    </xf>
    <xf numFmtId="0" fontId="0" fillId="7" borderId="10" xfId="0" applyFill="1" applyBorder="1"/>
    <xf numFmtId="0" fontId="0" fillId="7" borderId="12" xfId="0" applyFill="1" applyBorder="1" applyAlignment="1">
      <alignment vertical="top" wrapText="1"/>
    </xf>
    <xf numFmtId="0" fontId="0" fillId="7" borderId="0" xfId="0" applyFill="1" applyBorder="1"/>
    <xf numFmtId="0" fontId="0" fillId="7" borderId="11" xfId="0" applyFill="1" applyBorder="1"/>
    <xf numFmtId="0" fontId="0" fillId="0" borderId="5" xfId="0" applyFill="1" applyBorder="1" applyAlignment="1"/>
    <xf numFmtId="0" fontId="10" fillId="0" borderId="7" xfId="0" applyFont="1" applyFill="1" applyBorder="1" applyAlignment="1">
      <alignment horizontal="left" vertical="center"/>
    </xf>
    <xf numFmtId="0" fontId="1" fillId="2" borderId="10" xfId="0" applyFont="1" applyFill="1" applyBorder="1" applyAlignment="1">
      <alignment horizontal="center"/>
    </xf>
    <xf numFmtId="0" fontId="1" fillId="2" borderId="8" xfId="0" applyFont="1" applyFill="1" applyBorder="1" applyAlignment="1">
      <alignment horizontal="center"/>
    </xf>
    <xf numFmtId="0" fontId="0" fillId="2" borderId="12" xfId="0" applyFill="1" applyBorder="1" applyAlignment="1">
      <alignment horizontal="center"/>
    </xf>
    <xf numFmtId="0" fontId="1" fillId="0" borderId="8" xfId="0" applyFont="1" applyFill="1" applyBorder="1" applyAlignment="1">
      <alignment horizontal="center"/>
    </xf>
    <xf numFmtId="0" fontId="0" fillId="0" borderId="12" xfId="0" applyBorder="1" applyAlignment="1">
      <alignment horizontal="center"/>
    </xf>
    <xf numFmtId="0" fontId="1" fillId="2" borderId="12" xfId="0" applyFont="1" applyFill="1" applyBorder="1" applyAlignment="1">
      <alignment horizontal="center"/>
    </xf>
    <xf numFmtId="0" fontId="1" fillId="0" borderId="12" xfId="0" applyFont="1" applyFill="1" applyBorder="1" applyAlignment="1">
      <alignment horizontal="center"/>
    </xf>
    <xf numFmtId="0" fontId="0" fillId="0" borderId="1"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 xfId="0" applyFill="1" applyBorder="1" applyAlignment="1">
      <alignment horizontal="center"/>
    </xf>
    <xf numFmtId="0" fontId="0" fillId="0" borderId="8" xfId="0" applyFill="1" applyBorder="1"/>
    <xf numFmtId="0" fontId="0" fillId="0" borderId="9" xfId="0" applyFill="1" applyBorder="1"/>
    <xf numFmtId="0" fontId="0" fillId="0" borderId="10" xfId="0" applyFill="1" applyBorder="1"/>
    <xf numFmtId="0" fontId="0" fillId="0" borderId="11" xfId="0" applyFill="1" applyBorder="1"/>
    <xf numFmtId="0" fontId="0" fillId="0" borderId="12" xfId="0" applyFill="1" applyBorder="1"/>
    <xf numFmtId="0" fontId="0" fillId="0" borderId="13" xfId="0" applyFill="1" applyBorder="1"/>
    <xf numFmtId="0" fontId="15" fillId="7" borderId="1" xfId="0" applyFont="1" applyFill="1" applyBorder="1" applyAlignment="1">
      <alignment horizontal="center"/>
    </xf>
    <xf numFmtId="0" fontId="7" fillId="12" borderId="1" xfId="0" applyFont="1" applyFill="1" applyBorder="1" applyAlignment="1">
      <alignment horizontal="center"/>
    </xf>
    <xf numFmtId="0" fontId="7" fillId="7" borderId="20" xfId="0" applyFont="1" applyFill="1" applyBorder="1" applyAlignment="1">
      <alignment horizontal="center"/>
    </xf>
    <xf numFmtId="0" fontId="7" fillId="7" borderId="21" xfId="0" applyFont="1" applyFill="1" applyBorder="1" applyAlignment="1">
      <alignment horizontal="center"/>
    </xf>
    <xf numFmtId="0" fontId="7" fillId="7" borderId="22" xfId="0" applyFont="1" applyFill="1" applyBorder="1" applyAlignment="1">
      <alignment horizontal="center"/>
    </xf>
    <xf numFmtId="0" fontId="0" fillId="0" borderId="23" xfId="0" applyBorder="1" applyAlignment="1">
      <alignment horizontal="center" vertical="center"/>
    </xf>
    <xf numFmtId="0" fontId="7" fillId="7" borderId="19" xfId="0" applyFont="1" applyFill="1" applyBorder="1" applyAlignment="1">
      <alignment horizontal="center"/>
    </xf>
    <xf numFmtId="0" fontId="7" fillId="7" borderId="17" xfId="0" applyFont="1" applyFill="1" applyBorder="1" applyAlignment="1">
      <alignment horizontal="center"/>
    </xf>
    <xf numFmtId="0" fontId="7" fillId="7" borderId="18" xfId="0" applyFont="1" applyFill="1" applyBorder="1" applyAlignment="1">
      <alignment horizontal="center"/>
    </xf>
    <xf numFmtId="0" fontId="0" fillId="0" borderId="13" xfId="0" applyBorder="1" applyAlignment="1">
      <alignment horizontal="center" vertical="center"/>
    </xf>
    <xf numFmtId="0" fontId="0" fillId="0" borderId="4" xfId="0" applyBorder="1" applyAlignment="1">
      <alignment horizontal="center" vertical="center"/>
    </xf>
    <xf numFmtId="0" fontId="0" fillId="0" borderId="27" xfId="0" applyBorder="1" applyAlignment="1">
      <alignment horizontal="center" vertical="center"/>
    </xf>
    <xf numFmtId="0" fontId="7" fillId="7" borderId="23" xfId="0" applyFont="1" applyFill="1" applyBorder="1" applyAlignment="1">
      <alignment horizontal="center"/>
    </xf>
    <xf numFmtId="0" fontId="7" fillId="7" borderId="24" xfId="0" applyFont="1" applyFill="1" applyBorder="1" applyAlignment="1">
      <alignment horizontal="center"/>
    </xf>
    <xf numFmtId="0" fontId="7" fillId="7" borderId="25" xfId="0" applyFont="1" applyFill="1" applyBorder="1" applyAlignment="1">
      <alignment horizontal="center"/>
    </xf>
    <xf numFmtId="0" fontId="0" fillId="0" borderId="11" xfId="0" applyBorder="1"/>
    <xf numFmtId="0" fontId="0" fillId="0" borderId="14" xfId="0" applyBorder="1"/>
    <xf numFmtId="0" fontId="0" fillId="0" borderId="13" xfId="0" applyBorder="1"/>
    <xf numFmtId="0" fontId="0" fillId="0" borderId="0" xfId="0" applyBorder="1"/>
    <xf numFmtId="0" fontId="7" fillId="0" borderId="0" xfId="0" applyFont="1"/>
    <xf numFmtId="0" fontId="0" fillId="0" borderId="0" xfId="0" applyAlignment="1"/>
    <xf numFmtId="0" fontId="0" fillId="15" borderId="29" xfId="0" applyFill="1" applyBorder="1"/>
    <xf numFmtId="0" fontId="0" fillId="0" borderId="9" xfId="0" applyBorder="1"/>
    <xf numFmtId="0" fontId="0" fillId="0" borderId="10" xfId="0" applyBorder="1"/>
    <xf numFmtId="0" fontId="0" fillId="0" borderId="12" xfId="0" applyBorder="1"/>
    <xf numFmtId="0" fontId="0" fillId="16" borderId="1" xfId="0" applyFill="1" applyBorder="1"/>
    <xf numFmtId="0" fontId="3" fillId="15" borderId="28" xfId="0" applyFont="1" applyFill="1" applyBorder="1" applyAlignment="1"/>
    <xf numFmtId="0" fontId="1" fillId="6" borderId="1" xfId="0" applyFont="1" applyFill="1" applyBorder="1" applyAlignment="1"/>
    <xf numFmtId="0" fontId="0" fillId="10" borderId="1" xfId="0" applyFill="1" applyBorder="1"/>
    <xf numFmtId="0" fontId="0" fillId="22" borderId="2" xfId="0" applyFill="1" applyBorder="1" applyAlignment="1">
      <alignment horizontal="center"/>
    </xf>
    <xf numFmtId="0" fontId="7" fillId="9" borderId="1" xfId="0" applyFont="1" applyFill="1" applyBorder="1" applyAlignment="1">
      <alignment horizontal="center"/>
    </xf>
    <xf numFmtId="0" fontId="18" fillId="0" borderId="0" xfId="0" applyFont="1"/>
    <xf numFmtId="0" fontId="0" fillId="17" borderId="1" xfId="0" applyFill="1" applyBorder="1" applyAlignment="1">
      <alignment horizontal="center"/>
    </xf>
    <xf numFmtId="0" fontId="0" fillId="20" borderId="1" xfId="0" applyFill="1" applyBorder="1" applyAlignment="1">
      <alignment horizontal="center"/>
    </xf>
    <xf numFmtId="0" fontId="0" fillId="19" borderId="1" xfId="0" applyFill="1" applyBorder="1" applyAlignment="1">
      <alignment horizontal="center"/>
    </xf>
    <xf numFmtId="11" fontId="0" fillId="19" borderId="1" xfId="0" applyNumberFormat="1" applyFill="1" applyBorder="1"/>
    <xf numFmtId="0" fontId="0" fillId="19" borderId="2" xfId="0" applyFill="1" applyBorder="1" applyAlignment="1">
      <alignment horizontal="center"/>
    </xf>
    <xf numFmtId="11" fontId="0" fillId="19" borderId="2" xfId="0" applyNumberFormat="1" applyFill="1" applyBorder="1"/>
    <xf numFmtId="0" fontId="0" fillId="17" borderId="2" xfId="0" applyFill="1" applyBorder="1" applyAlignment="1">
      <alignment horizontal="center"/>
    </xf>
    <xf numFmtId="0" fontId="7" fillId="11" borderId="2" xfId="0" applyFont="1" applyFill="1" applyBorder="1" applyAlignment="1">
      <alignment horizontal="center"/>
    </xf>
    <xf numFmtId="0" fontId="7" fillId="11" borderId="2" xfId="0" applyFont="1" applyFill="1" applyBorder="1" applyAlignment="1">
      <alignment horizontal="center" vertical="center"/>
    </xf>
    <xf numFmtId="0" fontId="7" fillId="13" borderId="1" xfId="0" applyFont="1" applyFill="1" applyBorder="1" applyAlignment="1">
      <alignment horizontal="center"/>
    </xf>
    <xf numFmtId="0" fontId="0" fillId="17" borderId="8" xfId="0" applyFill="1" applyBorder="1" applyAlignment="1">
      <alignment horizontal="center"/>
    </xf>
    <xf numFmtId="0" fontId="7" fillId="13" borderId="2" xfId="0" applyFont="1" applyFill="1" applyBorder="1" applyAlignment="1">
      <alignment horizontal="center"/>
    </xf>
    <xf numFmtId="0" fontId="0" fillId="22" borderId="1" xfId="0" applyFill="1" applyBorder="1" applyAlignment="1">
      <alignment horizontal="center"/>
    </xf>
    <xf numFmtId="0" fontId="0" fillId="17" borderId="5" xfId="0" applyFill="1" applyBorder="1" applyAlignment="1">
      <alignment horizontal="center"/>
    </xf>
    <xf numFmtId="0" fontId="0" fillId="0" borderId="4" xfId="0" applyFill="1" applyBorder="1" applyAlignment="1">
      <alignment horizontal="center" vertical="center"/>
    </xf>
    <xf numFmtId="0" fontId="0" fillId="0" borderId="1" xfId="0" applyFill="1" applyBorder="1" applyAlignment="1">
      <alignment horizontal="center" vertical="center"/>
    </xf>
    <xf numFmtId="0" fontId="0" fillId="20" borderId="4" xfId="0" applyFill="1" applyBorder="1" applyAlignment="1">
      <alignment horizontal="center"/>
    </xf>
    <xf numFmtId="0" fontId="0" fillId="20" borderId="1" xfId="0" applyFill="1" applyBorder="1"/>
    <xf numFmtId="0" fontId="0" fillId="20" borderId="4" xfId="0" applyFill="1" applyBorder="1" applyAlignment="1">
      <alignment vertical="top"/>
    </xf>
    <xf numFmtId="0" fontId="7" fillId="0" borderId="24" xfId="0" applyFont="1" applyBorder="1" applyAlignment="1">
      <alignment horizontal="center" vertical="center" wrapText="1"/>
    </xf>
    <xf numFmtId="0" fontId="0" fillId="24" borderId="4" xfId="0" applyNumberFormat="1" applyFill="1" applyBorder="1"/>
    <xf numFmtId="0" fontId="0" fillId="0" borderId="15" xfId="0" applyBorder="1"/>
    <xf numFmtId="0" fontId="18" fillId="0" borderId="0" xfId="0" applyFont="1" applyAlignment="1"/>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vertical="center"/>
    </xf>
    <xf numFmtId="0" fontId="0" fillId="25" borderId="0" xfId="0" applyFill="1" applyBorder="1" applyAlignment="1">
      <alignment horizontal="right" vertical="center"/>
    </xf>
    <xf numFmtId="0" fontId="18" fillId="0" borderId="0" xfId="0" applyFont="1" applyAlignment="1">
      <alignment vertical="center"/>
    </xf>
    <xf numFmtId="0" fontId="18" fillId="0" borderId="0" xfId="0" applyFont="1" applyAlignment="1">
      <alignment horizontal="right" vertical="center"/>
    </xf>
    <xf numFmtId="0" fontId="18" fillId="0" borderId="0" xfId="0" applyFont="1" applyAlignment="1">
      <alignment horizontal="left" vertical="center"/>
    </xf>
    <xf numFmtId="0" fontId="20" fillId="0" borderId="0" xfId="0" applyFont="1"/>
    <xf numFmtId="0" fontId="0" fillId="25" borderId="1" xfId="0" applyFill="1" applyBorder="1" applyAlignment="1">
      <alignment wrapText="1"/>
    </xf>
    <xf numFmtId="0" fontId="0" fillId="25" borderId="1" xfId="0" applyFill="1" applyBorder="1" applyAlignment="1">
      <alignment vertical="top" wrapText="1"/>
    </xf>
    <xf numFmtId="0" fontId="0" fillId="25" borderId="1" xfId="0" applyFill="1" applyBorder="1" applyAlignment="1">
      <alignment horizontal="left" vertical="top" wrapText="1"/>
    </xf>
    <xf numFmtId="0" fontId="0" fillId="25" borderId="1" xfId="0" applyFill="1" applyBorder="1" applyAlignment="1">
      <alignment horizontal="center" vertical="center"/>
    </xf>
    <xf numFmtId="0" fontId="7" fillId="25" borderId="1" xfId="0" applyFont="1" applyFill="1" applyBorder="1" applyAlignment="1">
      <alignment horizontal="center" vertical="center"/>
    </xf>
    <xf numFmtId="0" fontId="0" fillId="25" borderId="1" xfId="0" applyFill="1" applyBorder="1" applyAlignment="1">
      <alignment vertical="center"/>
    </xf>
    <xf numFmtId="0" fontId="0" fillId="25" borderId="5" xfId="0" applyFill="1" applyBorder="1" applyAlignment="1">
      <alignment vertical="center"/>
    </xf>
    <xf numFmtId="0" fontId="0" fillId="25" borderId="7" xfId="0" applyFill="1" applyBorder="1" applyAlignment="1">
      <alignment vertical="center"/>
    </xf>
    <xf numFmtId="0" fontId="0" fillId="25" borderId="5" xfId="0" applyFill="1" applyBorder="1" applyAlignment="1">
      <alignment horizontal="right" vertical="center"/>
    </xf>
    <xf numFmtId="0" fontId="0" fillId="25" borderId="6" xfId="0" applyFill="1" applyBorder="1" applyAlignment="1">
      <alignment horizontal="right" vertical="center"/>
    </xf>
    <xf numFmtId="0" fontId="0" fillId="25" borderId="6" xfId="0" applyFill="1" applyBorder="1" applyAlignment="1">
      <alignment vertical="center"/>
    </xf>
    <xf numFmtId="164" fontId="0" fillId="25" borderId="6" xfId="0" applyNumberFormat="1" applyFill="1" applyBorder="1" applyAlignment="1">
      <alignment horizontal="right" vertical="center"/>
    </xf>
    <xf numFmtId="0" fontId="0" fillId="25" borderId="7" xfId="0" applyFill="1" applyBorder="1" applyAlignment="1">
      <alignment horizontal="left" vertical="center"/>
    </xf>
    <xf numFmtId="0" fontId="0" fillId="25" borderId="5" xfId="0" applyFill="1" applyBorder="1" applyAlignment="1">
      <alignment horizontal="left" vertical="center"/>
    </xf>
    <xf numFmtId="0" fontId="0" fillId="25" borderId="1" xfId="0" applyFill="1" applyBorder="1" applyAlignment="1">
      <alignment horizontal="left" vertical="center"/>
    </xf>
    <xf numFmtId="0" fontId="10" fillId="25" borderId="5" xfId="0" applyFont="1" applyFill="1" applyBorder="1" applyAlignment="1">
      <alignment horizontal="right" vertical="center"/>
    </xf>
    <xf numFmtId="0" fontId="0" fillId="25" borderId="1" xfId="0" applyFill="1" applyBorder="1" applyAlignment="1">
      <alignment horizontal="left" vertical="center" wrapText="1"/>
    </xf>
    <xf numFmtId="0" fontId="0" fillId="25" borderId="0" xfId="0" applyFill="1" applyBorder="1" applyAlignment="1">
      <alignment vertical="center"/>
    </xf>
    <xf numFmtId="0" fontId="0" fillId="25" borderId="0" xfId="0" applyFill="1" applyBorder="1" applyAlignment="1">
      <alignment horizontal="left" vertical="center"/>
    </xf>
    <xf numFmtId="0" fontId="5" fillId="25" borderId="49" xfId="0" applyFont="1" applyFill="1" applyBorder="1" applyAlignment="1">
      <alignment horizontal="center" vertical="center"/>
    </xf>
    <xf numFmtId="0" fontId="0" fillId="25" borderId="50" xfId="0" applyFont="1" applyFill="1" applyBorder="1" applyAlignment="1">
      <alignment vertical="center"/>
    </xf>
    <xf numFmtId="0" fontId="0" fillId="25" borderId="50" xfId="0" applyFill="1" applyBorder="1" applyAlignment="1">
      <alignment horizontal="center" vertical="center"/>
    </xf>
    <xf numFmtId="0" fontId="7" fillId="25" borderId="51" xfId="0" applyFont="1" applyFill="1" applyBorder="1" applyAlignment="1">
      <alignment horizontal="center" vertical="center"/>
    </xf>
    <xf numFmtId="0" fontId="0" fillId="25" borderId="51" xfId="0" applyNumberFormat="1" applyFill="1" applyBorder="1" applyAlignment="1">
      <alignment vertical="center"/>
    </xf>
    <xf numFmtId="0" fontId="0" fillId="25" borderId="30" xfId="0" applyNumberFormat="1" applyFill="1" applyBorder="1" applyAlignment="1">
      <alignment vertical="center"/>
    </xf>
    <xf numFmtId="0" fontId="0" fillId="25" borderId="51" xfId="0" applyNumberFormat="1" applyFill="1" applyBorder="1" applyAlignment="1">
      <alignment horizontal="right" vertical="center"/>
    </xf>
    <xf numFmtId="0" fontId="0" fillId="25" borderId="30" xfId="0" applyNumberFormat="1" applyFill="1" applyBorder="1" applyAlignment="1">
      <alignment horizontal="right" vertical="center"/>
    </xf>
    <xf numFmtId="0" fontId="0" fillId="25" borderId="30" xfId="0" applyNumberFormat="1" applyFill="1" applyBorder="1" applyAlignment="1">
      <alignment horizontal="left" vertical="center"/>
    </xf>
    <xf numFmtId="0" fontId="0" fillId="25" borderId="52" xfId="0" applyNumberFormat="1" applyFill="1" applyBorder="1" applyAlignment="1">
      <alignment horizontal="left" vertical="center"/>
    </xf>
    <xf numFmtId="0" fontId="0" fillId="25" borderId="30" xfId="0" applyFill="1" applyBorder="1" applyAlignment="1">
      <alignment horizontal="right" vertical="center"/>
    </xf>
    <xf numFmtId="0" fontId="0" fillId="25" borderId="52" xfId="0" applyFill="1" applyBorder="1" applyAlignment="1">
      <alignment horizontal="left" vertical="center"/>
    </xf>
    <xf numFmtId="0" fontId="0" fillId="25" borderId="52" xfId="0" applyFill="1" applyBorder="1" applyAlignment="1">
      <alignment vertical="top" wrapText="1"/>
    </xf>
    <xf numFmtId="0" fontId="0" fillId="25" borderId="53" xfId="0" applyFill="1" applyBorder="1" applyAlignment="1">
      <alignment horizontal="center" vertical="center"/>
    </xf>
    <xf numFmtId="0" fontId="0" fillId="25" borderId="1" xfId="0" applyFont="1" applyFill="1" applyBorder="1" applyAlignment="1">
      <alignment horizontal="center" vertical="center"/>
    </xf>
    <xf numFmtId="0" fontId="0" fillId="25" borderId="2" xfId="0" applyFill="1" applyBorder="1" applyAlignment="1">
      <alignment vertical="top" wrapText="1"/>
    </xf>
    <xf numFmtId="0" fontId="0" fillId="25" borderId="0" xfId="0" applyFill="1" applyBorder="1"/>
    <xf numFmtId="0" fontId="0" fillId="25" borderId="3" xfId="0" applyFill="1" applyBorder="1" applyAlignment="1">
      <alignment vertical="top" wrapText="1"/>
    </xf>
    <xf numFmtId="0" fontId="0" fillId="25" borderId="34" xfId="0" applyFill="1" applyBorder="1" applyAlignment="1">
      <alignment vertical="center"/>
    </xf>
    <xf numFmtId="0" fontId="0" fillId="25" borderId="34" xfId="0" applyFill="1" applyBorder="1" applyAlignment="1">
      <alignment horizontal="right" vertical="center"/>
    </xf>
    <xf numFmtId="0" fontId="0" fillId="25" borderId="34" xfId="0" applyFill="1" applyBorder="1" applyAlignment="1">
      <alignment horizontal="left" vertical="center"/>
    </xf>
    <xf numFmtId="0" fontId="0" fillId="25" borderId="21" xfId="0" applyFill="1" applyBorder="1" applyAlignment="1">
      <alignment horizontal="left" vertical="top" wrapText="1"/>
    </xf>
    <xf numFmtId="0" fontId="7" fillId="17" borderId="21" xfId="0" applyFont="1" applyFill="1" applyBorder="1" applyAlignment="1">
      <alignment horizontal="center" vertical="center"/>
    </xf>
    <xf numFmtId="0" fontId="0" fillId="17" borderId="43" xfId="0" applyFill="1" applyBorder="1" applyAlignment="1">
      <alignment vertical="center"/>
    </xf>
    <xf numFmtId="0" fontId="0" fillId="17" borderId="20" xfId="0" applyFill="1" applyBorder="1" applyAlignment="1">
      <alignment vertical="center"/>
    </xf>
    <xf numFmtId="0" fontId="0" fillId="17" borderId="43" xfId="0" applyFill="1" applyBorder="1" applyAlignment="1">
      <alignment horizontal="right" vertical="center"/>
    </xf>
    <xf numFmtId="0" fontId="0" fillId="17" borderId="44" xfId="0" applyFill="1" applyBorder="1" applyAlignment="1">
      <alignment horizontal="right" vertical="center"/>
    </xf>
    <xf numFmtId="0" fontId="0" fillId="17" borderId="44" xfId="0" applyFill="1" applyBorder="1" applyAlignment="1">
      <alignment horizontal="left" vertical="center"/>
    </xf>
    <xf numFmtId="0" fontId="0" fillId="17" borderId="44" xfId="0" applyFill="1" applyBorder="1" applyAlignment="1">
      <alignment horizontal="center" vertical="center"/>
    </xf>
    <xf numFmtId="0" fontId="0" fillId="17" borderId="43" xfId="0" applyFill="1" applyBorder="1" applyAlignment="1">
      <alignment horizontal="left" vertical="center"/>
    </xf>
    <xf numFmtId="0" fontId="0" fillId="17" borderId="20" xfId="0" applyFill="1" applyBorder="1" applyAlignment="1">
      <alignment horizontal="center" vertical="center"/>
    </xf>
    <xf numFmtId="0" fontId="0" fillId="17" borderId="20" xfId="0" applyFill="1" applyBorder="1" applyAlignment="1">
      <alignment horizontal="left" vertical="top" wrapText="1"/>
    </xf>
    <xf numFmtId="0" fontId="7" fillId="17" borderId="1" xfId="0" applyFont="1" applyFill="1" applyBorder="1" applyAlignment="1">
      <alignment horizontal="center" vertical="center"/>
    </xf>
    <xf numFmtId="0" fontId="0" fillId="17" borderId="5" xfId="0" applyFill="1" applyBorder="1" applyAlignment="1">
      <alignment horizontal="right" vertical="center"/>
    </xf>
    <xf numFmtId="0" fontId="0" fillId="17" borderId="7" xfId="0" applyFill="1" applyBorder="1" applyAlignment="1">
      <alignment horizontal="center" vertical="center"/>
    </xf>
    <xf numFmtId="0" fontId="0" fillId="17" borderId="6" xfId="0" applyFill="1" applyBorder="1" applyAlignment="1">
      <alignment horizontal="right" vertical="center"/>
    </xf>
    <xf numFmtId="0" fontId="0" fillId="17" borderId="6" xfId="0" applyFill="1" applyBorder="1" applyAlignment="1">
      <alignment horizontal="left" vertical="center"/>
    </xf>
    <xf numFmtId="0" fontId="0" fillId="17" borderId="6" xfId="0" applyFill="1" applyBorder="1" applyAlignment="1">
      <alignment horizontal="center" vertical="center"/>
    </xf>
    <xf numFmtId="0" fontId="0" fillId="17" borderId="5" xfId="0" applyFill="1" applyBorder="1" applyAlignment="1">
      <alignment horizontal="left" vertical="center"/>
    </xf>
    <xf numFmtId="0" fontId="0" fillId="17" borderId="7" xfId="0" applyFill="1" applyBorder="1" applyAlignment="1">
      <alignment vertical="center"/>
    </xf>
    <xf numFmtId="0" fontId="0" fillId="17" borderId="7" xfId="0" applyFill="1" applyBorder="1" applyAlignment="1">
      <alignment vertical="top"/>
    </xf>
    <xf numFmtId="0" fontId="0" fillId="17" borderId="5" xfId="0" applyFill="1" applyBorder="1" applyAlignment="1">
      <alignment horizontal="center" vertical="center"/>
    </xf>
    <xf numFmtId="0" fontId="0" fillId="17" borderId="0" xfId="0" applyFont="1" applyFill="1" applyBorder="1" applyAlignment="1">
      <alignment horizontal="center" vertical="center"/>
    </xf>
    <xf numFmtId="0" fontId="7" fillId="17" borderId="0" xfId="0" applyFont="1" applyFill="1" applyBorder="1" applyAlignment="1">
      <alignment horizontal="center" vertical="center"/>
    </xf>
    <xf numFmtId="0" fontId="0" fillId="17" borderId="0" xfId="0" applyFill="1" applyBorder="1" applyAlignment="1">
      <alignment horizontal="center" vertical="center"/>
    </xf>
    <xf numFmtId="0" fontId="0" fillId="17" borderId="0" xfId="0" applyFill="1" applyBorder="1" applyAlignment="1">
      <alignment horizontal="right" vertical="center"/>
    </xf>
    <xf numFmtId="0" fontId="0" fillId="17" borderId="0" xfId="0" applyFill="1" applyBorder="1" applyAlignment="1">
      <alignment horizontal="left" vertical="center"/>
    </xf>
    <xf numFmtId="0" fontId="0" fillId="17" borderId="0" xfId="0" applyFill="1" applyBorder="1" applyAlignment="1">
      <alignment vertical="center"/>
    </xf>
    <xf numFmtId="0" fontId="0" fillId="17" borderId="0" xfId="0" applyFill="1" applyBorder="1" applyAlignment="1">
      <alignment vertical="top"/>
    </xf>
    <xf numFmtId="0" fontId="0" fillId="17" borderId="48" xfId="0" applyFill="1" applyBorder="1" applyAlignment="1">
      <alignment horizontal="center" vertical="center"/>
    </xf>
    <xf numFmtId="0" fontId="7" fillId="17"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17" borderId="5" xfId="0" applyFill="1" applyBorder="1" applyAlignment="1">
      <alignment vertical="center"/>
    </xf>
    <xf numFmtId="0" fontId="0" fillId="17" borderId="6" xfId="0" applyFill="1" applyBorder="1" applyAlignment="1">
      <alignment vertical="center"/>
    </xf>
    <xf numFmtId="0" fontId="0" fillId="17" borderId="7" xfId="0" applyFill="1" applyBorder="1" applyAlignment="1">
      <alignment horizontal="left" vertical="center"/>
    </xf>
    <xf numFmtId="0" fontId="10" fillId="17" borderId="5" xfId="0" applyFont="1" applyFill="1" applyBorder="1" applyAlignment="1">
      <alignment horizontal="right" vertical="center"/>
    </xf>
    <xf numFmtId="0" fontId="0" fillId="17" borderId="1" xfId="0" applyFill="1" applyBorder="1" applyAlignment="1">
      <alignment vertical="top" wrapText="1"/>
    </xf>
    <xf numFmtId="0" fontId="0" fillId="17" borderId="26" xfId="0" applyFill="1" applyBorder="1" applyAlignment="1">
      <alignment horizontal="center" vertical="center"/>
    </xf>
    <xf numFmtId="0" fontId="24" fillId="12" borderId="39" xfId="0" applyFont="1" applyFill="1" applyBorder="1" applyAlignment="1">
      <alignment horizontal="right" vertical="center"/>
    </xf>
    <xf numFmtId="0" fontId="24" fillId="12" borderId="23" xfId="0" applyFont="1" applyFill="1" applyBorder="1" applyAlignment="1">
      <alignment horizontal="left" vertical="center"/>
    </xf>
    <xf numFmtId="48" fontId="0" fillId="0" borderId="1" xfId="0" applyNumberFormat="1" applyBorder="1"/>
    <xf numFmtId="0" fontId="0" fillId="0" borderId="0" xfId="0" applyBorder="1"/>
    <xf numFmtId="0" fontId="7" fillId="11" borderId="1" xfId="0" applyFont="1" applyFill="1" applyBorder="1" applyAlignment="1">
      <alignment horizontal="center" vertical="center"/>
    </xf>
    <xf numFmtId="0" fontId="25" fillId="0" borderId="0" xfId="0" applyFont="1" applyAlignment="1">
      <alignment horizontal="left"/>
    </xf>
    <xf numFmtId="0" fontId="0" fillId="19" borderId="3" xfId="0" applyFill="1" applyBorder="1" applyAlignment="1">
      <alignment horizontal="center"/>
    </xf>
    <xf numFmtId="0" fontId="7" fillId="6" borderId="5"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1" xfId="0" applyFont="1" applyFill="1" applyBorder="1" applyAlignment="1">
      <alignment horizontal="center" vertical="center"/>
    </xf>
    <xf numFmtId="0" fontId="0" fillId="0" borderId="0" xfId="0" applyFont="1" applyAlignment="1">
      <alignment horizontal="center"/>
    </xf>
    <xf numFmtId="11" fontId="0" fillId="0" borderId="0" xfId="0" applyNumberFormat="1"/>
    <xf numFmtId="0" fontId="0" fillId="0" borderId="0" xfId="0" applyFill="1" applyBorder="1" applyAlignment="1">
      <alignment horizontal="center"/>
    </xf>
    <xf numFmtId="0" fontId="7" fillId="6" borderId="1" xfId="0" applyFont="1" applyFill="1" applyBorder="1" applyAlignment="1">
      <alignment horizontal="center"/>
    </xf>
    <xf numFmtId="0" fontId="7" fillId="8" borderId="1" xfId="0" applyFont="1" applyFill="1" applyBorder="1" applyAlignment="1">
      <alignment horizontal="center"/>
    </xf>
    <xf numFmtId="11" fontId="0" fillId="20" borderId="1" xfId="0" applyNumberFormat="1" applyFill="1" applyBorder="1"/>
    <xf numFmtId="11" fontId="0" fillId="19" borderId="3" xfId="0" applyNumberFormat="1" applyFill="1" applyBorder="1"/>
    <xf numFmtId="0" fontId="0" fillId="0" borderId="2" xfId="0"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0" borderId="0" xfId="0" applyBorder="1"/>
    <xf numFmtId="0" fontId="0" fillId="0" borderId="1" xfId="0" applyBorder="1" applyAlignment="1">
      <alignment horizontal="center" vertical="center"/>
    </xf>
    <xf numFmtId="0" fontId="27" fillId="0" borderId="0" xfId="0" applyFont="1"/>
    <xf numFmtId="0" fontId="28" fillId="0" borderId="0" xfId="0" applyFont="1"/>
    <xf numFmtId="49" fontId="0" fillId="0" borderId="0" xfId="0" applyNumberFormat="1"/>
    <xf numFmtId="0" fontId="0" fillId="0" borderId="1" xfId="0" applyBorder="1"/>
    <xf numFmtId="0" fontId="7" fillId="26" borderId="1" xfId="0" applyFont="1" applyFill="1" applyBorder="1" applyAlignment="1">
      <alignment horizontal="center" vertical="center"/>
    </xf>
    <xf numFmtId="0" fontId="7" fillId="27" borderId="1" xfId="0" applyFont="1" applyFill="1" applyBorder="1" applyAlignment="1">
      <alignment horizontal="center" vertical="center"/>
    </xf>
    <xf numFmtId="0" fontId="13" fillId="0" borderId="0" xfId="0" applyFont="1"/>
    <xf numFmtId="0" fontId="7" fillId="26" borderId="9" xfId="0" applyFont="1" applyFill="1" applyBorder="1" applyAlignment="1">
      <alignment horizontal="center" vertical="center" wrapText="1"/>
    </xf>
    <xf numFmtId="0" fontId="7" fillId="26" borderId="15" xfId="0" applyFont="1" applyFill="1" applyBorder="1" applyAlignment="1">
      <alignment horizontal="center" vertical="center" wrapText="1"/>
    </xf>
    <xf numFmtId="0" fontId="7" fillId="30" borderId="1" xfId="0" applyFont="1" applyFill="1" applyBorder="1" applyAlignment="1">
      <alignment horizontal="center"/>
    </xf>
    <xf numFmtId="0" fontId="0" fillId="25" borderId="3" xfId="0" applyFill="1" applyBorder="1" applyAlignment="1" applyProtection="1">
      <alignment vertical="top" wrapText="1"/>
    </xf>
    <xf numFmtId="0" fontId="7" fillId="25" borderId="20" xfId="0" applyFont="1" applyFill="1" applyBorder="1" applyAlignment="1">
      <alignment horizontal="center" vertical="center"/>
    </xf>
    <xf numFmtId="0" fontId="7" fillId="25" borderId="7" xfId="0" applyFont="1" applyFill="1" applyBorder="1" applyAlignment="1">
      <alignment horizontal="center" vertical="center" wrapText="1"/>
    </xf>
    <xf numFmtId="0" fontId="7" fillId="25" borderId="7" xfId="0" applyFont="1" applyFill="1" applyBorder="1" applyAlignment="1">
      <alignment horizontal="center" vertical="center"/>
    </xf>
    <xf numFmtId="0" fontId="0" fillId="25" borderId="9" xfId="0" applyFill="1" applyBorder="1" applyAlignment="1">
      <alignment vertical="center"/>
    </xf>
    <xf numFmtId="0" fontId="0" fillId="25" borderId="11" xfId="0" applyFill="1" applyBorder="1" applyAlignment="1">
      <alignment vertical="center"/>
    </xf>
    <xf numFmtId="0" fontId="7" fillId="17" borderId="2" xfId="0" applyFont="1" applyFill="1" applyBorder="1" applyAlignment="1">
      <alignment horizontal="center" vertical="center" wrapText="1"/>
    </xf>
    <xf numFmtId="0" fontId="0" fillId="17" borderId="2" xfId="0" applyFill="1" applyBorder="1" applyAlignment="1">
      <alignment horizontal="center" vertical="center"/>
    </xf>
    <xf numFmtId="0" fontId="7" fillId="17" borderId="2" xfId="0" applyFont="1" applyFill="1" applyBorder="1" applyAlignment="1">
      <alignment horizontal="center" vertical="center"/>
    </xf>
    <xf numFmtId="0" fontId="0" fillId="17" borderId="8" xfId="0" applyFill="1" applyBorder="1" applyAlignment="1">
      <alignment vertical="center"/>
    </xf>
    <xf numFmtId="0" fontId="0" fillId="17" borderId="9" xfId="0" applyFill="1" applyBorder="1" applyAlignment="1">
      <alignment vertical="center"/>
    </xf>
    <xf numFmtId="0" fontId="0" fillId="17" borderId="8" xfId="0" applyFill="1" applyBorder="1" applyAlignment="1">
      <alignment horizontal="right" vertical="center"/>
    </xf>
    <xf numFmtId="0" fontId="0" fillId="17" borderId="15" xfId="0" applyFill="1" applyBorder="1" applyAlignment="1">
      <alignment horizontal="right" vertical="center"/>
    </xf>
    <xf numFmtId="0" fontId="0" fillId="17" borderId="15" xfId="0" applyFill="1" applyBorder="1" applyAlignment="1">
      <alignment horizontal="left" vertical="center"/>
    </xf>
    <xf numFmtId="0" fontId="0" fillId="17" borderId="15" xfId="0" applyFill="1" applyBorder="1" applyAlignment="1">
      <alignment vertical="center"/>
    </xf>
    <xf numFmtId="0" fontId="0" fillId="17" borderId="9" xfId="0" applyFill="1" applyBorder="1" applyAlignment="1">
      <alignment horizontal="left" vertical="center"/>
    </xf>
    <xf numFmtId="0" fontId="10" fillId="17" borderId="8" xfId="0" applyFont="1" applyFill="1" applyBorder="1" applyAlignment="1">
      <alignment horizontal="right" vertical="center"/>
    </xf>
    <xf numFmtId="0" fontId="0" fillId="17" borderId="2" xfId="0" applyFill="1" applyBorder="1" applyAlignment="1">
      <alignment vertical="top" wrapText="1"/>
    </xf>
    <xf numFmtId="0" fontId="0" fillId="17" borderId="54" xfId="0" applyFill="1" applyBorder="1" applyAlignment="1">
      <alignment horizontal="center" vertical="center"/>
    </xf>
    <xf numFmtId="0" fontId="0" fillId="25" borderId="55" xfId="0" applyFill="1" applyBorder="1" applyAlignment="1">
      <alignment vertical="center"/>
    </xf>
    <xf numFmtId="0" fontId="7" fillId="25" borderId="24" xfId="0" applyFont="1" applyFill="1" applyBorder="1" applyAlignment="1">
      <alignment vertical="center"/>
    </xf>
    <xf numFmtId="0" fontId="0" fillId="25" borderId="39" xfId="0" applyFill="1" applyBorder="1" applyAlignment="1">
      <alignment vertical="center"/>
    </xf>
    <xf numFmtId="0" fontId="0" fillId="25" borderId="23" xfId="0" applyFill="1" applyBorder="1" applyAlignment="1">
      <alignment vertical="center"/>
    </xf>
    <xf numFmtId="0" fontId="0" fillId="25" borderId="39" xfId="0" applyFill="1" applyBorder="1" applyAlignment="1">
      <alignment horizontal="right" vertical="center"/>
    </xf>
    <xf numFmtId="0" fontId="0" fillId="25" borderId="37" xfId="0" applyFill="1" applyBorder="1" applyAlignment="1">
      <alignment horizontal="right" vertical="center"/>
    </xf>
    <xf numFmtId="0" fontId="0" fillId="25" borderId="37" xfId="0" applyFill="1" applyBorder="1" applyAlignment="1">
      <alignment horizontal="left" vertical="center"/>
    </xf>
    <xf numFmtId="0" fontId="0" fillId="25" borderId="37" xfId="0" applyFill="1" applyBorder="1" applyAlignment="1">
      <alignment vertical="center"/>
    </xf>
    <xf numFmtId="0" fontId="0" fillId="25" borderId="23" xfId="0" applyFill="1" applyBorder="1" applyAlignment="1">
      <alignment horizontal="left" vertical="center"/>
    </xf>
    <xf numFmtId="0" fontId="0" fillId="25" borderId="24" xfId="0" applyFill="1" applyBorder="1" applyAlignment="1">
      <alignment vertical="top" wrapText="1"/>
    </xf>
    <xf numFmtId="0" fontId="0" fillId="0" borderId="0" xfId="0" applyAlignment="1">
      <alignment horizontal="center" vertical="center"/>
    </xf>
    <xf numFmtId="0" fontId="0" fillId="25" borderId="48" xfId="0" applyFill="1" applyBorder="1" applyAlignment="1">
      <alignment horizontal="center" vertical="center"/>
    </xf>
    <xf numFmtId="0" fontId="0" fillId="0" borderId="6" xfId="0" applyBorder="1"/>
    <xf numFmtId="0" fontId="0" fillId="0" borderId="8" xfId="0" applyBorder="1" applyAlignment="1">
      <alignment vertical="center"/>
    </xf>
    <xf numFmtId="0" fontId="0" fillId="0" borderId="9"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5" xfId="0" applyBorder="1" applyAlignment="1">
      <alignment horizontal="left"/>
    </xf>
    <xf numFmtId="0" fontId="0" fillId="0" borderId="6" xfId="0" applyBorder="1" applyAlignment="1">
      <alignment horizontal="left"/>
    </xf>
    <xf numFmtId="0" fontId="0" fillId="0" borderId="0" xfId="0" applyAlignment="1">
      <alignment horizontal="left"/>
    </xf>
    <xf numFmtId="0" fontId="0" fillId="0" borderId="5" xfId="0" applyFill="1" applyBorder="1"/>
    <xf numFmtId="0" fontId="7" fillId="26" borderId="11" xfId="0" applyFont="1" applyFill="1" applyBorder="1" applyAlignment="1">
      <alignment horizontal="center" vertical="center" wrapText="1"/>
    </xf>
    <xf numFmtId="0" fontId="0" fillId="0" borderId="5" xfId="0" applyBorder="1"/>
    <xf numFmtId="0" fontId="7" fillId="26" borderId="0" xfId="0" applyFont="1" applyFill="1" applyBorder="1" applyAlignment="1">
      <alignment horizontal="center" vertical="center" wrapText="1"/>
    </xf>
    <xf numFmtId="0" fontId="5" fillId="23" borderId="1" xfId="0" applyFont="1" applyFill="1" applyBorder="1" applyAlignment="1">
      <alignment horizontal="center" vertical="center" wrapText="1"/>
    </xf>
    <xf numFmtId="0" fontId="17" fillId="0" borderId="1" xfId="0" applyFont="1" applyBorder="1"/>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13" xfId="0" applyFill="1" applyBorder="1" applyAlignment="1">
      <alignment horizontal="center" vertical="center"/>
    </xf>
    <xf numFmtId="0" fontId="7" fillId="31" borderId="15" xfId="0" applyFont="1" applyFill="1" applyBorder="1" applyAlignment="1">
      <alignment horizontal="center" vertical="center" wrapText="1"/>
    </xf>
    <xf numFmtId="0" fontId="7" fillId="31" borderId="14" xfId="0" applyFont="1" applyFill="1"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7" fillId="7" borderId="16" xfId="0" applyFont="1" applyFill="1" applyBorder="1" applyAlignment="1">
      <alignment horizontal="center" vertical="center"/>
    </xf>
    <xf numFmtId="0" fontId="7" fillId="7" borderId="18" xfId="0" applyFont="1" applyFill="1" applyBorder="1" applyAlignment="1">
      <alignment horizontal="center" vertical="center"/>
    </xf>
    <xf numFmtId="0" fontId="0" fillId="0" borderId="5" xfId="0" applyBorder="1" applyAlignment="1">
      <alignment horizontal="center"/>
    </xf>
    <xf numFmtId="0" fontId="0" fillId="0" borderId="0" xfId="0" applyFill="1" applyBorder="1" applyAlignment="1">
      <alignment horizontal="center" vertical="center"/>
    </xf>
    <xf numFmtId="49" fontId="0" fillId="0" borderId="5" xfId="0" applyNumberFormat="1" applyFill="1" applyBorder="1" applyAlignment="1">
      <alignment horizontal="center" vertical="center"/>
    </xf>
    <xf numFmtId="0" fontId="0" fillId="0" borderId="0" xfId="0" quotePrefix="1"/>
    <xf numFmtId="0" fontId="17" fillId="0" borderId="7" xfId="0" applyFont="1" applyBorder="1"/>
    <xf numFmtId="0" fontId="5" fillId="23" borderId="67" xfId="0" applyFont="1" applyFill="1" applyBorder="1" applyAlignment="1">
      <alignment horizontal="center" vertical="center" wrapText="1"/>
    </xf>
    <xf numFmtId="0" fontId="7" fillId="23" borderId="26" xfId="0" applyFont="1" applyFill="1" applyBorder="1" applyAlignment="1">
      <alignment horizontal="center" vertical="center"/>
    </xf>
    <xf numFmtId="0" fontId="0" fillId="0" borderId="27" xfId="0" applyFill="1" applyBorder="1" applyAlignment="1">
      <alignment horizontal="center" vertical="center"/>
    </xf>
    <xf numFmtId="0" fontId="0" fillId="0" borderId="67" xfId="0" applyFill="1" applyBorder="1" applyAlignment="1">
      <alignment horizontal="center" vertical="center"/>
    </xf>
    <xf numFmtId="0" fontId="0" fillId="0" borderId="65" xfId="0" applyFill="1" applyBorder="1" applyAlignment="1">
      <alignment horizontal="center" vertical="center"/>
    </xf>
    <xf numFmtId="0" fontId="0" fillId="5" borderId="14" xfId="0" applyFill="1" applyBorder="1" applyAlignment="1">
      <alignment horizontal="center" vertical="center"/>
    </xf>
    <xf numFmtId="0" fontId="0" fillId="5" borderId="6" xfId="0" applyFill="1" applyBorder="1" applyAlignment="1">
      <alignment horizontal="center" vertical="center"/>
    </xf>
    <xf numFmtId="0" fontId="0" fillId="5" borderId="13" xfId="0" applyFill="1" applyBorder="1" applyAlignment="1">
      <alignment horizontal="center" vertical="center"/>
    </xf>
    <xf numFmtId="0" fontId="0" fillId="5" borderId="27" xfId="0" applyFill="1" applyBorder="1" applyAlignment="1">
      <alignment horizontal="center" vertical="center"/>
    </xf>
    <xf numFmtId="165" fontId="0" fillId="32" borderId="4" xfId="0" applyNumberFormat="1" applyFont="1" applyFill="1" applyBorder="1" applyAlignment="1">
      <alignment horizontal="center" vertical="center"/>
    </xf>
    <xf numFmtId="165" fontId="0" fillId="32" borderId="67" xfId="0" applyNumberFormat="1" applyFont="1" applyFill="1" applyBorder="1" applyAlignment="1">
      <alignment horizontal="center" vertical="center"/>
    </xf>
    <xf numFmtId="165" fontId="0" fillId="32" borderId="26" xfId="0" applyNumberFormat="1" applyFont="1" applyFill="1" applyBorder="1" applyAlignment="1">
      <alignment horizontal="center" vertical="center"/>
    </xf>
    <xf numFmtId="0" fontId="17" fillId="0" borderId="0" xfId="0" applyFont="1" applyFill="1" applyAlignment="1">
      <alignment vertical="top" wrapText="1"/>
    </xf>
    <xf numFmtId="0" fontId="0" fillId="0" borderId="0" xfId="0" applyAlignment="1">
      <alignment horizontal="right"/>
    </xf>
    <xf numFmtId="0" fontId="10" fillId="0" borderId="15" xfId="0" applyFont="1" applyBorder="1" applyAlignment="1">
      <alignment horizontal="right" vertical="center"/>
    </xf>
    <xf numFmtId="0" fontId="0" fillId="2" borderId="6" xfId="0" applyFill="1"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15" xfId="0" applyBorder="1" applyAlignment="1">
      <alignment horizontal="right" vertical="center"/>
    </xf>
    <xf numFmtId="0" fontId="0" fillId="2" borderId="6" xfId="0" applyNumberFormat="1" applyFill="1" applyBorder="1" applyAlignment="1">
      <alignment horizontal="right" vertical="center"/>
    </xf>
    <xf numFmtId="0" fontId="0" fillId="0" borderId="6" xfId="0" applyFill="1" applyBorder="1" applyAlignment="1">
      <alignment horizontal="right" vertical="center"/>
    </xf>
    <xf numFmtId="0" fontId="8" fillId="0" borderId="0" xfId="1" applyBorder="1" applyAlignment="1" applyProtection="1">
      <alignment vertical="top"/>
    </xf>
    <xf numFmtId="0" fontId="0" fillId="0" borderId="0" xfId="0" applyBorder="1" applyAlignment="1">
      <alignment horizontal="center"/>
    </xf>
    <xf numFmtId="0" fontId="8" fillId="0" borderId="0" xfId="1" applyBorder="1" applyAlignment="1" applyProtection="1">
      <alignment horizontal="center" vertical="top"/>
    </xf>
    <xf numFmtId="0" fontId="7" fillId="10" borderId="9" xfId="0" applyFont="1" applyFill="1" applyBorder="1" applyAlignment="1">
      <alignment horizontal="center"/>
    </xf>
    <xf numFmtId="0" fontId="7" fillId="10" borderId="2" xfId="0" applyFont="1" applyFill="1" applyBorder="1" applyAlignment="1">
      <alignment horizontal="center"/>
    </xf>
    <xf numFmtId="0" fontId="0" fillId="34" borderId="2" xfId="0" applyNumberFormat="1" applyFill="1" applyBorder="1" applyAlignment="1">
      <alignment horizontal="center" vertical="center"/>
    </xf>
    <xf numFmtId="0" fontId="0" fillId="34" borderId="3" xfId="0" applyNumberFormat="1" applyFill="1" applyBorder="1" applyAlignment="1">
      <alignment horizontal="center" vertical="center"/>
    </xf>
    <xf numFmtId="0" fontId="0" fillId="34" borderId="4" xfId="0" applyNumberFormat="1" applyFill="1" applyBorder="1" applyAlignment="1">
      <alignment horizontal="center" vertical="center"/>
    </xf>
    <xf numFmtId="0" fontId="7" fillId="34" borderId="9" xfId="0" applyFont="1" applyFill="1" applyBorder="1" applyAlignment="1">
      <alignment horizontal="center" vertical="center"/>
    </xf>
    <xf numFmtId="0" fontId="7" fillId="34" borderId="11" xfId="0" applyFont="1" applyFill="1" applyBorder="1" applyAlignment="1">
      <alignment horizontal="center" vertical="center"/>
    </xf>
    <xf numFmtId="0" fontId="7" fillId="34" borderId="13" xfId="0" applyFont="1" applyFill="1" applyBorder="1" applyAlignment="1">
      <alignment horizontal="center" vertical="center"/>
    </xf>
    <xf numFmtId="49" fontId="0" fillId="0" borderId="1" xfId="0" applyNumberFormat="1" applyBorder="1"/>
    <xf numFmtId="0" fontId="7" fillId="34" borderId="0" xfId="0" applyFont="1" applyFill="1" applyBorder="1" applyAlignment="1">
      <alignment horizontal="center" vertical="center"/>
    </xf>
    <xf numFmtId="0" fontId="7" fillId="34" borderId="15" xfId="0" applyFont="1" applyFill="1" applyBorder="1" applyAlignment="1">
      <alignment horizontal="center" vertical="center"/>
    </xf>
    <xf numFmtId="0" fontId="7" fillId="34" borderId="14" xfId="0" applyFont="1" applyFill="1" applyBorder="1" applyAlignment="1">
      <alignment horizontal="center" vertical="center"/>
    </xf>
    <xf numFmtId="0" fontId="7" fillId="31" borderId="0" xfId="0" applyFont="1" applyFill="1" applyBorder="1" applyAlignment="1">
      <alignment horizontal="center" vertical="center" wrapText="1"/>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0" fillId="0" borderId="14" xfId="0" applyFill="1" applyBorder="1" applyAlignment="1">
      <alignment horizontal="center" vertical="center"/>
    </xf>
    <xf numFmtId="0" fontId="0" fillId="0" borderId="1" xfId="0" applyNumberFormat="1" applyFill="1" applyBorder="1" applyAlignment="1">
      <alignment horizontal="center" vertical="center"/>
    </xf>
    <xf numFmtId="49" fontId="0" fillId="0" borderId="71" xfId="0" applyNumberFormat="1"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0" xfId="0" applyBorder="1"/>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12" borderId="5" xfId="0" applyFont="1" applyFill="1" applyBorder="1" applyAlignment="1">
      <alignment horizontal="center"/>
    </xf>
    <xf numFmtId="0" fontId="7" fillId="12" borderId="6" xfId="0" applyFont="1" applyFill="1" applyBorder="1" applyAlignment="1">
      <alignment horizontal="center"/>
    </xf>
    <xf numFmtId="0" fontId="7" fillId="12" borderId="7" xfId="0" applyFont="1" applyFill="1" applyBorder="1" applyAlignment="1">
      <alignment horizont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8" fillId="0" borderId="6" xfId="1" applyBorder="1" applyAlignment="1" applyProtection="1">
      <alignment horizontal="left" vertical="top"/>
    </xf>
    <xf numFmtId="0" fontId="8" fillId="0" borderId="7" xfId="1" applyBorder="1" applyAlignment="1" applyProtection="1">
      <alignment horizontal="left" vertical="top"/>
    </xf>
    <xf numFmtId="0" fontId="8" fillId="0" borderId="6" xfId="1" applyBorder="1" applyAlignment="1" applyProtection="1">
      <alignment horizontal="center" vertical="top"/>
    </xf>
    <xf numFmtId="0" fontId="8" fillId="0" borderId="7" xfId="1" applyBorder="1" applyAlignment="1" applyProtection="1">
      <alignment horizontal="center" vertical="top"/>
    </xf>
    <xf numFmtId="0" fontId="3" fillId="33" borderId="5" xfId="0" applyFont="1" applyFill="1" applyBorder="1" applyAlignment="1">
      <alignment horizontal="center"/>
    </xf>
    <xf numFmtId="0" fontId="3" fillId="33" borderId="6" xfId="0" applyFont="1" applyFill="1" applyBorder="1" applyAlignment="1">
      <alignment horizontal="center"/>
    </xf>
    <xf numFmtId="0" fontId="3" fillId="33" borderId="7"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5" borderId="8" xfId="0" applyFill="1" applyBorder="1" applyAlignment="1">
      <alignment horizontal="justify" vertical="top" wrapText="1"/>
    </xf>
    <xf numFmtId="0" fontId="0" fillId="5" borderId="15" xfId="0" applyFill="1" applyBorder="1" applyAlignment="1">
      <alignment horizontal="justify" vertical="top" wrapText="1"/>
    </xf>
    <xf numFmtId="0" fontId="0" fillId="5" borderId="9" xfId="0" applyFill="1" applyBorder="1" applyAlignment="1">
      <alignment horizontal="justify" vertical="top" wrapText="1"/>
    </xf>
    <xf numFmtId="0" fontId="0" fillId="5" borderId="10" xfId="0" applyFill="1" applyBorder="1" applyAlignment="1">
      <alignment horizontal="justify" vertical="top" wrapText="1"/>
    </xf>
    <xf numFmtId="0" fontId="0" fillId="5" borderId="0" xfId="0" applyFill="1" applyBorder="1" applyAlignment="1">
      <alignment horizontal="justify" vertical="top" wrapText="1"/>
    </xf>
    <xf numFmtId="0" fontId="0" fillId="5" borderId="11" xfId="0" applyFill="1" applyBorder="1" applyAlignment="1">
      <alignment horizontal="justify" vertical="top" wrapText="1"/>
    </xf>
    <xf numFmtId="0" fontId="0" fillId="5" borderId="12" xfId="0" applyFill="1" applyBorder="1" applyAlignment="1">
      <alignment horizontal="justify" vertical="top" wrapText="1"/>
    </xf>
    <xf numFmtId="0" fontId="0" fillId="5" borderId="14" xfId="0" applyFill="1" applyBorder="1" applyAlignment="1">
      <alignment horizontal="justify" vertical="top" wrapText="1"/>
    </xf>
    <xf numFmtId="0" fontId="0" fillId="5" borderId="13" xfId="0" applyFill="1" applyBorder="1" applyAlignment="1">
      <alignment horizontal="justify" vertical="top" wrapText="1"/>
    </xf>
    <xf numFmtId="0" fontId="10" fillId="5" borderId="0" xfId="0" applyFont="1" applyFill="1" applyBorder="1" applyAlignment="1">
      <alignment horizontal="left" vertical="top" wrapText="1"/>
    </xf>
    <xf numFmtId="0" fontId="10" fillId="5" borderId="11" xfId="0" applyFont="1" applyFill="1" applyBorder="1" applyAlignment="1">
      <alignment horizontal="left" vertical="top" wrapText="1"/>
    </xf>
    <xf numFmtId="0" fontId="0" fillId="5" borderId="0" xfId="0" applyFill="1" applyBorder="1" applyAlignment="1">
      <alignment horizontal="left" vertical="top" wrapText="1"/>
    </xf>
    <xf numFmtId="0" fontId="0" fillId="0" borderId="0" xfId="0" applyBorder="1"/>
    <xf numFmtId="0" fontId="0" fillId="0" borderId="11" xfId="0" applyBorder="1"/>
    <xf numFmtId="0" fontId="0" fillId="0" borderId="14" xfId="0" applyBorder="1"/>
    <xf numFmtId="0" fontId="0" fillId="0" borderId="13" xfId="0" applyBorder="1"/>
    <xf numFmtId="0" fontId="11" fillId="3" borderId="1" xfId="0" applyFont="1" applyFill="1" applyBorder="1" applyAlignment="1">
      <alignment horizontal="center"/>
    </xf>
    <xf numFmtId="0" fontId="11" fillId="6" borderId="5" xfId="0" applyFont="1" applyFill="1" applyBorder="1" applyAlignment="1">
      <alignment horizontal="center"/>
    </xf>
    <xf numFmtId="0" fontId="11" fillId="6" borderId="6" xfId="0" applyFont="1" applyFill="1" applyBorder="1" applyAlignment="1">
      <alignment horizontal="center"/>
    </xf>
    <xf numFmtId="0" fontId="11" fillId="6" borderId="7" xfId="0" applyFont="1" applyFill="1" applyBorder="1" applyAlignment="1">
      <alignment horizontal="center"/>
    </xf>
    <xf numFmtId="0" fontId="15" fillId="7" borderId="10" xfId="0" applyFont="1" applyFill="1" applyBorder="1" applyAlignment="1">
      <alignment horizontal="center"/>
    </xf>
    <xf numFmtId="0" fontId="15" fillId="7" borderId="0" xfId="0" applyFont="1" applyFill="1" applyAlignment="1">
      <alignment horizontal="center"/>
    </xf>
    <xf numFmtId="0" fontId="7" fillId="7" borderId="2" xfId="0" applyFont="1" applyFill="1" applyBorder="1" applyAlignment="1">
      <alignment horizontal="center" vertical="center" textRotation="255"/>
    </xf>
    <xf numFmtId="0" fontId="7" fillId="7" borderId="3" xfId="0" applyFont="1" applyFill="1" applyBorder="1" applyAlignment="1">
      <alignment horizontal="center" vertical="center" textRotation="255"/>
    </xf>
    <xf numFmtId="0" fontId="7" fillId="7" borderId="4" xfId="0" applyFont="1" applyFill="1" applyBorder="1" applyAlignment="1">
      <alignment horizontal="center" vertical="center" textRotation="255"/>
    </xf>
    <xf numFmtId="0" fontId="0" fillId="7" borderId="8" xfId="0" applyFill="1" applyBorder="1" applyAlignment="1">
      <alignment horizontal="center" vertical="top" wrapText="1"/>
    </xf>
    <xf numFmtId="0" fontId="0" fillId="7" borderId="15" xfId="0" applyFill="1" applyBorder="1" applyAlignment="1">
      <alignment horizontal="center" vertical="top" wrapText="1"/>
    </xf>
    <xf numFmtId="0" fontId="0" fillId="7" borderId="9" xfId="0" applyFill="1" applyBorder="1" applyAlignment="1">
      <alignment horizontal="center" vertical="top" wrapText="1"/>
    </xf>
    <xf numFmtId="0" fontId="0" fillId="7" borderId="10" xfId="0" applyFill="1" applyBorder="1" applyAlignment="1">
      <alignment horizontal="center" vertical="top" wrapText="1"/>
    </xf>
    <xf numFmtId="0" fontId="0" fillId="7" borderId="0" xfId="0" applyFill="1" applyBorder="1" applyAlignment="1">
      <alignment horizontal="center" vertical="top" wrapText="1"/>
    </xf>
    <xf numFmtId="0" fontId="0" fillId="7" borderId="11" xfId="0" applyFill="1" applyBorder="1" applyAlignment="1">
      <alignment horizontal="center" vertical="top"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8" xfId="0" applyBorder="1" applyAlignment="1">
      <alignment horizontal="right" vertical="center"/>
    </xf>
    <xf numFmtId="0" fontId="0" fillId="0" borderId="12" xfId="0" applyBorder="1" applyAlignment="1">
      <alignment horizontal="right" vertical="center"/>
    </xf>
    <xf numFmtId="0" fontId="0" fillId="0" borderId="15" xfId="0" applyFill="1" applyBorder="1" applyAlignment="1">
      <alignment horizontal="right" vertical="center" wrapText="1"/>
    </xf>
    <xf numFmtId="0" fontId="0" fillId="0" borderId="14" xfId="0" applyFill="1" applyBorder="1" applyAlignment="1">
      <alignment horizontal="right" vertical="center" wrapText="1"/>
    </xf>
    <xf numFmtId="0" fontId="10" fillId="0" borderId="9" xfId="0" applyFont="1" applyFill="1" applyBorder="1" applyAlignment="1">
      <alignment horizontal="left" vertical="center"/>
    </xf>
    <xf numFmtId="0" fontId="10" fillId="0" borderId="13" xfId="0" applyFont="1" applyFill="1" applyBorder="1" applyAlignment="1">
      <alignment horizontal="left" vertical="center"/>
    </xf>
    <xf numFmtId="0" fontId="0" fillId="2" borderId="5" xfId="0" applyFill="1" applyBorder="1" applyAlignment="1">
      <alignment horizontal="center"/>
    </xf>
    <xf numFmtId="0" fontId="0" fillId="2" borderId="7" xfId="0" applyFill="1" applyBorder="1" applyAlignment="1">
      <alignment horizontal="center"/>
    </xf>
    <xf numFmtId="0" fontId="0" fillId="0" borderId="8" xfId="0" applyBorder="1" applyAlignment="1">
      <alignment horizontal="center" wrapText="1"/>
    </xf>
    <xf numFmtId="0" fontId="0" fillId="0" borderId="9"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8" fillId="7" borderId="0" xfId="1" applyFill="1" applyBorder="1" applyAlignment="1" applyProtection="1">
      <alignment horizontal="center"/>
    </xf>
    <xf numFmtId="0" fontId="0" fillId="7" borderId="0" xfId="0" applyFill="1" applyBorder="1" applyAlignment="1">
      <alignment horizontal="center"/>
    </xf>
    <xf numFmtId="0" fontId="0" fillId="7" borderId="11" xfId="0" applyFill="1" applyBorder="1" applyAlignment="1">
      <alignment horizontal="center"/>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2" xfId="0" applyFill="1" applyBorder="1" applyAlignment="1">
      <alignment horizontal="center" wrapText="1"/>
    </xf>
    <xf numFmtId="0" fontId="0" fillId="2" borderId="13" xfId="0" applyFill="1" applyBorder="1" applyAlignment="1">
      <alignment horizont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xf>
    <xf numFmtId="0" fontId="0" fillId="0" borderId="5" xfId="0" applyFill="1" applyBorder="1" applyAlignment="1">
      <alignment horizontal="center"/>
    </xf>
    <xf numFmtId="0" fontId="0" fillId="0" borderId="7" xfId="0" applyFill="1" applyBorder="1" applyAlignment="1">
      <alignment horizontal="center"/>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0" fillId="2" borderId="9" xfId="0" applyFill="1" applyBorder="1" applyAlignment="1">
      <alignment horizontal="center" vertical="center"/>
    </xf>
    <xf numFmtId="0" fontId="0" fillId="2" borderId="13" xfId="0" applyFill="1" applyBorder="1" applyAlignment="1">
      <alignment horizontal="center" vertical="center"/>
    </xf>
    <xf numFmtId="0" fontId="8" fillId="7" borderId="11" xfId="1" applyFill="1" applyBorder="1" applyAlignment="1" applyProtection="1">
      <alignment horizontal="center"/>
    </xf>
    <xf numFmtId="0" fontId="8" fillId="7" borderId="14" xfId="1" applyFill="1" applyBorder="1" applyAlignment="1" applyProtection="1">
      <alignment horizontal="center" vertical="top"/>
    </xf>
    <xf numFmtId="0" fontId="8" fillId="7" borderId="13" xfId="1" applyFill="1" applyBorder="1" applyAlignment="1" applyProtection="1">
      <alignment horizontal="center" vertical="top"/>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7" fillId="10" borderId="5" xfId="0" applyFont="1" applyFill="1" applyBorder="1" applyAlignment="1">
      <alignment horizontal="center"/>
    </xf>
    <xf numFmtId="0" fontId="7" fillId="10" borderId="6" xfId="0" applyFont="1" applyFill="1" applyBorder="1" applyAlignment="1">
      <alignment horizontal="center"/>
    </xf>
    <xf numFmtId="0" fontId="7" fillId="10" borderId="7" xfId="0" applyFont="1" applyFill="1" applyBorder="1" applyAlignment="1">
      <alignment horizontal="center"/>
    </xf>
    <xf numFmtId="0" fontId="4"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4" xfId="0" applyFont="1" applyFill="1" applyBorder="1" applyAlignment="1">
      <alignment horizontal="center" vertical="center"/>
    </xf>
    <xf numFmtId="0" fontId="4" fillId="11" borderId="2" xfId="0" applyFont="1" applyFill="1" applyBorder="1" applyAlignment="1">
      <alignment horizontal="center" vertical="center"/>
    </xf>
    <xf numFmtId="0" fontId="4" fillId="11" borderId="4" xfId="0" applyFont="1" applyFill="1" applyBorder="1" applyAlignment="1">
      <alignment horizontal="center" vertical="center"/>
    </xf>
    <xf numFmtId="0" fontId="2" fillId="11" borderId="2" xfId="0" applyFont="1" applyFill="1" applyBorder="1" applyAlignment="1">
      <alignment horizontal="center" vertical="center"/>
    </xf>
    <xf numFmtId="0" fontId="2" fillId="11" borderId="3" xfId="0" applyFont="1" applyFill="1" applyBorder="1" applyAlignment="1">
      <alignment horizontal="center" vertical="center"/>
    </xf>
    <xf numFmtId="0" fontId="2" fillId="11" borderId="4" xfId="0" applyFont="1" applyFill="1" applyBorder="1" applyAlignment="1">
      <alignment horizontal="center" vertical="center"/>
    </xf>
    <xf numFmtId="0" fontId="9" fillId="10" borderId="2" xfId="0" applyFont="1" applyFill="1" applyBorder="1" applyAlignment="1">
      <alignment horizontal="center" vertical="center"/>
    </xf>
    <xf numFmtId="0" fontId="9" fillId="10" borderId="3" xfId="0" applyFont="1" applyFill="1" applyBorder="1" applyAlignment="1">
      <alignment horizontal="center" vertical="center"/>
    </xf>
    <xf numFmtId="0" fontId="9" fillId="10" borderId="4" xfId="0" applyFont="1" applyFill="1" applyBorder="1" applyAlignment="1">
      <alignment horizontal="center" vertical="center"/>
    </xf>
    <xf numFmtId="0" fontId="2" fillId="8" borderId="8" xfId="0" applyFont="1" applyFill="1" applyBorder="1" applyAlignment="1">
      <alignment horizontal="center"/>
    </xf>
    <xf numFmtId="0" fontId="2" fillId="8" borderId="15" xfId="0" applyFont="1" applyFill="1" applyBorder="1" applyAlignment="1">
      <alignment horizontal="center"/>
    </xf>
    <xf numFmtId="0" fontId="2" fillId="8" borderId="9" xfId="0" applyFont="1" applyFill="1" applyBorder="1" applyAlignment="1">
      <alignment horizontal="center"/>
    </xf>
    <xf numFmtId="0" fontId="7" fillId="19" borderId="5" xfId="0" applyFont="1" applyFill="1" applyBorder="1" applyAlignment="1">
      <alignment horizontal="center" vertical="center"/>
    </xf>
    <xf numFmtId="0" fontId="7" fillId="19" borderId="6" xfId="0" applyFont="1" applyFill="1" applyBorder="1" applyAlignment="1">
      <alignment horizontal="center" vertical="center"/>
    </xf>
    <xf numFmtId="0" fontId="7" fillId="19" borderId="7"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7" xfId="0" applyFont="1" applyFill="1" applyBorder="1" applyAlignment="1">
      <alignment horizontal="center" vertical="center"/>
    </xf>
    <xf numFmtId="0" fontId="3" fillId="11" borderId="5" xfId="0" applyFont="1" applyFill="1" applyBorder="1" applyAlignment="1">
      <alignment horizontal="center" vertical="center"/>
    </xf>
    <xf numFmtId="0" fontId="3" fillId="11" borderId="6" xfId="0" applyFont="1" applyFill="1" applyBorder="1" applyAlignment="1">
      <alignment horizontal="center" vertical="center"/>
    </xf>
    <xf numFmtId="0" fontId="3" fillId="11" borderId="7" xfId="0" applyFont="1" applyFill="1" applyBorder="1" applyAlignment="1">
      <alignment horizontal="center" vertical="center"/>
    </xf>
    <xf numFmtId="0" fontId="4" fillId="11" borderId="2"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1" borderId="4" xfId="0" applyFont="1" applyFill="1" applyBorder="1" applyAlignment="1">
      <alignment horizontal="center" vertical="center" wrapText="1"/>
    </xf>
    <xf numFmtId="0" fontId="4" fillId="19" borderId="2" xfId="0" applyFont="1" applyFill="1" applyBorder="1" applyAlignment="1">
      <alignment horizontal="center" vertical="center"/>
    </xf>
    <xf numFmtId="0" fontId="4" fillId="19" borderId="4" xfId="0" applyFont="1" applyFill="1" applyBorder="1" applyAlignment="1">
      <alignment horizontal="center" vertic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0" fillId="18" borderId="5" xfId="0" applyFill="1" applyBorder="1" applyAlignment="1">
      <alignment horizontal="center"/>
    </xf>
    <xf numFmtId="0" fontId="0" fillId="18" borderId="6" xfId="0" applyFill="1" applyBorder="1" applyAlignment="1">
      <alignment horizontal="center"/>
    </xf>
    <xf numFmtId="0" fontId="0" fillId="18" borderId="7" xfId="0" applyFill="1" applyBorder="1" applyAlignment="1">
      <alignment horizontal="center"/>
    </xf>
    <xf numFmtId="0" fontId="7" fillId="30" borderId="2" xfId="0" applyFont="1" applyFill="1" applyBorder="1" applyAlignment="1">
      <alignment horizontal="center" vertical="center" wrapText="1"/>
    </xf>
    <xf numFmtId="0" fontId="7" fillId="30" borderId="4" xfId="0" applyFont="1" applyFill="1" applyBorder="1" applyAlignment="1">
      <alignment horizontal="center" vertical="center" wrapText="1"/>
    </xf>
    <xf numFmtId="0" fontId="18" fillId="21" borderId="28" xfId="0" applyFont="1" applyFill="1" applyBorder="1" applyAlignment="1">
      <alignment horizontal="center"/>
    </xf>
    <xf numFmtId="0" fontId="18" fillId="21" borderId="30" xfId="0" applyFont="1" applyFill="1" applyBorder="1" applyAlignment="1">
      <alignment horizontal="center"/>
    </xf>
    <xf numFmtId="0" fontId="18" fillId="21" borderId="29" xfId="0" applyFont="1" applyFill="1" applyBorder="1" applyAlignment="1">
      <alignment horizontal="center"/>
    </xf>
    <xf numFmtId="0" fontId="0" fillId="0" borderId="59" xfId="0" applyBorder="1" applyAlignment="1">
      <alignment horizontal="center"/>
    </xf>
    <xf numFmtId="0" fontId="0" fillId="0" borderId="60" xfId="0" applyBorder="1" applyAlignment="1">
      <alignment horizontal="center"/>
    </xf>
    <xf numFmtId="0" fontId="7" fillId="27" borderId="1" xfId="0" applyFont="1" applyFill="1" applyBorder="1" applyAlignment="1">
      <alignment horizontal="center" vertical="center"/>
    </xf>
    <xf numFmtId="0" fontId="7" fillId="27" borderId="5"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7" fillId="11" borderId="6" xfId="0" applyFont="1" applyFill="1" applyBorder="1" applyAlignment="1">
      <alignment horizontal="center" vertical="center"/>
    </xf>
    <xf numFmtId="0" fontId="0" fillId="5" borderId="59" xfId="0" applyFill="1" applyBorder="1" applyAlignment="1">
      <alignment horizontal="center"/>
    </xf>
    <xf numFmtId="0" fontId="0" fillId="5" borderId="60" xfId="0" applyFill="1" applyBorder="1" applyAlignment="1">
      <alignment horizontal="center"/>
    </xf>
    <xf numFmtId="0" fontId="7" fillId="6" borderId="1" xfId="0" applyFont="1" applyFill="1" applyBorder="1" applyAlignment="1">
      <alignment horizontal="center" vertical="center"/>
    </xf>
    <xf numFmtId="0" fontId="0" fillId="25" borderId="54" xfId="0" applyFill="1" applyBorder="1" applyAlignment="1">
      <alignment horizontal="center" vertical="center"/>
    </xf>
    <xf numFmtId="0" fontId="0" fillId="25" borderId="47" xfId="0" applyFill="1" applyBorder="1" applyAlignment="1">
      <alignment horizontal="center" vertical="center"/>
    </xf>
    <xf numFmtId="0" fontId="0" fillId="25" borderId="56" xfId="0" applyFill="1" applyBorder="1" applyAlignment="1">
      <alignment horizontal="center" vertical="center"/>
    </xf>
    <xf numFmtId="0" fontId="5" fillId="25" borderId="62" xfId="0" applyFont="1" applyFill="1" applyBorder="1" applyAlignment="1">
      <alignment horizontal="center" vertical="center"/>
    </xf>
    <xf numFmtId="0" fontId="5" fillId="25" borderId="63" xfId="0" applyFont="1" applyFill="1" applyBorder="1" applyAlignment="1">
      <alignment horizontal="center" vertical="center"/>
    </xf>
    <xf numFmtId="0" fontId="5" fillId="25" borderId="64" xfId="0" applyFont="1" applyFill="1" applyBorder="1" applyAlignment="1">
      <alignment horizontal="center" vertical="center"/>
    </xf>
    <xf numFmtId="0" fontId="7" fillId="25" borderId="2" xfId="0" applyFont="1" applyFill="1" applyBorder="1" applyAlignment="1">
      <alignment horizontal="center" vertical="center" wrapText="1"/>
    </xf>
    <xf numFmtId="0" fontId="7" fillId="25" borderId="3" xfId="0" applyFont="1" applyFill="1" applyBorder="1" applyAlignment="1">
      <alignment horizontal="center" vertical="center" wrapText="1"/>
    </xf>
    <xf numFmtId="0" fontId="7" fillId="25" borderId="33" xfId="0" applyFont="1" applyFill="1" applyBorder="1" applyAlignment="1">
      <alignment horizontal="center" vertical="center" wrapText="1"/>
    </xf>
    <xf numFmtId="0" fontId="0" fillId="25" borderId="45" xfId="0" applyFill="1" applyBorder="1" applyAlignment="1">
      <alignment horizontal="center" vertical="center"/>
    </xf>
    <xf numFmtId="0" fontId="0" fillId="25" borderId="27" xfId="0" applyFill="1"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25" borderId="6" xfId="0" applyFill="1" applyBorder="1" applyAlignment="1">
      <alignment horizontal="center" vertical="center"/>
    </xf>
    <xf numFmtId="0" fontId="5" fillId="17" borderId="41" xfId="0" applyFont="1" applyFill="1" applyBorder="1" applyAlignment="1">
      <alignment horizontal="center" vertical="center"/>
    </xf>
    <xf numFmtId="0" fontId="0" fillId="17" borderId="46" xfId="0" applyFill="1" applyBorder="1"/>
    <xf numFmtId="0" fontId="22" fillId="12" borderId="35" xfId="0" applyFont="1" applyFill="1" applyBorder="1" applyAlignment="1">
      <alignment horizontal="center" vertical="center"/>
    </xf>
    <xf numFmtId="0" fontId="23" fillId="12" borderId="36" xfId="0" applyFont="1" applyFill="1" applyBorder="1"/>
    <xf numFmtId="0" fontId="22" fillId="12" borderId="35" xfId="0" applyFont="1" applyFill="1" applyBorder="1" applyAlignment="1">
      <alignment horizontal="center" vertical="center" wrapText="1"/>
    </xf>
    <xf numFmtId="0" fontId="1" fillId="12" borderId="35" xfId="0" applyFont="1" applyFill="1" applyBorder="1" applyAlignment="1">
      <alignment horizontal="center" vertical="center" wrapText="1"/>
    </xf>
    <xf numFmtId="0" fontId="0" fillId="12" borderId="36" xfId="0" applyFont="1" applyFill="1" applyBorder="1" applyAlignment="1">
      <alignment horizontal="center" vertical="center"/>
    </xf>
    <xf numFmtId="0" fontId="1" fillId="12" borderId="37" xfId="0" applyFont="1" applyFill="1" applyBorder="1" applyAlignment="1">
      <alignment horizontal="center" vertical="center"/>
    </xf>
    <xf numFmtId="0" fontId="1" fillId="12" borderId="40" xfId="0" applyFont="1" applyFill="1" applyBorder="1" applyAlignment="1">
      <alignment horizontal="center" vertical="center"/>
    </xf>
    <xf numFmtId="0" fontId="0" fillId="12" borderId="23" xfId="0" applyFont="1" applyFill="1" applyBorder="1"/>
    <xf numFmtId="0" fontId="0" fillId="17" borderId="45" xfId="0" applyFill="1" applyBorder="1" applyAlignment="1">
      <alignment horizontal="center" vertical="center"/>
    </xf>
    <xf numFmtId="0" fontId="0" fillId="17" borderId="47" xfId="0" applyFill="1" applyBorder="1" applyAlignment="1">
      <alignment horizontal="center" vertical="center"/>
    </xf>
    <xf numFmtId="0" fontId="0" fillId="17" borderId="27" xfId="0" applyFill="1" applyBorder="1" applyAlignment="1">
      <alignment horizontal="center" vertical="center"/>
    </xf>
    <xf numFmtId="0" fontId="7" fillId="17" borderId="42" xfId="0" applyFont="1" applyFill="1" applyBorder="1" applyAlignment="1">
      <alignment horizontal="center" vertical="center"/>
    </xf>
    <xf numFmtId="0" fontId="0" fillId="17" borderId="3" xfId="0" applyFill="1" applyBorder="1"/>
    <xf numFmtId="0" fontId="0" fillId="17" borderId="4" xfId="0" applyFill="1" applyBorder="1"/>
    <xf numFmtId="0" fontId="1" fillId="12" borderId="39" xfId="0" applyFont="1" applyFill="1" applyBorder="1" applyAlignment="1">
      <alignment horizontal="center" vertical="center"/>
    </xf>
    <xf numFmtId="0" fontId="0" fillId="12" borderId="37" xfId="0" applyFont="1" applyFill="1" applyBorder="1"/>
    <xf numFmtId="0" fontId="0" fillId="12" borderId="38" xfId="0" applyFont="1" applyFill="1" applyBorder="1"/>
    <xf numFmtId="0" fontId="22" fillId="12" borderId="57" xfId="0" applyFont="1" applyFill="1" applyBorder="1" applyAlignment="1">
      <alignment horizontal="center" vertical="center"/>
    </xf>
    <xf numFmtId="0" fontId="23" fillId="12" borderId="44" xfId="0" applyFont="1" applyFill="1" applyBorder="1"/>
    <xf numFmtId="0" fontId="23" fillId="12" borderId="58" xfId="0" applyFont="1" applyFill="1" applyBorder="1"/>
    <xf numFmtId="0" fontId="5" fillId="23" borderId="2" xfId="0" applyFont="1" applyFill="1" applyBorder="1" applyAlignment="1">
      <alignment horizontal="center" vertical="center" wrapText="1"/>
    </xf>
    <xf numFmtId="0" fontId="5" fillId="23" borderId="3" xfId="0" applyFont="1" applyFill="1" applyBorder="1" applyAlignment="1">
      <alignment horizontal="center" vertical="center" wrapText="1"/>
    </xf>
    <xf numFmtId="0" fontId="5" fillId="23" borderId="33" xfId="0" applyFont="1" applyFill="1" applyBorder="1" applyAlignment="1">
      <alignment horizontal="center" vertical="center" wrapText="1"/>
    </xf>
    <xf numFmtId="0" fontId="7" fillId="0" borderId="5" xfId="0" applyFont="1" applyFill="1" applyBorder="1" applyAlignment="1">
      <alignment horizontal="center"/>
    </xf>
    <xf numFmtId="0" fontId="7" fillId="0" borderId="6" xfId="0" applyFont="1" applyFill="1" applyBorder="1" applyAlignment="1">
      <alignment horizontal="center"/>
    </xf>
    <xf numFmtId="0" fontId="7" fillId="0" borderId="7" xfId="0" applyFont="1" applyFill="1" applyBorder="1" applyAlignment="1">
      <alignment horizontal="center"/>
    </xf>
    <xf numFmtId="0" fontId="7" fillId="8" borderId="2"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7" xfId="0" applyFont="1" applyFill="1" applyBorder="1" applyAlignment="1">
      <alignment horizontal="center" wrapText="1"/>
    </xf>
    <xf numFmtId="0" fontId="5" fillId="8" borderId="6" xfId="0" applyFont="1" applyFill="1" applyBorder="1" applyAlignment="1">
      <alignment horizontal="center" vertical="center"/>
    </xf>
    <xf numFmtId="0" fontId="5" fillId="8" borderId="7" xfId="0" applyFont="1" applyFill="1" applyBorder="1" applyAlignment="1">
      <alignment horizontal="center" vertical="center"/>
    </xf>
    <xf numFmtId="0" fontId="16" fillId="21" borderId="28" xfId="0" applyFont="1" applyFill="1" applyBorder="1" applyAlignment="1">
      <alignment horizontal="center"/>
    </xf>
    <xf numFmtId="0" fontId="16" fillId="21" borderId="30" xfId="0" applyFont="1" applyFill="1" applyBorder="1" applyAlignment="1">
      <alignment horizontal="center"/>
    </xf>
    <xf numFmtId="0" fontId="16" fillId="21" borderId="29" xfId="0" applyFont="1" applyFill="1" applyBorder="1" applyAlignment="1">
      <alignment horizontal="center"/>
    </xf>
    <xf numFmtId="0" fontId="7" fillId="0" borderId="0" xfId="0" applyFont="1" applyFill="1" applyAlignment="1">
      <alignment horizontal="center"/>
    </xf>
    <xf numFmtId="0" fontId="7" fillId="8" borderId="33" xfId="0" applyFont="1" applyFill="1" applyBorder="1" applyAlignment="1">
      <alignment horizontal="center" vertical="center" wrapText="1"/>
    </xf>
    <xf numFmtId="0" fontId="17" fillId="0" borderId="0" xfId="0" applyFont="1" applyFill="1" applyAlignment="1">
      <alignment horizontal="left" vertical="top" wrapText="1"/>
    </xf>
    <xf numFmtId="0" fontId="17" fillId="4" borderId="31" xfId="0" applyFont="1" applyFill="1" applyBorder="1" applyAlignment="1">
      <alignment horizontal="left" vertical="top" wrapText="1"/>
    </xf>
    <xf numFmtId="0" fontId="17" fillId="4" borderId="32" xfId="0" applyFont="1" applyFill="1" applyBorder="1" applyAlignment="1">
      <alignment horizontal="left" vertical="top" wrapText="1"/>
    </xf>
    <xf numFmtId="0" fontId="17" fillId="4" borderId="10" xfId="0" applyFont="1" applyFill="1" applyBorder="1" applyAlignment="1">
      <alignment horizontal="left" vertical="top" wrapText="1"/>
    </xf>
    <xf numFmtId="0" fontId="17" fillId="4" borderId="11" xfId="0" applyFont="1" applyFill="1" applyBorder="1" applyAlignment="1">
      <alignment horizontal="left" vertical="top" wrapText="1"/>
    </xf>
    <xf numFmtId="0" fontId="17" fillId="4" borderId="12" xfId="0" applyFont="1" applyFill="1" applyBorder="1" applyAlignment="1">
      <alignment horizontal="left" vertical="top" wrapText="1"/>
    </xf>
    <xf numFmtId="0" fontId="17" fillId="4" borderId="13" xfId="0" applyFont="1" applyFill="1" applyBorder="1" applyAlignment="1">
      <alignment horizontal="left" vertical="top" wrapText="1"/>
    </xf>
    <xf numFmtId="0" fontId="7" fillId="31" borderId="2" xfId="0" applyFont="1" applyFill="1" applyBorder="1" applyAlignment="1">
      <alignment horizontal="center" vertical="center" wrapText="1"/>
    </xf>
    <xf numFmtId="0" fontId="7" fillId="31" borderId="3" xfId="0" applyFont="1" applyFill="1" applyBorder="1" applyAlignment="1">
      <alignment horizontal="center" vertical="center" wrapText="1"/>
    </xf>
    <xf numFmtId="0" fontId="7" fillId="31" borderId="4" xfId="0" applyFont="1" applyFill="1" applyBorder="1" applyAlignment="1">
      <alignment horizontal="center" vertical="center" wrapText="1"/>
    </xf>
    <xf numFmtId="0" fontId="7" fillId="31" borderId="8" xfId="0" applyFont="1" applyFill="1" applyBorder="1" applyAlignment="1">
      <alignment horizontal="center" vertical="center" wrapText="1"/>
    </xf>
    <xf numFmtId="0" fontId="7" fillId="31" borderId="10" xfId="0" applyFont="1" applyFill="1" applyBorder="1" applyAlignment="1">
      <alignment horizontal="center" vertical="center" wrapText="1"/>
    </xf>
    <xf numFmtId="0" fontId="7" fillId="31" borderId="12" xfId="0" applyFont="1" applyFill="1" applyBorder="1" applyAlignment="1">
      <alignment horizontal="center" vertical="center" wrapText="1"/>
    </xf>
    <xf numFmtId="0" fontId="7" fillId="31" borderId="9" xfId="0" applyFont="1" applyFill="1" applyBorder="1" applyAlignment="1">
      <alignment horizontal="center" vertical="center" wrapText="1"/>
    </xf>
    <xf numFmtId="0" fontId="7" fillId="31" borderId="11" xfId="0" applyFont="1" applyFill="1" applyBorder="1" applyAlignment="1">
      <alignment horizontal="center" vertical="center" wrapText="1"/>
    </xf>
    <xf numFmtId="0" fontId="7" fillId="31" borderId="13" xfId="0" applyFont="1" applyFill="1" applyBorder="1" applyAlignment="1">
      <alignment horizontal="center" vertical="center" wrapText="1"/>
    </xf>
    <xf numFmtId="0" fontId="17" fillId="4" borderId="8" xfId="0" applyFont="1" applyFill="1" applyBorder="1" applyAlignment="1">
      <alignment horizontal="left" vertical="top" wrapText="1"/>
    </xf>
    <xf numFmtId="0" fontId="17" fillId="4" borderId="70" xfId="0" applyFont="1" applyFill="1" applyBorder="1" applyAlignment="1">
      <alignment horizontal="left" vertical="top" wrapText="1"/>
    </xf>
    <xf numFmtId="0" fontId="17" fillId="4" borderId="48" xfId="0" applyFont="1" applyFill="1" applyBorder="1" applyAlignment="1">
      <alignment horizontal="left" vertical="top" wrapText="1"/>
    </xf>
    <xf numFmtId="0" fontId="17" fillId="4" borderId="66" xfId="0" applyFont="1" applyFill="1" applyBorder="1" applyAlignment="1">
      <alignment horizontal="left" vertical="top" wrapText="1"/>
    </xf>
    <xf numFmtId="0" fontId="33" fillId="27" borderId="68" xfId="0" applyFont="1" applyFill="1" applyBorder="1" applyAlignment="1">
      <alignment horizontal="center" vertical="center"/>
    </xf>
    <xf numFmtId="0" fontId="33" fillId="27" borderId="63" xfId="0" applyFont="1" applyFill="1" applyBorder="1" applyAlignment="1">
      <alignment horizontal="center" vertical="center"/>
    </xf>
    <xf numFmtId="0" fontId="33" fillId="27" borderId="69" xfId="0" applyFont="1" applyFill="1" applyBorder="1" applyAlignment="1">
      <alignment horizontal="center" vertical="center"/>
    </xf>
    <xf numFmtId="0" fontId="7" fillId="14" borderId="32" xfId="0" applyFont="1" applyFill="1" applyBorder="1" applyAlignment="1">
      <alignment horizontal="center" vertical="center" wrapText="1"/>
    </xf>
    <xf numFmtId="0" fontId="7" fillId="14" borderId="11" xfId="0" applyFont="1" applyFill="1" applyBorder="1" applyAlignment="1">
      <alignment horizontal="center" vertical="center" wrapText="1"/>
    </xf>
    <xf numFmtId="0" fontId="7" fillId="14" borderId="13" xfId="0" applyFont="1" applyFill="1" applyBorder="1" applyAlignment="1">
      <alignment horizontal="center" vertical="center" wrapText="1"/>
    </xf>
    <xf numFmtId="0" fontId="7" fillId="14" borderId="42"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45" xfId="0" applyFont="1" applyFill="1" applyBorder="1" applyAlignment="1">
      <alignment horizontal="center" vertical="center" wrapText="1"/>
    </xf>
    <xf numFmtId="0" fontId="7" fillId="14" borderId="47" xfId="0" applyFont="1" applyFill="1" applyBorder="1" applyAlignment="1">
      <alignment horizontal="center" vertical="center" wrapText="1"/>
    </xf>
    <xf numFmtId="0" fontId="7" fillId="14" borderId="27" xfId="0" applyFont="1" applyFill="1" applyBorder="1" applyAlignment="1">
      <alignment horizontal="center" vertical="center" wrapText="1"/>
    </xf>
    <xf numFmtId="0" fontId="5" fillId="27" borderId="72" xfId="0" applyFont="1" applyFill="1" applyBorder="1" applyAlignment="1">
      <alignment horizontal="center" vertical="center" wrapText="1"/>
    </xf>
    <xf numFmtId="0" fontId="5" fillId="27" borderId="73" xfId="0" applyFont="1" applyFill="1" applyBorder="1" applyAlignment="1">
      <alignment horizontal="center" vertical="center" wrapText="1"/>
    </xf>
    <xf numFmtId="0" fontId="5" fillId="27" borderId="19" xfId="0" applyFont="1" applyFill="1" applyBorder="1" applyAlignment="1">
      <alignment horizontal="center" vertical="center" wrapText="1"/>
    </xf>
    <xf numFmtId="0" fontId="7" fillId="29" borderId="57" xfId="0" applyFont="1" applyFill="1" applyBorder="1" applyAlignment="1">
      <alignment horizontal="center" vertical="center" wrapText="1"/>
    </xf>
    <xf numFmtId="0" fontId="7" fillId="29" borderId="44" xfId="0" applyFont="1" applyFill="1" applyBorder="1" applyAlignment="1">
      <alignment horizontal="center" vertical="center" wrapText="1"/>
    </xf>
    <xf numFmtId="0" fontId="7" fillId="29" borderId="58" xfId="0" applyFont="1" applyFill="1" applyBorder="1" applyAlignment="1">
      <alignment horizontal="center" vertical="center" wrapText="1"/>
    </xf>
    <xf numFmtId="0" fontId="7" fillId="27" borderId="68" xfId="0" applyFont="1" applyFill="1" applyBorder="1" applyAlignment="1">
      <alignment horizontal="center" vertical="center" wrapText="1"/>
    </xf>
    <xf numFmtId="0" fontId="7" fillId="27" borderId="63" xfId="0" applyFont="1" applyFill="1" applyBorder="1" applyAlignment="1">
      <alignment horizontal="center" vertical="center" wrapText="1"/>
    </xf>
    <xf numFmtId="0" fontId="7" fillId="27" borderId="69" xfId="0" applyFont="1" applyFill="1" applyBorder="1" applyAlignment="1">
      <alignment horizontal="center" vertical="center" wrapText="1"/>
    </xf>
    <xf numFmtId="0" fontId="7" fillId="27" borderId="54" xfId="0" applyFont="1" applyFill="1" applyBorder="1" applyAlignment="1">
      <alignment horizontal="center" vertical="center" wrapText="1"/>
    </xf>
    <xf numFmtId="0" fontId="7" fillId="27" borderId="47" xfId="0" applyFont="1" applyFill="1" applyBorder="1" applyAlignment="1">
      <alignment horizontal="center" vertical="center" wrapText="1"/>
    </xf>
    <xf numFmtId="0" fontId="7" fillId="27" borderId="27" xfId="0" applyFont="1" applyFill="1" applyBorder="1" applyAlignment="1">
      <alignment horizontal="center" vertical="center" wrapText="1"/>
    </xf>
    <xf numFmtId="0" fontId="7" fillId="28" borderId="8" xfId="0" applyFont="1" applyFill="1" applyBorder="1" applyAlignment="1">
      <alignment horizontal="center" vertical="center" wrapText="1"/>
    </xf>
    <xf numFmtId="0" fontId="7" fillId="28" borderId="10" xfId="0" applyFont="1" applyFill="1" applyBorder="1" applyAlignment="1">
      <alignment horizontal="center" vertical="center" wrapText="1"/>
    </xf>
    <xf numFmtId="0" fontId="7" fillId="28" borderId="2" xfId="0" applyFont="1" applyFill="1" applyBorder="1" applyAlignment="1">
      <alignment horizontal="center" vertical="center" wrapText="1"/>
    </xf>
    <xf numFmtId="0" fontId="7" fillId="28" borderId="3" xfId="0" applyFont="1" applyFill="1" applyBorder="1" applyAlignment="1">
      <alignment horizontal="center" vertical="center" wrapText="1"/>
    </xf>
    <xf numFmtId="0" fontId="7" fillId="28" borderId="4" xfId="0" applyFont="1" applyFill="1" applyBorder="1" applyAlignment="1">
      <alignment horizontal="center" vertical="center" wrapText="1"/>
    </xf>
    <xf numFmtId="0" fontId="5" fillId="23" borderId="41" xfId="0" applyFont="1" applyFill="1" applyBorder="1" applyAlignment="1">
      <alignment horizontal="center" vertical="center" wrapText="1"/>
    </xf>
    <xf numFmtId="0" fontId="5" fillId="23" borderId="34" xfId="0" applyFont="1" applyFill="1" applyBorder="1" applyAlignment="1">
      <alignment horizontal="center" vertical="center" wrapText="1"/>
    </xf>
    <xf numFmtId="0" fontId="5" fillId="23" borderId="61" xfId="0" applyFont="1" applyFill="1" applyBorder="1" applyAlignment="1">
      <alignment horizontal="center" vertical="center" wrapText="1"/>
    </xf>
    <xf numFmtId="0" fontId="5" fillId="23" borderId="46" xfId="0" applyFont="1" applyFill="1" applyBorder="1" applyAlignment="1">
      <alignment horizontal="center" vertical="center" wrapText="1"/>
    </xf>
    <xf numFmtId="0" fontId="5" fillId="23" borderId="0" xfId="0" applyFont="1" applyFill="1" applyBorder="1" applyAlignment="1">
      <alignment horizontal="center" vertical="center" wrapText="1"/>
    </xf>
    <xf numFmtId="0" fontId="5" fillId="23" borderId="48" xfId="0" applyFont="1" applyFill="1" applyBorder="1" applyAlignment="1">
      <alignment horizontal="center" vertical="center" wrapText="1"/>
    </xf>
    <xf numFmtId="0" fontId="5" fillId="23" borderId="65" xfId="0" applyFont="1" applyFill="1" applyBorder="1" applyAlignment="1">
      <alignment horizontal="center" vertical="center" wrapText="1"/>
    </xf>
    <xf numFmtId="0" fontId="5" fillId="23" borderId="14" xfId="0" applyFont="1" applyFill="1" applyBorder="1" applyAlignment="1">
      <alignment horizontal="center" vertical="center" wrapText="1"/>
    </xf>
    <xf numFmtId="0" fontId="5" fillId="23" borderId="66" xfId="0" applyFont="1" applyFill="1" applyBorder="1" applyAlignment="1">
      <alignment horizontal="center" vertical="center" wrapText="1"/>
    </xf>
    <xf numFmtId="0" fontId="7" fillId="12" borderId="54" xfId="0" applyFont="1" applyFill="1" applyBorder="1" applyAlignment="1">
      <alignment horizontal="center" wrapText="1"/>
    </xf>
    <xf numFmtId="0" fontId="7" fillId="12" borderId="47" xfId="0" applyFont="1" applyFill="1" applyBorder="1" applyAlignment="1">
      <alignment horizontal="center" wrapText="1"/>
    </xf>
    <xf numFmtId="0" fontId="7" fillId="12" borderId="27" xfId="0" applyFont="1" applyFill="1" applyBorder="1" applyAlignment="1">
      <alignment horizontal="center" wrapText="1"/>
    </xf>
    <xf numFmtId="0" fontId="7" fillId="12" borderId="57" xfId="0" applyFont="1" applyFill="1" applyBorder="1" applyAlignment="1">
      <alignment horizontal="center" vertical="center" wrapText="1"/>
    </xf>
    <xf numFmtId="0" fontId="7" fillId="12" borderId="44" xfId="0" applyFont="1" applyFill="1" applyBorder="1" applyAlignment="1">
      <alignment horizontal="center" vertical="center" wrapText="1"/>
    </xf>
    <xf numFmtId="0" fontId="7" fillId="12" borderId="58" xfId="0" applyFont="1" applyFill="1" applyBorder="1" applyAlignment="1">
      <alignment horizontal="center" vertical="center" wrapText="1"/>
    </xf>
    <xf numFmtId="0" fontId="7" fillId="12" borderId="2" xfId="0" applyFont="1" applyFill="1" applyBorder="1" applyAlignment="1">
      <alignment horizontal="center" vertical="center" wrapText="1"/>
    </xf>
    <xf numFmtId="0" fontId="7" fillId="12" borderId="3" xfId="0" applyFont="1" applyFill="1" applyBorder="1" applyAlignment="1">
      <alignment horizontal="center" vertical="center" wrapText="1"/>
    </xf>
    <xf numFmtId="0" fontId="7" fillId="12" borderId="4" xfId="0" applyFont="1" applyFill="1" applyBorder="1" applyAlignment="1">
      <alignment horizontal="center" vertical="center" wrapText="1"/>
    </xf>
    <xf numFmtId="0" fontId="7" fillId="28" borderId="70" xfId="0" applyFont="1" applyFill="1" applyBorder="1" applyAlignment="1">
      <alignment horizontal="center" vertical="center" wrapText="1"/>
    </xf>
    <xf numFmtId="0" fontId="7" fillId="28" borderId="48" xfId="0" applyFont="1" applyFill="1" applyBorder="1" applyAlignment="1">
      <alignment horizontal="center" vertical="center" wrapText="1"/>
    </xf>
    <xf numFmtId="0" fontId="7" fillId="28" borderId="66" xfId="0" applyFont="1" applyFill="1" applyBorder="1" applyAlignment="1">
      <alignment horizontal="center" vertical="center" wrapText="1"/>
    </xf>
    <xf numFmtId="0" fontId="7" fillId="12" borderId="68" xfId="0" applyFont="1" applyFill="1" applyBorder="1" applyAlignment="1">
      <alignment horizontal="center" vertical="center" wrapText="1"/>
    </xf>
    <xf numFmtId="0" fontId="7" fillId="12" borderId="63" xfId="0" applyFont="1" applyFill="1" applyBorder="1" applyAlignment="1">
      <alignment horizontal="center" vertical="center" wrapText="1"/>
    </xf>
    <xf numFmtId="0" fontId="7" fillId="12" borderId="69" xfId="0" applyFont="1" applyFill="1" applyBorder="1" applyAlignment="1">
      <alignment horizontal="center" vertical="center" wrapText="1"/>
    </xf>
    <xf numFmtId="0" fontId="7" fillId="26" borderId="8" xfId="0" applyFont="1" applyFill="1" applyBorder="1" applyAlignment="1">
      <alignment horizontal="center" vertical="center" wrapText="1"/>
    </xf>
    <xf numFmtId="0" fontId="7" fillId="26" borderId="10" xfId="0" applyFont="1" applyFill="1" applyBorder="1" applyAlignment="1">
      <alignment horizontal="center" vertical="center" wrapText="1"/>
    </xf>
    <xf numFmtId="0" fontId="7" fillId="26" borderId="12" xfId="0" applyFont="1" applyFill="1" applyBorder="1" applyAlignment="1">
      <alignment horizontal="center" vertical="center" wrapText="1"/>
    </xf>
    <xf numFmtId="0" fontId="3" fillId="15" borderId="57" xfId="0" applyFont="1" applyFill="1" applyBorder="1" applyAlignment="1">
      <alignment horizontal="center"/>
    </xf>
    <xf numFmtId="0" fontId="3" fillId="15" borderId="58" xfId="0" applyFont="1" applyFill="1" applyBorder="1" applyAlignment="1">
      <alignment horizontal="center"/>
    </xf>
    <xf numFmtId="0" fontId="5" fillId="27" borderId="34" xfId="0" applyFont="1" applyFill="1" applyBorder="1" applyAlignment="1">
      <alignment horizontal="center" vertical="center"/>
    </xf>
    <xf numFmtId="0" fontId="5" fillId="27" borderId="61" xfId="0" applyFont="1" applyFill="1" applyBorder="1" applyAlignment="1">
      <alignment horizontal="center" vertical="center"/>
    </xf>
    <xf numFmtId="0" fontId="5" fillId="27" borderId="46" xfId="0" applyFont="1" applyFill="1" applyBorder="1" applyAlignment="1">
      <alignment horizontal="center" vertical="center" wrapText="1"/>
    </xf>
    <xf numFmtId="0" fontId="5" fillId="27" borderId="65" xfId="0" applyFont="1" applyFill="1" applyBorder="1" applyAlignment="1">
      <alignment horizontal="center" vertical="center" wrapText="1"/>
    </xf>
    <xf numFmtId="0" fontId="7" fillId="29" borderId="41" xfId="0" applyFont="1" applyFill="1" applyBorder="1" applyAlignment="1">
      <alignment horizontal="center" vertical="center" wrapText="1"/>
    </xf>
    <xf numFmtId="0" fontId="7" fillId="29" borderId="34" xfId="0" applyFont="1" applyFill="1" applyBorder="1" applyAlignment="1">
      <alignment horizontal="center" vertical="center" wrapText="1"/>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28" borderId="13" xfId="0" applyFont="1" applyFill="1" applyBorder="1" applyAlignment="1">
      <alignment horizontal="center" vertical="center" wrapText="1"/>
    </xf>
    <xf numFmtId="0" fontId="7" fillId="11" borderId="1" xfId="0" applyFont="1" applyFill="1" applyBorder="1" applyAlignment="1">
      <alignment horizontal="center" vertical="center"/>
    </xf>
    <xf numFmtId="0" fontId="7" fillId="8" borderId="5" xfId="0" applyFont="1" applyFill="1" applyBorder="1" applyAlignment="1">
      <alignment horizontal="center"/>
    </xf>
    <xf numFmtId="0" fontId="7" fillId="8" borderId="6" xfId="0" applyFont="1" applyFill="1" applyBorder="1" applyAlignment="1">
      <alignment horizontal="center"/>
    </xf>
    <xf numFmtId="0" fontId="7" fillId="8" borderId="7" xfId="0" applyFont="1" applyFill="1" applyBorder="1" applyAlignment="1">
      <alignment horizontal="center"/>
    </xf>
    <xf numFmtId="0" fontId="7" fillId="21" borderId="5" xfId="0" applyFont="1" applyFill="1" applyBorder="1" applyAlignment="1">
      <alignment horizontal="center"/>
    </xf>
    <xf numFmtId="0" fontId="7" fillId="21" borderId="7" xfId="0" applyFont="1" applyFill="1" applyBorder="1" applyAlignment="1">
      <alignment horizontal="center"/>
    </xf>
    <xf numFmtId="0" fontId="7" fillId="3" borderId="1" xfId="0" applyFont="1" applyFill="1" applyBorder="1" applyAlignment="1">
      <alignment horizontal="center"/>
    </xf>
    <xf numFmtId="0" fontId="26" fillId="0" borderId="0" xfId="0" applyFont="1" applyAlignment="1">
      <alignment horizontal="center" vertical="center" wrapText="1"/>
    </xf>
    <xf numFmtId="0" fontId="4" fillId="21" borderId="5" xfId="0" applyFont="1" applyFill="1" applyBorder="1" applyAlignment="1">
      <alignment horizontal="center"/>
    </xf>
    <xf numFmtId="0" fontId="4" fillId="21" borderId="7" xfId="0" applyFont="1" applyFill="1" applyBorder="1" applyAlignment="1">
      <alignment horizontal="center"/>
    </xf>
    <xf numFmtId="0" fontId="17" fillId="4" borderId="9" xfId="0" applyFont="1" applyFill="1" applyBorder="1" applyAlignment="1">
      <alignment horizontal="left" vertical="top" wrapText="1"/>
    </xf>
    <xf numFmtId="0" fontId="7" fillId="35" borderId="5" xfId="0" applyFont="1" applyFill="1" applyBorder="1" applyAlignment="1">
      <alignment horizontal="center"/>
    </xf>
    <xf numFmtId="0" fontId="7" fillId="35" borderId="6" xfId="0" applyFont="1" applyFill="1" applyBorder="1" applyAlignment="1">
      <alignment horizontal="center"/>
    </xf>
    <xf numFmtId="0" fontId="7" fillId="35" borderId="7" xfId="0" applyFont="1" applyFill="1" applyBorder="1" applyAlignment="1">
      <alignment horizontal="center"/>
    </xf>
    <xf numFmtId="0" fontId="7" fillId="35" borderId="1" xfId="0" applyFont="1" applyFill="1" applyBorder="1" applyAlignment="1">
      <alignment horizontal="center"/>
    </xf>
    <xf numFmtId="0" fontId="7" fillId="35" borderId="2" xfId="0" applyFont="1" applyFill="1" applyBorder="1" applyAlignment="1">
      <alignment horizontal="center"/>
    </xf>
    <xf numFmtId="0" fontId="7" fillId="35" borderId="9" xfId="0" applyFont="1" applyFill="1" applyBorder="1" applyAlignment="1">
      <alignment horizontal="center"/>
    </xf>
    <xf numFmtId="0" fontId="0" fillId="5" borderId="2" xfId="0" applyNumberFormat="1" applyFill="1" applyBorder="1" applyAlignment="1">
      <alignment horizontal="center" vertical="center"/>
    </xf>
    <xf numFmtId="0" fontId="7" fillId="5" borderId="9" xfId="0" applyFont="1" applyFill="1" applyBorder="1" applyAlignment="1">
      <alignment horizontal="center" vertical="center"/>
    </xf>
    <xf numFmtId="0" fontId="7" fillId="5" borderId="15" xfId="0" applyFont="1" applyFill="1" applyBorder="1" applyAlignment="1">
      <alignment horizontal="center" vertical="center"/>
    </xf>
    <xf numFmtId="0" fontId="0" fillId="5" borderId="3" xfId="0" applyNumberFormat="1" applyFill="1" applyBorder="1" applyAlignment="1">
      <alignment horizontal="center" vertical="center"/>
    </xf>
    <xf numFmtId="0" fontId="7" fillId="5" borderId="11" xfId="0" applyFont="1" applyFill="1" applyBorder="1" applyAlignment="1">
      <alignment horizontal="center" vertical="center"/>
    </xf>
    <xf numFmtId="0" fontId="7" fillId="5" borderId="0" xfId="0" applyFont="1" applyFill="1" applyBorder="1" applyAlignment="1">
      <alignment horizontal="center" vertical="center"/>
    </xf>
    <xf numFmtId="0" fontId="0" fillId="5" borderId="4" xfId="0" applyNumberFormat="1" applyFill="1" applyBorder="1" applyAlignment="1">
      <alignment horizontal="center"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2" fillId="32" borderId="5" xfId="0" applyFont="1" applyFill="1" applyBorder="1" applyAlignment="1">
      <alignment horizontal="center"/>
    </xf>
    <xf numFmtId="0" fontId="2" fillId="32" borderId="6" xfId="0" applyFont="1" applyFill="1" applyBorder="1" applyAlignment="1">
      <alignment horizontal="center"/>
    </xf>
    <xf numFmtId="0" fontId="2" fillId="32" borderId="7" xfId="0" applyFont="1" applyFill="1" applyBorder="1" applyAlignment="1">
      <alignment horizont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0" fillId="0" borderId="2" xfId="0" applyNumberFormat="1" applyFill="1" applyBorder="1" applyAlignment="1">
      <alignment horizontal="center"/>
    </xf>
    <xf numFmtId="0" fontId="7" fillId="0" borderId="9" xfId="0" applyNumberFormat="1" applyFont="1" applyFill="1" applyBorder="1" applyAlignment="1">
      <alignment horizontal="center"/>
    </xf>
    <xf numFmtId="0" fontId="0" fillId="0" borderId="3" xfId="0" applyNumberFormat="1" applyFill="1" applyBorder="1" applyAlignment="1">
      <alignment horizontal="center"/>
    </xf>
    <xf numFmtId="0" fontId="7" fillId="0" borderId="11" xfId="0" applyNumberFormat="1" applyFont="1" applyFill="1" applyBorder="1" applyAlignment="1">
      <alignment horizontal="center"/>
    </xf>
    <xf numFmtId="0" fontId="0" fillId="0" borderId="4" xfId="0" applyNumberFormat="1" applyFill="1" applyBorder="1" applyAlignment="1">
      <alignment horizontal="center"/>
    </xf>
    <xf numFmtId="0" fontId="7" fillId="0" borderId="13" xfId="0" applyNumberFormat="1" applyFont="1" applyFill="1" applyBorder="1" applyAlignment="1">
      <alignment horizontal="center"/>
    </xf>
  </cellXfs>
  <cellStyles count="2">
    <cellStyle name="Collegamento ipertestuale" xfId="1" builtinId="8"/>
    <cellStyle name="Normale" xfId="0" builtinId="0"/>
  </cellStyles>
  <dxfs count="8">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s>
  <tableStyles count="0" defaultTableStyle="TableStyleMedium9" defaultPivotStyle="PivotStyleLight16"/>
  <colors>
    <mruColors>
      <color rgb="FFFF9797"/>
      <color rgb="FFFFCC66"/>
      <color rgb="FFFF3333"/>
      <color rgb="FFFF5353"/>
      <color rgb="FFFF2929"/>
      <color rgb="FF00B409"/>
      <color rgb="FFF9F9F9"/>
      <color rgb="FFFD5DF2"/>
      <color rgb="FF57FF7F"/>
      <color rgb="FFF2F2F2"/>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85725</xdr:colOff>
      <xdr:row>15</xdr:row>
      <xdr:rowOff>95250</xdr:rowOff>
    </xdr:from>
    <xdr:to>
      <xdr:col>16</xdr:col>
      <xdr:colOff>504825</xdr:colOff>
      <xdr:row>31</xdr:row>
      <xdr:rowOff>54745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800850" y="3486150"/>
          <a:ext cx="5457825" cy="3007495"/>
        </a:xfrm>
        <a:prstGeom prst="rect">
          <a:avLst/>
        </a:prstGeom>
        <a:noFill/>
        <a:ln w="9525">
          <a:noFill/>
          <a:miter lim="800000"/>
          <a:headEnd/>
          <a:tailEn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2524272</xdr:colOff>
      <xdr:row>5</xdr:row>
      <xdr:rowOff>82543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628797</xdr:colOff>
      <xdr:row>4</xdr:row>
      <xdr:rowOff>158743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t.wikipedia.org/wiki/Metro" TargetMode="External"/><Relationship Id="rId3" Type="http://schemas.openxmlformats.org/officeDocument/2006/relationships/hyperlink" Target="http://people.cs.nctu.edu.tw/~yctseng/WSN2012-09/book-ch04-5%28BLE%29.ppt" TargetMode="External"/><Relationship Id="rId7" Type="http://schemas.openxmlformats.org/officeDocument/2006/relationships/hyperlink" Target="http://it.wikipedia.org/wiki/Decibel" TargetMode="External"/><Relationship Id="rId2" Type="http://schemas.openxmlformats.org/officeDocument/2006/relationships/hyperlink" Target="http://people.cs.nctu.edu.tw/~yctseng/WSN2012-09/book-ch04-5%28BLE%29.ppt" TargetMode="External"/><Relationship Id="rId1" Type="http://schemas.openxmlformats.org/officeDocument/2006/relationships/hyperlink" Target="https://www.cs.nctu.edu.tw/cswebsite/" TargetMode="External"/><Relationship Id="rId6" Type="http://schemas.openxmlformats.org/officeDocument/2006/relationships/hyperlink" Target="http://it.wikipedia.org/wiki/Milliwatt" TargetMode="External"/><Relationship Id="rId5" Type="http://schemas.openxmlformats.org/officeDocument/2006/relationships/hyperlink" Target="http://www.bluetooth.com/Pages/Basics.aspx" TargetMode="External"/><Relationship Id="rId10" Type="http://schemas.openxmlformats.org/officeDocument/2006/relationships/hyperlink" Target="http://tesi.cab.unipd.it/44150/1/tesi_tibertoa.pdf" TargetMode="External"/><Relationship Id="rId4" Type="http://schemas.openxmlformats.org/officeDocument/2006/relationships/hyperlink" Target="http://en.wikipedia.org/wiki/Bluetooth_low_energy" TargetMode="External"/><Relationship Id="rId9" Type="http://schemas.openxmlformats.org/officeDocument/2006/relationships/hyperlink" Target="http://it.wikipedia.org/wiki/Bluetoot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U47"/>
  <sheetViews>
    <sheetView workbookViewId="0">
      <selection activeCell="X32" sqref="X32"/>
    </sheetView>
  </sheetViews>
  <sheetFormatPr defaultRowHeight="15"/>
  <cols>
    <col min="1" max="1" width="7.5703125" customWidth="1"/>
    <col min="2" max="2" width="13.42578125" customWidth="1"/>
    <col min="9" max="9" width="17.5703125" bestFit="1" customWidth="1"/>
    <col min="10" max="10" width="2" bestFit="1" customWidth="1"/>
    <col min="11" max="11" width="4" bestFit="1" customWidth="1"/>
    <col min="12" max="12" width="6.85546875" bestFit="1" customWidth="1"/>
  </cols>
  <sheetData>
    <row r="1" spans="2:18" ht="23.25">
      <c r="D1" s="403" t="s">
        <v>2</v>
      </c>
      <c r="E1" s="403"/>
      <c r="F1" s="75" t="s">
        <v>53</v>
      </c>
      <c r="I1" s="404" t="s">
        <v>54</v>
      </c>
      <c r="J1" s="405"/>
      <c r="K1" s="405"/>
      <c r="L1" s="406"/>
      <c r="M1" s="407" t="s">
        <v>53</v>
      </c>
      <c r="N1" s="408"/>
      <c r="O1" s="408"/>
      <c r="P1" s="408"/>
      <c r="Q1" s="408"/>
      <c r="R1" s="408"/>
    </row>
    <row r="2" spans="2:18" ht="15.75">
      <c r="D2" s="21" t="s">
        <v>18</v>
      </c>
      <c r="E2" s="21" t="s">
        <v>19</v>
      </c>
      <c r="F2" s="409" t="s">
        <v>32</v>
      </c>
      <c r="H2" s="25"/>
      <c r="I2" s="43" t="s">
        <v>39</v>
      </c>
      <c r="J2" s="321" t="s">
        <v>56</v>
      </c>
      <c r="K2" s="325">
        <v>150</v>
      </c>
      <c r="L2" s="47" t="s">
        <v>55</v>
      </c>
      <c r="M2" s="412" t="s">
        <v>64</v>
      </c>
      <c r="N2" s="413"/>
      <c r="O2" s="413"/>
      <c r="P2" s="413"/>
      <c r="Q2" s="413"/>
      <c r="R2" s="414"/>
    </row>
    <row r="3" spans="2:18">
      <c r="B3" s="429" t="s">
        <v>20</v>
      </c>
      <c r="C3" s="430"/>
      <c r="D3" s="42">
        <v>100</v>
      </c>
      <c r="E3" s="42" t="s">
        <v>21</v>
      </c>
      <c r="F3" s="410"/>
      <c r="H3" s="25"/>
      <c r="I3" s="46" t="s">
        <v>48</v>
      </c>
      <c r="J3" s="322" t="s">
        <v>56</v>
      </c>
      <c r="K3" s="322">
        <v>10</v>
      </c>
      <c r="L3" s="48" t="s">
        <v>57</v>
      </c>
      <c r="M3" s="415"/>
      <c r="N3" s="416"/>
      <c r="O3" s="416"/>
      <c r="P3" s="416"/>
      <c r="Q3" s="416"/>
      <c r="R3" s="417"/>
    </row>
    <row r="4" spans="2:18">
      <c r="B4" s="431" t="s">
        <v>102</v>
      </c>
      <c r="C4" s="432"/>
      <c r="D4" s="444" t="s">
        <v>103</v>
      </c>
      <c r="E4" s="435">
        <v>1</v>
      </c>
      <c r="F4" s="410"/>
      <c r="H4" s="25"/>
      <c r="I4" s="44" t="s">
        <v>49</v>
      </c>
      <c r="J4" s="323" t="s">
        <v>56</v>
      </c>
      <c r="K4" s="323">
        <v>15</v>
      </c>
      <c r="L4" s="49" t="s">
        <v>58</v>
      </c>
      <c r="M4" s="51"/>
      <c r="N4" s="53"/>
      <c r="O4" s="53"/>
      <c r="P4" s="53"/>
      <c r="Q4" s="53"/>
      <c r="R4" s="54"/>
    </row>
    <row r="5" spans="2:18">
      <c r="B5" s="433"/>
      <c r="C5" s="434"/>
      <c r="D5" s="445"/>
      <c r="E5" s="436"/>
      <c r="F5" s="410"/>
      <c r="H5" s="25"/>
      <c r="I5" s="46" t="s">
        <v>50</v>
      </c>
      <c r="J5" s="322"/>
      <c r="K5" s="326">
        <v>3</v>
      </c>
      <c r="L5" s="48" t="s">
        <v>59</v>
      </c>
      <c r="M5" s="51" t="s">
        <v>67</v>
      </c>
      <c r="N5" s="437" t="s">
        <v>63</v>
      </c>
      <c r="O5" s="438"/>
      <c r="P5" s="438"/>
      <c r="Q5" s="438"/>
      <c r="R5" s="439"/>
    </row>
    <row r="6" spans="2:18">
      <c r="B6" s="440" t="s">
        <v>101</v>
      </c>
      <c r="C6" s="441"/>
      <c r="D6" s="418" t="s">
        <v>22</v>
      </c>
      <c r="E6" s="454" t="s">
        <v>23</v>
      </c>
      <c r="F6" s="410"/>
      <c r="H6" s="25"/>
      <c r="I6" s="45" t="s">
        <v>52</v>
      </c>
      <c r="J6" s="324" t="s">
        <v>56</v>
      </c>
      <c r="K6" s="324">
        <v>1</v>
      </c>
      <c r="L6" s="50" t="s">
        <v>62</v>
      </c>
      <c r="M6" s="51" t="s">
        <v>68</v>
      </c>
      <c r="N6" s="437" t="s">
        <v>69</v>
      </c>
      <c r="O6" s="437"/>
      <c r="P6" s="437"/>
      <c r="Q6" s="437"/>
      <c r="R6" s="456"/>
    </row>
    <row r="7" spans="2:18">
      <c r="B7" s="442"/>
      <c r="C7" s="443"/>
      <c r="D7" s="420"/>
      <c r="E7" s="455"/>
      <c r="F7" s="410"/>
      <c r="H7" s="25"/>
      <c r="I7" s="46" t="s">
        <v>51</v>
      </c>
      <c r="J7" s="322" t="s">
        <v>60</v>
      </c>
      <c r="K7" s="322">
        <v>2</v>
      </c>
      <c r="L7" s="48" t="s">
        <v>61</v>
      </c>
      <c r="M7" s="52" t="s">
        <v>65</v>
      </c>
      <c r="N7" s="457" t="s">
        <v>66</v>
      </c>
      <c r="O7" s="457"/>
      <c r="P7" s="457"/>
      <c r="Q7" s="457"/>
      <c r="R7" s="458"/>
    </row>
    <row r="8" spans="2:18">
      <c r="B8" s="446" t="s">
        <v>24</v>
      </c>
      <c r="C8" s="447"/>
      <c r="D8" s="68">
        <v>100</v>
      </c>
      <c r="E8" s="68">
        <v>6</v>
      </c>
      <c r="F8" s="410"/>
      <c r="H8" s="25"/>
      <c r="I8" s="55" t="s">
        <v>111</v>
      </c>
      <c r="J8" s="324" t="s">
        <v>56</v>
      </c>
      <c r="K8" s="327">
        <v>1</v>
      </c>
      <c r="L8" s="56" t="s">
        <v>112</v>
      </c>
    </row>
    <row r="9" spans="2:18">
      <c r="B9" s="448" t="s">
        <v>25</v>
      </c>
      <c r="C9" s="449"/>
      <c r="D9" s="418">
        <v>100</v>
      </c>
      <c r="E9" s="418">
        <v>3</v>
      </c>
      <c r="F9" s="410"/>
      <c r="H9" s="25"/>
      <c r="J9" s="132"/>
      <c r="K9" s="320"/>
    </row>
    <row r="10" spans="2:18">
      <c r="B10" s="450"/>
      <c r="C10" s="451"/>
      <c r="D10" s="419"/>
      <c r="E10" s="419"/>
      <c r="F10" s="410"/>
      <c r="H10" s="25"/>
      <c r="J10" s="132"/>
      <c r="K10" s="320"/>
    </row>
    <row r="11" spans="2:18">
      <c r="B11" s="452"/>
      <c r="C11" s="453"/>
      <c r="D11" s="420"/>
      <c r="E11" s="420"/>
      <c r="F11" s="410"/>
      <c r="H11" s="25"/>
      <c r="J11" s="132"/>
      <c r="K11" s="320"/>
    </row>
    <row r="12" spans="2:18">
      <c r="B12" s="459" t="s">
        <v>27</v>
      </c>
      <c r="C12" s="460"/>
      <c r="D12" s="68">
        <v>1</v>
      </c>
      <c r="E12" s="68" t="s">
        <v>26</v>
      </c>
      <c r="F12" s="410"/>
      <c r="H12" s="25"/>
      <c r="I12" s="421" t="s">
        <v>71</v>
      </c>
      <c r="J12" s="423" t="s">
        <v>56</v>
      </c>
      <c r="K12" s="425">
        <v>15</v>
      </c>
      <c r="L12" s="427" t="s">
        <v>57</v>
      </c>
    </row>
    <row r="13" spans="2:18">
      <c r="B13" s="461" t="s">
        <v>28</v>
      </c>
      <c r="C13" s="462"/>
      <c r="D13" s="418" t="s">
        <v>29</v>
      </c>
      <c r="E13" s="418" t="s">
        <v>30</v>
      </c>
      <c r="F13" s="410"/>
      <c r="H13" s="25"/>
      <c r="I13" s="422"/>
      <c r="J13" s="424"/>
      <c r="K13" s="426"/>
      <c r="L13" s="428"/>
    </row>
    <row r="14" spans="2:18">
      <c r="B14" s="463"/>
      <c r="C14" s="464"/>
      <c r="D14" s="420"/>
      <c r="E14" s="420"/>
      <c r="F14" s="410"/>
    </row>
    <row r="15" spans="2:18">
      <c r="B15" s="371" t="s">
        <v>33</v>
      </c>
      <c r="C15" s="372"/>
      <c r="D15" s="69" t="s">
        <v>38</v>
      </c>
      <c r="E15" s="70"/>
      <c r="F15" s="410"/>
    </row>
    <row r="16" spans="2:18">
      <c r="B16" s="373"/>
      <c r="C16" s="374"/>
      <c r="D16" s="71" t="s">
        <v>34</v>
      </c>
      <c r="E16" s="72"/>
      <c r="F16" s="410"/>
    </row>
    <row r="17" spans="2:21">
      <c r="B17" s="373"/>
      <c r="C17" s="374"/>
      <c r="D17" s="71" t="s">
        <v>35</v>
      </c>
      <c r="E17" s="72"/>
      <c r="F17" s="410"/>
      <c r="J17" s="27"/>
      <c r="K17" s="27"/>
      <c r="L17" s="27"/>
      <c r="M17" s="27"/>
      <c r="N17" s="27"/>
      <c r="O17" s="27"/>
    </row>
    <row r="18" spans="2:21">
      <c r="B18" s="373"/>
      <c r="C18" s="374"/>
      <c r="D18" s="71" t="s">
        <v>36</v>
      </c>
      <c r="E18" s="72"/>
      <c r="F18" s="410"/>
      <c r="J18" s="27"/>
      <c r="K18" s="27"/>
      <c r="L18" s="27"/>
      <c r="M18" s="27"/>
      <c r="N18" s="27"/>
      <c r="O18" s="27"/>
    </row>
    <row r="19" spans="2:21">
      <c r="B19" s="375"/>
      <c r="C19" s="376"/>
      <c r="D19" s="73" t="s">
        <v>37</v>
      </c>
      <c r="E19" s="74"/>
      <c r="F19" s="411"/>
    </row>
    <row r="22" spans="2:21" ht="18.75">
      <c r="F22" s="381" t="s">
        <v>351</v>
      </c>
      <c r="G22" s="382"/>
      <c r="H22" s="382"/>
      <c r="I22" s="382"/>
      <c r="J22" s="382"/>
      <c r="K22" s="382"/>
      <c r="L22" s="382"/>
      <c r="M22" s="382"/>
      <c r="N22" s="383"/>
    </row>
    <row r="24" spans="2:21">
      <c r="B24" s="387" t="s">
        <v>40</v>
      </c>
      <c r="C24" s="388"/>
      <c r="D24" s="388"/>
      <c r="E24" s="388"/>
      <c r="F24" s="388"/>
      <c r="G24" s="388"/>
      <c r="H24" s="388"/>
      <c r="I24" s="388"/>
      <c r="J24" s="389"/>
      <c r="L24" s="387" t="s">
        <v>45</v>
      </c>
      <c r="M24" s="388"/>
      <c r="N24" s="388"/>
      <c r="O24" s="388"/>
      <c r="P24" s="388"/>
      <c r="Q24" s="388"/>
      <c r="R24" s="388"/>
      <c r="S24" s="388"/>
      <c r="T24" s="388"/>
      <c r="U24" s="389"/>
    </row>
    <row r="25" spans="2:21">
      <c r="B25" s="390"/>
      <c r="C25" s="391"/>
      <c r="D25" s="391"/>
      <c r="E25" s="391"/>
      <c r="F25" s="391"/>
      <c r="G25" s="391"/>
      <c r="H25" s="391"/>
      <c r="I25" s="391"/>
      <c r="J25" s="392"/>
      <c r="L25" s="390"/>
      <c r="M25" s="391"/>
      <c r="N25" s="391"/>
      <c r="O25" s="391"/>
      <c r="P25" s="391"/>
      <c r="Q25" s="391"/>
      <c r="R25" s="391"/>
      <c r="S25" s="391"/>
      <c r="T25" s="391"/>
      <c r="U25" s="392"/>
    </row>
    <row r="26" spans="2:21">
      <c r="B26" s="390"/>
      <c r="C26" s="391"/>
      <c r="D26" s="391"/>
      <c r="E26" s="391"/>
      <c r="F26" s="391"/>
      <c r="G26" s="391"/>
      <c r="H26" s="391"/>
      <c r="I26" s="391"/>
      <c r="J26" s="392"/>
      <c r="L26" s="390"/>
      <c r="M26" s="391"/>
      <c r="N26" s="391"/>
      <c r="O26" s="391"/>
      <c r="P26" s="391"/>
      <c r="Q26" s="391"/>
      <c r="R26" s="391"/>
      <c r="S26" s="391"/>
      <c r="T26" s="391"/>
      <c r="U26" s="392"/>
    </row>
    <row r="27" spans="2:21">
      <c r="B27" s="390"/>
      <c r="C27" s="391"/>
      <c r="D27" s="391"/>
      <c r="E27" s="391"/>
      <c r="F27" s="391"/>
      <c r="G27" s="391"/>
      <c r="H27" s="391"/>
      <c r="I27" s="391"/>
      <c r="J27" s="392"/>
      <c r="L27" s="390"/>
      <c r="M27" s="391"/>
      <c r="N27" s="391"/>
      <c r="O27" s="391"/>
      <c r="P27" s="391"/>
      <c r="Q27" s="391"/>
      <c r="R27" s="391"/>
      <c r="S27" s="391"/>
      <c r="T27" s="391"/>
      <c r="U27" s="392"/>
    </row>
    <row r="28" spans="2:21">
      <c r="B28" s="390"/>
      <c r="C28" s="391"/>
      <c r="D28" s="391"/>
      <c r="E28" s="391"/>
      <c r="F28" s="391"/>
      <c r="G28" s="391"/>
      <c r="H28" s="391"/>
      <c r="I28" s="391"/>
      <c r="J28" s="392"/>
      <c r="L28" s="390"/>
      <c r="M28" s="391"/>
      <c r="N28" s="391"/>
      <c r="O28" s="391"/>
      <c r="P28" s="391"/>
      <c r="Q28" s="391"/>
      <c r="R28" s="391"/>
      <c r="S28" s="391"/>
      <c r="T28" s="391"/>
      <c r="U28" s="392"/>
    </row>
    <row r="29" spans="2:21">
      <c r="B29" s="390"/>
      <c r="C29" s="391"/>
      <c r="D29" s="391"/>
      <c r="E29" s="391"/>
      <c r="F29" s="391"/>
      <c r="G29" s="391"/>
      <c r="H29" s="391"/>
      <c r="I29" s="391"/>
      <c r="J29" s="392"/>
      <c r="L29" s="390"/>
      <c r="M29" s="391"/>
      <c r="N29" s="391"/>
      <c r="O29" s="391"/>
      <c r="P29" s="391"/>
      <c r="Q29" s="391"/>
      <c r="R29" s="391"/>
      <c r="S29" s="391"/>
      <c r="T29" s="391"/>
      <c r="U29" s="392"/>
    </row>
    <row r="30" spans="2:21">
      <c r="B30" s="390"/>
      <c r="C30" s="391"/>
      <c r="D30" s="391"/>
      <c r="E30" s="391"/>
      <c r="F30" s="391"/>
      <c r="G30" s="391"/>
      <c r="H30" s="391"/>
      <c r="I30" s="391"/>
      <c r="J30" s="392"/>
      <c r="L30" s="390"/>
      <c r="M30" s="391"/>
      <c r="N30" s="391"/>
      <c r="O30" s="391"/>
      <c r="P30" s="391"/>
      <c r="Q30" s="391"/>
      <c r="R30" s="391"/>
      <c r="S30" s="391"/>
      <c r="T30" s="391"/>
      <c r="U30" s="392"/>
    </row>
    <row r="31" spans="2:21">
      <c r="B31" s="29"/>
      <c r="C31" s="30" t="s">
        <v>42</v>
      </c>
      <c r="D31" s="31" t="s">
        <v>41</v>
      </c>
      <c r="E31" s="32"/>
      <c r="F31" s="32"/>
      <c r="G31" s="32"/>
      <c r="H31" s="32"/>
      <c r="I31" s="32"/>
      <c r="J31" s="33"/>
      <c r="L31" s="390"/>
      <c r="M31" s="391"/>
      <c r="N31" s="391"/>
      <c r="O31" s="391"/>
      <c r="P31" s="391"/>
      <c r="Q31" s="391"/>
      <c r="R31" s="391"/>
      <c r="S31" s="391"/>
      <c r="T31" s="391"/>
      <c r="U31" s="392"/>
    </row>
    <row r="32" spans="2:21">
      <c r="B32" s="34"/>
      <c r="C32" s="30" t="s">
        <v>42</v>
      </c>
      <c r="D32" s="396" t="s">
        <v>44</v>
      </c>
      <c r="E32" s="396"/>
      <c r="F32" s="396"/>
      <c r="G32" s="396"/>
      <c r="H32" s="396"/>
      <c r="I32" s="396"/>
      <c r="J32" s="397"/>
      <c r="L32" s="390"/>
      <c r="M32" s="391"/>
      <c r="N32" s="391"/>
      <c r="O32" s="391"/>
      <c r="P32" s="391"/>
      <c r="Q32" s="391"/>
      <c r="R32" s="391"/>
      <c r="S32" s="391"/>
      <c r="T32" s="391"/>
      <c r="U32" s="392"/>
    </row>
    <row r="33" spans="2:21">
      <c r="B33" s="35"/>
      <c r="C33" s="36"/>
      <c r="D33" s="396"/>
      <c r="E33" s="396"/>
      <c r="F33" s="396"/>
      <c r="G33" s="396"/>
      <c r="H33" s="396"/>
      <c r="I33" s="396"/>
      <c r="J33" s="397"/>
      <c r="L33" s="390"/>
      <c r="M33" s="391"/>
      <c r="N33" s="391"/>
      <c r="O33" s="391"/>
      <c r="P33" s="391"/>
      <c r="Q33" s="391"/>
      <c r="R33" s="391"/>
      <c r="S33" s="391"/>
      <c r="T33" s="391"/>
      <c r="U33" s="392"/>
    </row>
    <row r="34" spans="2:21">
      <c r="B34" s="37"/>
      <c r="C34" s="38" t="s">
        <v>42</v>
      </c>
      <c r="D34" s="398" t="s">
        <v>43</v>
      </c>
      <c r="E34" s="399"/>
      <c r="F34" s="399"/>
      <c r="G34" s="399"/>
      <c r="H34" s="399"/>
      <c r="I34" s="399"/>
      <c r="J34" s="400"/>
      <c r="L34" s="390"/>
      <c r="M34" s="391"/>
      <c r="N34" s="391"/>
      <c r="O34" s="391"/>
      <c r="P34" s="391"/>
      <c r="Q34" s="391"/>
      <c r="R34" s="391"/>
      <c r="S34" s="391"/>
      <c r="T34" s="391"/>
      <c r="U34" s="392"/>
    </row>
    <row r="35" spans="2:21">
      <c r="B35" s="39"/>
      <c r="C35" s="40"/>
      <c r="D35" s="401"/>
      <c r="E35" s="401"/>
      <c r="F35" s="401"/>
      <c r="G35" s="401"/>
      <c r="H35" s="401"/>
      <c r="I35" s="401"/>
      <c r="J35" s="402"/>
      <c r="L35" s="393"/>
      <c r="M35" s="394"/>
      <c r="N35" s="394"/>
      <c r="O35" s="394"/>
      <c r="P35" s="394"/>
      <c r="Q35" s="394"/>
      <c r="R35" s="394"/>
      <c r="S35" s="394"/>
      <c r="T35" s="394"/>
      <c r="U35" s="395"/>
    </row>
    <row r="36" spans="2:21">
      <c r="B36" s="28"/>
      <c r="C36" s="28"/>
      <c r="D36" s="28"/>
      <c r="E36" s="28"/>
      <c r="F36" s="28"/>
      <c r="G36" s="28"/>
      <c r="H36" s="28"/>
      <c r="I36" s="27"/>
    </row>
    <row r="37" spans="2:21">
      <c r="C37" s="41" t="s">
        <v>46</v>
      </c>
      <c r="D37" s="377" t="s">
        <v>47</v>
      </c>
      <c r="E37" s="377"/>
      <c r="F37" s="377"/>
      <c r="G37" s="377"/>
      <c r="H37" s="378"/>
      <c r="M37" s="27"/>
      <c r="N37" s="27"/>
      <c r="O37" s="27"/>
      <c r="P37" s="27"/>
      <c r="Q37" s="27"/>
      <c r="R37" s="27"/>
      <c r="S37" s="27"/>
      <c r="T37" s="27"/>
      <c r="U37" s="27"/>
    </row>
    <row r="38" spans="2:21" ht="15.75" thickBot="1"/>
    <row r="39" spans="2:21">
      <c r="C39" s="300" t="s">
        <v>88</v>
      </c>
      <c r="D39" s="77" t="s">
        <v>89</v>
      </c>
      <c r="E39" s="78" t="s">
        <v>89</v>
      </c>
      <c r="F39" s="79" t="s">
        <v>92</v>
      </c>
    </row>
    <row r="40" spans="2:21" ht="15.75" thickBot="1">
      <c r="C40" s="301"/>
      <c r="D40" s="87" t="s">
        <v>90</v>
      </c>
      <c r="E40" s="88" t="s">
        <v>91</v>
      </c>
      <c r="F40" s="89" t="s">
        <v>93</v>
      </c>
      <c r="M40" t="s">
        <v>110</v>
      </c>
    </row>
    <row r="41" spans="2:21">
      <c r="C41" s="81" t="s">
        <v>94</v>
      </c>
      <c r="D41" s="84">
        <v>100</v>
      </c>
      <c r="E41" s="292">
        <v>20</v>
      </c>
      <c r="F41" s="86" t="s">
        <v>99</v>
      </c>
      <c r="L41" s="368" t="s">
        <v>104</v>
      </c>
      <c r="M41" s="369"/>
      <c r="N41" s="370"/>
      <c r="O41" s="368" t="s">
        <v>105</v>
      </c>
      <c r="P41" s="369"/>
      <c r="Q41" s="370"/>
      <c r="R41" s="76" t="s">
        <v>92</v>
      </c>
    </row>
    <row r="42" spans="2:21">
      <c r="C42" s="82" t="s">
        <v>95</v>
      </c>
      <c r="D42" s="299">
        <v>2.5</v>
      </c>
      <c r="E42" s="298">
        <v>4</v>
      </c>
      <c r="F42" s="65" t="s">
        <v>96</v>
      </c>
      <c r="L42" s="384" t="s">
        <v>107</v>
      </c>
      <c r="M42" s="385"/>
      <c r="N42" s="386"/>
      <c r="O42" s="384" t="s">
        <v>106</v>
      </c>
      <c r="P42" s="385"/>
      <c r="Q42" s="386"/>
      <c r="R42" s="26" t="s">
        <v>108</v>
      </c>
      <c r="S42" s="329"/>
      <c r="T42" s="329"/>
    </row>
    <row r="43" spans="2:21" ht="15.75" thickBot="1">
      <c r="C43" s="83" t="s">
        <v>97</v>
      </c>
      <c r="D43" s="80">
        <v>1</v>
      </c>
      <c r="E43" s="66">
        <v>0</v>
      </c>
      <c r="F43" s="67" t="s">
        <v>98</v>
      </c>
    </row>
    <row r="44" spans="2:21">
      <c r="M44" s="41" t="s">
        <v>46</v>
      </c>
      <c r="N44" s="379" t="s">
        <v>109</v>
      </c>
      <c r="O44" s="379"/>
      <c r="P44" s="379"/>
      <c r="Q44" s="379"/>
      <c r="R44" s="380"/>
      <c r="S44" s="330"/>
      <c r="T44" s="330"/>
    </row>
    <row r="45" spans="2:21">
      <c r="C45" s="41" t="s">
        <v>46</v>
      </c>
      <c r="D45" s="377" t="s">
        <v>100</v>
      </c>
      <c r="E45" s="377"/>
      <c r="F45" s="377"/>
      <c r="G45" s="378"/>
    </row>
    <row r="47" spans="2:21">
      <c r="G47" s="328"/>
    </row>
  </sheetData>
  <mergeCells count="40">
    <mergeCell ref="B8:C8"/>
    <mergeCell ref="B9:C11"/>
    <mergeCell ref="D13:D14"/>
    <mergeCell ref="E6:E7"/>
    <mergeCell ref="N6:R6"/>
    <mergeCell ref="N7:R7"/>
    <mergeCell ref="B12:C12"/>
    <mergeCell ref="B13:C14"/>
    <mergeCell ref="B3:C3"/>
    <mergeCell ref="B4:C5"/>
    <mergeCell ref="E4:E5"/>
    <mergeCell ref="N5:R5"/>
    <mergeCell ref="B6:C7"/>
    <mergeCell ref="D6:D7"/>
    <mergeCell ref="D4:D5"/>
    <mergeCell ref="D1:E1"/>
    <mergeCell ref="I1:L1"/>
    <mergeCell ref="M1:R1"/>
    <mergeCell ref="F2:F19"/>
    <mergeCell ref="M2:R3"/>
    <mergeCell ref="D9:D11"/>
    <mergeCell ref="E9:E11"/>
    <mergeCell ref="E13:E14"/>
    <mergeCell ref="I12:I13"/>
    <mergeCell ref="J12:J13"/>
    <mergeCell ref="K12:K13"/>
    <mergeCell ref="L12:L13"/>
    <mergeCell ref="O41:Q41"/>
    <mergeCell ref="B15:C19"/>
    <mergeCell ref="D45:G45"/>
    <mergeCell ref="N44:R44"/>
    <mergeCell ref="F22:N22"/>
    <mergeCell ref="L41:N41"/>
    <mergeCell ref="L42:N42"/>
    <mergeCell ref="O42:Q42"/>
    <mergeCell ref="D37:H37"/>
    <mergeCell ref="B24:J30"/>
    <mergeCell ref="L24:U35"/>
    <mergeCell ref="D32:J33"/>
    <mergeCell ref="D34:J35"/>
  </mergeCells>
  <hyperlinks>
    <hyperlink ref="N5" r:id="rId1"/>
    <hyperlink ref="N6" r:id="rId2"/>
    <hyperlink ref="N7" r:id="rId3"/>
    <hyperlink ref="D19" r:id="rId4" location="cite_note-25" display="http://en.wikipedia.org/wiki/Bluetooth_low_energy - cite_note-25"/>
    <hyperlink ref="D37" r:id="rId5"/>
    <hyperlink ref="D40" r:id="rId6" tooltip="Milliwatt" display="http://it.wikipedia.org/wiki/Milliwatt"/>
    <hyperlink ref="E40" r:id="rId7" tooltip="Decibel" display="http://it.wikipedia.org/wiki/Decibel"/>
    <hyperlink ref="F40" r:id="rId8" tooltip="Metro" display="http://it.wikipedia.org/wiki/Metro"/>
    <hyperlink ref="D45" r:id="rId9"/>
    <hyperlink ref="N44"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Foglio1"/>
  <dimension ref="A1:AA31"/>
  <sheetViews>
    <sheetView topLeftCell="C1" workbookViewId="0">
      <selection activeCell="Q18" sqref="Q18"/>
    </sheetView>
  </sheetViews>
  <sheetFormatPr defaultRowHeight="15"/>
  <cols>
    <col min="1" max="1" width="22.28515625" customWidth="1"/>
    <col min="2" max="2" width="14.140625" customWidth="1"/>
    <col min="3" max="3" width="14.42578125" customWidth="1"/>
    <col min="4" max="5" width="9.140625" customWidth="1"/>
    <col min="6" max="6" width="11.28515625" customWidth="1"/>
    <col min="7" max="7" width="7.5703125" customWidth="1"/>
    <col min="8" max="9" width="7" customWidth="1"/>
    <col min="10" max="10" width="4.42578125" customWidth="1"/>
    <col min="11" max="11" width="4.5703125" customWidth="1"/>
    <col min="12" max="14" width="4.85546875" customWidth="1"/>
    <col min="15" max="15" width="1.7109375" customWidth="1"/>
    <col min="16" max="16" width="11" bestFit="1" customWidth="1"/>
    <col min="17" max="17" width="9" customWidth="1"/>
    <col min="18" max="18" width="9.5703125" customWidth="1"/>
    <col min="19" max="32" width="9.140625" customWidth="1"/>
    <col min="35" max="36" width="9.140625" customWidth="1"/>
  </cols>
  <sheetData>
    <row r="1" spans="1:27" ht="21">
      <c r="A1" s="473" t="s">
        <v>13</v>
      </c>
      <c r="B1" s="476" t="s">
        <v>2</v>
      </c>
      <c r="C1" s="479" t="s">
        <v>11</v>
      </c>
      <c r="D1" s="480"/>
      <c r="E1" s="480"/>
      <c r="F1" s="480"/>
      <c r="G1" s="480"/>
      <c r="H1" s="481"/>
      <c r="I1" s="487" t="s">
        <v>73</v>
      </c>
      <c r="J1" s="488"/>
      <c r="K1" s="488"/>
      <c r="L1" s="488"/>
      <c r="M1" s="488"/>
      <c r="N1" s="489"/>
      <c r="P1" s="687" t="s">
        <v>70</v>
      </c>
      <c r="Q1" s="688"/>
      <c r="R1" s="688"/>
      <c r="S1" s="688"/>
      <c r="T1" s="688"/>
      <c r="U1" s="688"/>
      <c r="V1" s="688"/>
      <c r="W1" s="688"/>
      <c r="X1" s="688"/>
      <c r="Y1" s="688"/>
      <c r="Z1" s="688"/>
      <c r="AA1" s="689"/>
    </row>
    <row r="2" spans="1:27" ht="15.75" customHeight="1">
      <c r="A2" s="474"/>
      <c r="B2" s="477"/>
      <c r="C2" s="468" t="s">
        <v>1</v>
      </c>
      <c r="D2" s="468" t="s">
        <v>10</v>
      </c>
      <c r="E2" s="468" t="s">
        <v>12</v>
      </c>
      <c r="F2" s="495" t="s">
        <v>4</v>
      </c>
      <c r="G2" s="496"/>
      <c r="H2" s="497"/>
      <c r="I2" s="490" t="s">
        <v>81</v>
      </c>
      <c r="J2" s="482" t="s">
        <v>79</v>
      </c>
      <c r="K2" s="483"/>
      <c r="L2" s="484"/>
      <c r="M2" s="485" t="s">
        <v>80</v>
      </c>
      <c r="N2" s="486"/>
      <c r="P2" s="557" t="str">
        <f>'hp. 1.0'!A6</f>
        <v>Hp. 1.1) 1tx/min</v>
      </c>
      <c r="Q2" s="558"/>
      <c r="R2" s="559"/>
      <c r="S2" s="465" t="s">
        <v>352</v>
      </c>
      <c r="T2" s="466"/>
      <c r="U2" s="466"/>
      <c r="V2" s="466"/>
      <c r="W2" s="466"/>
      <c r="X2" s="466"/>
      <c r="Y2" s="466"/>
      <c r="Z2" s="466"/>
      <c r="AA2" s="467"/>
    </row>
    <row r="3" spans="1:27" ht="15.75" customHeight="1">
      <c r="A3" s="474"/>
      <c r="B3" s="477"/>
      <c r="C3" s="469"/>
      <c r="D3" s="469"/>
      <c r="E3" s="469"/>
      <c r="F3" s="468" t="s">
        <v>8</v>
      </c>
      <c r="G3" s="468" t="s">
        <v>77</v>
      </c>
      <c r="H3" s="468" t="s">
        <v>78</v>
      </c>
      <c r="I3" s="491"/>
      <c r="J3" s="493" t="s">
        <v>74</v>
      </c>
      <c r="K3" s="493" t="s">
        <v>75</v>
      </c>
      <c r="L3" s="493" t="s">
        <v>76</v>
      </c>
      <c r="M3" s="471" t="s">
        <v>75</v>
      </c>
      <c r="N3" s="471" t="s">
        <v>76</v>
      </c>
      <c r="P3" s="690" t="s">
        <v>87</v>
      </c>
      <c r="Q3" s="690" t="s">
        <v>84</v>
      </c>
      <c r="R3" s="690" t="s">
        <v>85</v>
      </c>
      <c r="S3" s="465" t="s">
        <v>360</v>
      </c>
      <c r="T3" s="466"/>
      <c r="U3" s="467"/>
      <c r="V3" s="465" t="s">
        <v>377</v>
      </c>
      <c r="W3" s="466"/>
      <c r="X3" s="467"/>
      <c r="Y3" s="465" t="s">
        <v>381</v>
      </c>
      <c r="Z3" s="466"/>
      <c r="AA3" s="467"/>
    </row>
    <row r="4" spans="1:27" ht="15.75" customHeight="1">
      <c r="A4" s="475"/>
      <c r="B4" s="478"/>
      <c r="C4" s="470"/>
      <c r="D4" s="470"/>
      <c r="E4" s="470"/>
      <c r="F4" s="470"/>
      <c r="G4" s="470"/>
      <c r="H4" s="470"/>
      <c r="I4" s="492"/>
      <c r="J4" s="494"/>
      <c r="K4" s="494"/>
      <c r="L4" s="494"/>
      <c r="M4" s="472"/>
      <c r="N4" s="472"/>
      <c r="P4" s="691"/>
      <c r="Q4" s="691"/>
      <c r="R4" s="691"/>
      <c r="S4" s="331" t="s">
        <v>87</v>
      </c>
      <c r="T4" s="332" t="s">
        <v>84</v>
      </c>
      <c r="U4" s="332" t="s">
        <v>85</v>
      </c>
      <c r="V4" s="331" t="s">
        <v>87</v>
      </c>
      <c r="W4" s="332" t="s">
        <v>84</v>
      </c>
      <c r="X4" s="332" t="s">
        <v>85</v>
      </c>
      <c r="Y4" s="331" t="s">
        <v>87</v>
      </c>
      <c r="Z4" s="332" t="s">
        <v>84</v>
      </c>
      <c r="AA4" s="332" t="s">
        <v>85</v>
      </c>
    </row>
    <row r="5" spans="1:27" ht="15" customHeight="1">
      <c r="A5" s="10" t="s">
        <v>0</v>
      </c>
      <c r="B5" s="11" t="s">
        <v>3</v>
      </c>
      <c r="C5" s="12">
        <v>2800</v>
      </c>
      <c r="D5" s="19">
        <v>3.85</v>
      </c>
      <c r="E5" s="19">
        <v>10.78</v>
      </c>
      <c r="F5" s="12">
        <v>390</v>
      </c>
      <c r="G5" s="12">
        <v>11</v>
      </c>
      <c r="H5" s="12">
        <v>10</v>
      </c>
      <c r="I5" s="12">
        <v>0.03</v>
      </c>
      <c r="J5" s="12">
        <v>0.3</v>
      </c>
      <c r="K5" s="57">
        <v>0.5</v>
      </c>
      <c r="L5" s="57">
        <v>1.1000000000000001</v>
      </c>
      <c r="M5" s="58">
        <v>3.1</v>
      </c>
      <c r="N5" s="12">
        <v>6.2</v>
      </c>
      <c r="P5" s="692">
        <f>$M5+'hp. 1.0'!$M$10*10^-3</f>
        <v>3.10000075</v>
      </c>
      <c r="Q5" s="692">
        <f>TRUNC(E5/P5,2)</f>
        <v>3.47</v>
      </c>
      <c r="R5" s="693">
        <f>TRUNC(Q5*'hp. 1.0'!$D$3)</f>
        <v>208</v>
      </c>
      <c r="S5" s="333">
        <f>$M5+hp.2.0!$AS$16*10^-3</f>
        <v>3.1000548270000001</v>
      </c>
      <c r="T5" s="333">
        <f>TRUNC($E5/S5,2)</f>
        <v>3.47</v>
      </c>
      <c r="U5" s="336">
        <f>FLOOR(TRUNC(CONVERT(T5,"hr","mn"))*hp.2.0!$D$16,1)</f>
        <v>416</v>
      </c>
      <c r="V5" s="333">
        <f>$M5+hp.2.0!$AS$17*10^-3</f>
        <v>3.1189704950000001</v>
      </c>
      <c r="W5" s="333">
        <f>TRUNC($E5/V5,2)</f>
        <v>3.45</v>
      </c>
      <c r="X5" s="341">
        <f>FLOOR(TRUNC(CONVERT(W5,"hr","mn"))*hp.2.0!$D$17,1)</f>
        <v>414</v>
      </c>
      <c r="Y5" s="333">
        <f>$M5+hp.2.0!$AS$18*10^-3</f>
        <v>3.1485516389999999</v>
      </c>
      <c r="Z5" s="333">
        <f>TRUNC($E5/Y5,2)</f>
        <v>3.42</v>
      </c>
      <c r="AA5" s="336">
        <f>FLOOR(TRUNC(CONVERT(Z5,"hr","mn"))*hp.2.0!$D$18,1)</f>
        <v>410</v>
      </c>
    </row>
    <row r="6" spans="1:27" ht="15.75" customHeight="1">
      <c r="A6" s="13" t="s">
        <v>5</v>
      </c>
      <c r="B6" s="14" t="s">
        <v>3</v>
      </c>
      <c r="C6" s="15">
        <v>2600</v>
      </c>
      <c r="D6" s="14">
        <v>3.8</v>
      </c>
      <c r="E6" s="14">
        <v>9.8800000000000008</v>
      </c>
      <c r="F6" s="15">
        <v>350</v>
      </c>
      <c r="G6" s="15">
        <v>8</v>
      </c>
      <c r="H6" s="15">
        <v>8</v>
      </c>
      <c r="I6" s="15"/>
      <c r="J6" s="15">
        <v>0.4</v>
      </c>
      <c r="K6" s="57">
        <v>0.8</v>
      </c>
      <c r="L6" s="57">
        <v>1.2</v>
      </c>
      <c r="M6" s="57">
        <v>3.2</v>
      </c>
      <c r="N6" s="15">
        <v>5.0999999999999996</v>
      </c>
      <c r="P6" s="694">
        <f>$M6+'hp. 1.0'!$M$10*10^-3</f>
        <v>3.2000007500000001</v>
      </c>
      <c r="Q6" s="694">
        <f t="shared" ref="Q6:Q16" si="0">TRUNC(E6/P6,2)</f>
        <v>3.08</v>
      </c>
      <c r="R6" s="695">
        <f>TRUNC(Q6*'hp. 1.0'!$D$3)</f>
        <v>184</v>
      </c>
      <c r="S6" s="334">
        <f>$M6+hp.2.0!$AS$16*10^-3</f>
        <v>3.2000548270000002</v>
      </c>
      <c r="T6" s="334">
        <f>TRUNC($E6/S6,2)</f>
        <v>3.08</v>
      </c>
      <c r="U6" s="337">
        <f>FLOOR(TRUNC(CONVERT(T6,"hr","mn"))*hp.2.0!$D$16,1)</f>
        <v>368</v>
      </c>
      <c r="V6" s="334">
        <f>$M6+hp.2.0!$AS$17*10^-3</f>
        <v>3.2189704950000002</v>
      </c>
      <c r="W6" s="334">
        <f>TRUNC($E6/V6,2)</f>
        <v>3.06</v>
      </c>
      <c r="X6" s="340">
        <f>FLOOR(TRUNC(CONVERT(W6,"hr","mn"))*hp.2.0!$D$17,1)</f>
        <v>366</v>
      </c>
      <c r="Y6" s="334">
        <f>$M6+hp.2.0!$AS$18*10^-3</f>
        <v>3.248551639</v>
      </c>
      <c r="Z6" s="334">
        <f>TRUNC($E6/Y6,2)</f>
        <v>3.04</v>
      </c>
      <c r="AA6" s="337">
        <f>FLOOR(TRUNC(CONVERT(Z6,"hr","mn"))*hp.2.0!$D$18,1)</f>
        <v>364</v>
      </c>
    </row>
    <row r="7" spans="1:27" ht="15" customHeight="1">
      <c r="A7" s="16" t="s">
        <v>86</v>
      </c>
      <c r="B7" s="17" t="s">
        <v>3</v>
      </c>
      <c r="C7" s="18">
        <v>2100</v>
      </c>
      <c r="D7" s="17">
        <v>3.8</v>
      </c>
      <c r="E7" s="17">
        <v>7.98</v>
      </c>
      <c r="F7" s="18">
        <v>460</v>
      </c>
      <c r="G7" s="18">
        <v>7</v>
      </c>
      <c r="H7" s="15">
        <v>9</v>
      </c>
      <c r="I7" s="15"/>
      <c r="J7" s="15">
        <v>1.2</v>
      </c>
      <c r="K7" s="57">
        <v>1.4</v>
      </c>
      <c r="L7" s="57">
        <v>1.5</v>
      </c>
      <c r="M7" s="62">
        <v>3.3</v>
      </c>
      <c r="N7" s="18">
        <v>3.4</v>
      </c>
      <c r="P7" s="696">
        <f>$M7+'hp. 1.0'!$M$10*10^-3</f>
        <v>3.3000007499999997</v>
      </c>
      <c r="Q7" s="696">
        <f t="shared" si="0"/>
        <v>2.41</v>
      </c>
      <c r="R7" s="697">
        <f>TRUNC(Q7*'hp. 1.0'!$D$3)</f>
        <v>144</v>
      </c>
      <c r="S7" s="335">
        <f>$M7+hp.2.0!$AS$16*10^-3</f>
        <v>3.3000548269999999</v>
      </c>
      <c r="T7" s="335">
        <f>TRUNC($E7/S7,2)</f>
        <v>2.41</v>
      </c>
      <c r="U7" s="338">
        <f>FLOOR(TRUNC(CONVERT(T7,"hr","mn"))*hp.2.0!$D$16,1)</f>
        <v>288</v>
      </c>
      <c r="V7" s="335">
        <f>$M7+hp.2.0!$AS$17*10^-3</f>
        <v>3.3189704949999999</v>
      </c>
      <c r="W7" s="335">
        <f>TRUNC($E7/V7,2)</f>
        <v>2.4</v>
      </c>
      <c r="X7" s="342">
        <f>FLOOR(TRUNC(CONVERT(W7,"hr","mn"))*hp.2.0!$D$17,1)</f>
        <v>288</v>
      </c>
      <c r="Y7" s="335">
        <f>$M7+hp.2.0!$AS$18*10^-3</f>
        <v>3.3485516389999996</v>
      </c>
      <c r="Z7" s="335">
        <f>TRUNC($E7/Y7,2)</f>
        <v>2.38</v>
      </c>
      <c r="AA7" s="338">
        <f>FLOOR(TRUNC(CONVERT(Z7,"hr","mn"))*hp.2.0!$D$18,1)</f>
        <v>284</v>
      </c>
    </row>
    <row r="8" spans="1:27">
      <c r="A8" s="4" t="s">
        <v>6</v>
      </c>
      <c r="B8" s="9" t="s">
        <v>3</v>
      </c>
      <c r="C8" s="6">
        <v>3000</v>
      </c>
      <c r="D8" s="1">
        <v>3.8</v>
      </c>
      <c r="E8" s="1">
        <v>11.4</v>
      </c>
      <c r="F8" s="6">
        <v>100</v>
      </c>
      <c r="G8" s="6"/>
      <c r="H8" s="6"/>
      <c r="I8" s="6"/>
      <c r="J8" s="6">
        <v>0.6</v>
      </c>
      <c r="K8" s="60">
        <v>1.8</v>
      </c>
      <c r="L8" s="6">
        <v>2.2999999999999998</v>
      </c>
      <c r="M8" s="60">
        <v>4.4000000000000004</v>
      </c>
      <c r="N8" s="6">
        <v>9.1</v>
      </c>
      <c r="P8" s="692">
        <f>$M8+'hp. 1.0'!$M$10*10^-3</f>
        <v>4.4000007500000002</v>
      </c>
      <c r="Q8" s="692">
        <f t="shared" si="0"/>
        <v>2.59</v>
      </c>
      <c r="R8" s="693">
        <f>TRUNC(Q8*'hp. 1.0'!$D$3)</f>
        <v>155</v>
      </c>
      <c r="S8" s="333">
        <f>$M8+hp.2.0!$AS$16*10^-3</f>
        <v>4.4000548269999999</v>
      </c>
      <c r="T8" s="333">
        <f>TRUNC($E8/S8,2)</f>
        <v>2.59</v>
      </c>
      <c r="U8" s="336">
        <f>FLOOR(TRUNC(CONVERT(T8,"hr","mn"))*hp.2.0!$D$16,1)</f>
        <v>310</v>
      </c>
      <c r="V8" s="333">
        <f>$M8+hp.2.0!$AS$17*10^-3</f>
        <v>4.4189704949999999</v>
      </c>
      <c r="W8" s="333">
        <f>TRUNC($E8/V8,2)</f>
        <v>2.57</v>
      </c>
      <c r="X8" s="341">
        <f>FLOOR(TRUNC(CONVERT(W8,"hr","mn"))*hp.2.0!$D$17,1)</f>
        <v>308</v>
      </c>
      <c r="Y8" s="333">
        <f>$M8+hp.2.0!$AS$18*10^-3</f>
        <v>4.4485516390000006</v>
      </c>
      <c r="Z8" s="333">
        <f>TRUNC($E8/Y8,2)</f>
        <v>2.56</v>
      </c>
      <c r="AA8" s="336">
        <f>FLOOR(TRUNC(CONVERT(Z8,"hr","mn"))*hp.2.0!$D$18,1)</f>
        <v>306</v>
      </c>
    </row>
    <row r="9" spans="1:27" ht="15" customHeight="1">
      <c r="A9" s="5" t="s">
        <v>7</v>
      </c>
      <c r="B9" s="7" t="s">
        <v>3</v>
      </c>
      <c r="C9" s="8">
        <v>3000</v>
      </c>
      <c r="D9" s="3">
        <v>3.8</v>
      </c>
      <c r="E9" s="3">
        <v>11.4</v>
      </c>
      <c r="F9" s="8">
        <v>100</v>
      </c>
      <c r="G9" s="8"/>
      <c r="H9" s="8"/>
      <c r="I9" s="8"/>
      <c r="J9" s="8">
        <v>0.4</v>
      </c>
      <c r="K9" s="63">
        <v>1.1000000000000001</v>
      </c>
      <c r="L9" s="8">
        <v>1.4</v>
      </c>
      <c r="M9" s="63">
        <v>3.8</v>
      </c>
      <c r="N9" s="8">
        <v>4.8</v>
      </c>
      <c r="P9" s="696">
        <f>$M9+'hp. 1.0'!$M$10*10^-3</f>
        <v>3.8000007499999997</v>
      </c>
      <c r="Q9" s="696">
        <f t="shared" si="0"/>
        <v>2.99</v>
      </c>
      <c r="R9" s="697">
        <f>TRUNC(Q9*'hp. 1.0'!$D$3)</f>
        <v>179</v>
      </c>
      <c r="S9" s="335">
        <f>$M9+hp.2.0!$AS$16*10^-3</f>
        <v>3.8000548269999999</v>
      </c>
      <c r="T9" s="335">
        <f>TRUNC($E9/S9,2)</f>
        <v>2.99</v>
      </c>
      <c r="U9" s="338">
        <f>FLOOR(TRUNC(CONVERT(T9,"hr","mn"))*hp.2.0!$D$16,1)</f>
        <v>358</v>
      </c>
      <c r="V9" s="335">
        <f>$M9+hp.2.0!$AS$17*10^-3</f>
        <v>3.8189704949999999</v>
      </c>
      <c r="W9" s="335">
        <f>TRUNC($E9/V9,2)</f>
        <v>2.98</v>
      </c>
      <c r="X9" s="342">
        <f>FLOOR(TRUNC(CONVERT(W9,"hr","mn"))*hp.2.0!$D$17,1)</f>
        <v>356</v>
      </c>
      <c r="Y9" s="335">
        <f>$M9+hp.2.0!$AS$18*10^-3</f>
        <v>3.8485516389999996</v>
      </c>
      <c r="Z9" s="335">
        <f>TRUNC($E9/Y9,2)</f>
        <v>2.96</v>
      </c>
      <c r="AA9" s="338">
        <f>FLOOR(TRUNC(CONVERT(Z9,"hr","mn"))*hp.2.0!$D$18,1)</f>
        <v>354</v>
      </c>
    </row>
    <row r="10" spans="1:27" ht="15" customHeight="1">
      <c r="A10" s="10" t="s">
        <v>362</v>
      </c>
      <c r="B10" s="19" t="s">
        <v>3</v>
      </c>
      <c r="C10" s="12">
        <v>2915</v>
      </c>
      <c r="D10" s="12">
        <v>3.8</v>
      </c>
      <c r="E10" s="12">
        <v>11.1</v>
      </c>
      <c r="F10" s="12">
        <v>384</v>
      </c>
      <c r="G10" s="12">
        <v>12</v>
      </c>
      <c r="H10" s="12"/>
      <c r="I10" s="12"/>
      <c r="J10" s="12">
        <v>0.5</v>
      </c>
      <c r="K10" s="58">
        <v>2.1</v>
      </c>
      <c r="L10" s="12">
        <v>2.5</v>
      </c>
      <c r="M10" s="58">
        <v>3.5</v>
      </c>
      <c r="N10" s="12">
        <v>3.8</v>
      </c>
      <c r="P10" s="692">
        <f>$M10+'hp. 1.0'!$M$10*10^-3</f>
        <v>3.5000007499999999</v>
      </c>
      <c r="Q10" s="692">
        <f t="shared" si="0"/>
        <v>3.17</v>
      </c>
      <c r="R10" s="693">
        <f>TRUNC(Q10*'hp. 1.0'!$D$3)</f>
        <v>190</v>
      </c>
      <c r="S10" s="333">
        <f>$M10+hp.2.0!$AS$16*10^-3</f>
        <v>3.500054827</v>
      </c>
      <c r="T10" s="333">
        <f>TRUNC($E10/S10,2)</f>
        <v>3.17</v>
      </c>
      <c r="U10" s="336">
        <f>FLOOR(TRUNC(CONVERT(T10,"hr","mn"))*hp.2.0!$D$16,1)</f>
        <v>380</v>
      </c>
      <c r="V10" s="333">
        <f>$M10+hp.2.0!$AS$17*10^-3</f>
        <v>3.518970495</v>
      </c>
      <c r="W10" s="333">
        <f>TRUNC($E10/V10,2)</f>
        <v>3.15</v>
      </c>
      <c r="X10" s="341">
        <f>FLOOR(TRUNC(CONVERT(W10,"hr","mn"))*hp.2.0!$D$17,1)</f>
        <v>378</v>
      </c>
      <c r="Y10" s="333">
        <f>$M10+hp.2.0!$AS$18*10^-3</f>
        <v>3.5485516389999998</v>
      </c>
      <c r="Z10" s="333">
        <f>TRUNC($E10/Y10,2)</f>
        <v>3.12</v>
      </c>
      <c r="AA10" s="336">
        <f>FLOOR(TRUNC(CONVERT(Z10,"hr","mn"))*hp.2.0!$D$18,1)</f>
        <v>374</v>
      </c>
    </row>
    <row r="11" spans="1:27" ht="15" customHeight="1">
      <c r="A11" s="13" t="s">
        <v>363</v>
      </c>
      <c r="B11" s="14" t="s">
        <v>3</v>
      </c>
      <c r="C11" s="15">
        <v>1810</v>
      </c>
      <c r="D11" s="15">
        <v>3.81</v>
      </c>
      <c r="E11" s="15">
        <v>6.91</v>
      </c>
      <c r="F11" s="15">
        <v>250</v>
      </c>
      <c r="G11" s="15">
        <v>10</v>
      </c>
      <c r="H11" s="15"/>
      <c r="I11" s="15"/>
      <c r="J11" s="15">
        <v>0.3</v>
      </c>
      <c r="K11" s="57">
        <v>1.5</v>
      </c>
      <c r="L11" s="15">
        <v>2</v>
      </c>
      <c r="M11" s="57">
        <v>3.1</v>
      </c>
      <c r="N11" s="15">
        <v>5.2</v>
      </c>
      <c r="P11" s="694">
        <f>$M11+'hp. 1.0'!$M$10*10^-3</f>
        <v>3.10000075</v>
      </c>
      <c r="Q11" s="694">
        <f t="shared" si="0"/>
        <v>2.2200000000000002</v>
      </c>
      <c r="R11" s="695">
        <f>TRUNC(Q11*'hp. 1.0'!$D$3)</f>
        <v>133</v>
      </c>
      <c r="S11" s="334">
        <f>$M11+hp.2.0!$AS$16*10^-3</f>
        <v>3.1000548270000001</v>
      </c>
      <c r="T11" s="334">
        <f>TRUNC($E11/S11,2)</f>
        <v>2.2200000000000002</v>
      </c>
      <c r="U11" s="337">
        <f>FLOOR(TRUNC(CONVERT(T11,"hr","mn"))*hp.2.0!$D$16,1)</f>
        <v>266</v>
      </c>
      <c r="V11" s="334">
        <f>$M11+hp.2.0!$AS$17*10^-3</f>
        <v>3.1189704950000001</v>
      </c>
      <c r="W11" s="334">
        <f>TRUNC($E11/V11,2)</f>
        <v>2.21</v>
      </c>
      <c r="X11" s="340">
        <f>FLOOR(TRUNC(CONVERT(W11,"hr","mn"))*hp.2.0!$D$17,1)</f>
        <v>264</v>
      </c>
      <c r="Y11" s="334">
        <f>$M11+hp.2.0!$AS$18*10^-3</f>
        <v>3.1485516389999999</v>
      </c>
      <c r="Z11" s="334">
        <f>TRUNC($E11/Y11,2)</f>
        <v>2.19</v>
      </c>
      <c r="AA11" s="337">
        <f>FLOOR(TRUNC(CONVERT(Z11,"hr","mn"))*hp.2.0!$D$18,1)</f>
        <v>262</v>
      </c>
    </row>
    <row r="12" spans="1:27" ht="15" customHeight="1">
      <c r="A12" s="13" t="s">
        <v>9</v>
      </c>
      <c r="B12" s="14" t="s">
        <v>3</v>
      </c>
      <c r="C12" s="15">
        <v>1440</v>
      </c>
      <c r="D12" s="15">
        <v>3.8</v>
      </c>
      <c r="E12" s="15">
        <v>5.45</v>
      </c>
      <c r="F12" s="15">
        <v>225</v>
      </c>
      <c r="G12" s="15"/>
      <c r="H12" s="15"/>
      <c r="I12" s="15"/>
      <c r="J12" s="15">
        <v>0.4</v>
      </c>
      <c r="K12" s="57">
        <v>1.2</v>
      </c>
      <c r="L12" s="15">
        <v>1.4</v>
      </c>
      <c r="M12" s="57">
        <v>2.2000000000000002</v>
      </c>
      <c r="N12" s="15">
        <v>2.9</v>
      </c>
      <c r="P12" s="696">
        <f>$M12+'hp. 1.0'!$M$10*10^-3</f>
        <v>2.2000007500000001</v>
      </c>
      <c r="Q12" s="696">
        <f t="shared" si="0"/>
        <v>2.4700000000000002</v>
      </c>
      <c r="R12" s="697">
        <f>TRUNC(Q12*'hp. 1.0'!$D$3)</f>
        <v>148</v>
      </c>
      <c r="S12" s="335">
        <f>$M12+hp.2.0!$AS$16*10^-3</f>
        <v>2.2000548270000002</v>
      </c>
      <c r="T12" s="335">
        <f>TRUNC($E12/S12,2)</f>
        <v>2.4700000000000002</v>
      </c>
      <c r="U12" s="338">
        <f>FLOOR(TRUNC(CONVERT(T12,"hr","mn"))*hp.2.0!$D$16,1)</f>
        <v>296</v>
      </c>
      <c r="V12" s="335">
        <f>$M12+hp.2.0!$AS$17*10^-3</f>
        <v>2.2189704950000002</v>
      </c>
      <c r="W12" s="335">
        <f>TRUNC($E12/V12,2)</f>
        <v>2.4500000000000002</v>
      </c>
      <c r="X12" s="342">
        <f>FLOOR(TRUNC(CONVERT(W12,"hr","mn"))*hp.2.0!$D$17,1)</f>
        <v>294</v>
      </c>
      <c r="Y12" s="335">
        <f>$M12+hp.2.0!$AS$18*10^-3</f>
        <v>2.248551639</v>
      </c>
      <c r="Z12" s="335">
        <f>TRUNC($E12/Y12,2)</f>
        <v>2.42</v>
      </c>
      <c r="AA12" s="338">
        <f>FLOOR(TRUNC(CONVERT(Z12,"hr","mn"))*hp.2.0!$D$18,1)</f>
        <v>290</v>
      </c>
    </row>
    <row r="13" spans="1:27" ht="15" customHeight="1">
      <c r="A13" s="4" t="s">
        <v>14</v>
      </c>
      <c r="B13" s="9" t="s">
        <v>3</v>
      </c>
      <c r="C13" s="9">
        <v>2300</v>
      </c>
      <c r="D13" s="9">
        <v>3.5</v>
      </c>
      <c r="E13" s="9">
        <v>8</v>
      </c>
      <c r="F13" s="6">
        <v>300</v>
      </c>
      <c r="G13" s="6"/>
      <c r="H13" s="6"/>
      <c r="I13" s="6"/>
      <c r="J13" s="6">
        <v>0.3</v>
      </c>
      <c r="K13" s="60">
        <v>0.8</v>
      </c>
      <c r="L13" s="6">
        <v>1</v>
      </c>
      <c r="M13" s="60">
        <v>4.3</v>
      </c>
      <c r="N13" s="6">
        <v>8.4</v>
      </c>
      <c r="P13" s="692">
        <f>$M13+'hp. 1.0'!$M$10*10^-3</f>
        <v>4.3000007499999997</v>
      </c>
      <c r="Q13" s="692">
        <f t="shared" si="0"/>
        <v>1.86</v>
      </c>
      <c r="R13" s="693">
        <f>TRUNC(Q13*'hp. 1.0'!$D$3)</f>
        <v>111</v>
      </c>
      <c r="S13" s="333">
        <f>$M13+hp.2.0!$AS$16*10^-3</f>
        <v>4.3000548269999994</v>
      </c>
      <c r="T13" s="333">
        <f>TRUNC($E13/S13,2)</f>
        <v>1.86</v>
      </c>
      <c r="U13" s="336">
        <f>FLOOR(TRUNC(CONVERT(T13,"hr","mn"))*hp.2.0!$D$16,1)</f>
        <v>222</v>
      </c>
      <c r="V13" s="333">
        <f>$M13+hp.2.0!$AS$17*10^-3</f>
        <v>4.3189704949999994</v>
      </c>
      <c r="W13" s="333">
        <f>TRUNC($E13/V13,2)</f>
        <v>1.85</v>
      </c>
      <c r="X13" s="341">
        <f>FLOOR(TRUNC(CONVERT(W13,"hr","mn"))*hp.2.0!$D$17,1)</f>
        <v>222</v>
      </c>
      <c r="Y13" s="333">
        <f>$M13+hp.2.0!$AS$18*10^-3</f>
        <v>4.3485516390000001</v>
      </c>
      <c r="Z13" s="333">
        <f>TRUNC($E13/Y13,2)</f>
        <v>1.83</v>
      </c>
      <c r="AA13" s="336">
        <f>FLOOR(TRUNC(CONVERT(Z13,"hr","mn"))*hp.2.0!$D$18,1)</f>
        <v>218</v>
      </c>
    </row>
    <row r="14" spans="1:27" ht="15" customHeight="1">
      <c r="A14" s="2" t="s">
        <v>15</v>
      </c>
      <c r="B14" s="3" t="s">
        <v>17</v>
      </c>
      <c r="C14" s="3">
        <v>3220</v>
      </c>
      <c r="D14" s="3">
        <v>3.8</v>
      </c>
      <c r="E14" s="3">
        <v>12.2</v>
      </c>
      <c r="F14" s="3" t="s">
        <v>16</v>
      </c>
      <c r="G14" s="3"/>
      <c r="H14" s="3"/>
      <c r="I14" s="3">
        <v>0.1</v>
      </c>
      <c r="J14" s="3">
        <v>1.2</v>
      </c>
      <c r="K14" s="61">
        <v>15</v>
      </c>
      <c r="L14" s="3">
        <v>1.7</v>
      </c>
      <c r="M14" s="61">
        <v>4.8</v>
      </c>
      <c r="N14" s="3">
        <v>10.9</v>
      </c>
      <c r="P14" s="696">
        <f>$M14+'hp. 1.0'!$M$10*10^-3</f>
        <v>4.8000007499999997</v>
      </c>
      <c r="Q14" s="696">
        <f t="shared" si="0"/>
        <v>2.54</v>
      </c>
      <c r="R14" s="697">
        <f>TRUNC(Q14*'hp. 1.0'!$D$3)</f>
        <v>152</v>
      </c>
      <c r="S14" s="335">
        <f>$M14+hp.2.0!$AS$16*10^-3</f>
        <v>4.8000548269999994</v>
      </c>
      <c r="T14" s="335">
        <f>TRUNC($E14/S14,2)</f>
        <v>2.54</v>
      </c>
      <c r="U14" s="338">
        <f>FLOOR(TRUNC(CONVERT(T14,"hr","mn"))*hp.2.0!$D$16,1)</f>
        <v>304</v>
      </c>
      <c r="V14" s="335">
        <f>$M14+hp.2.0!$AS$17*10^-3</f>
        <v>4.8189704949999994</v>
      </c>
      <c r="W14" s="335">
        <f>TRUNC($E14/V14,2)</f>
        <v>2.5299999999999998</v>
      </c>
      <c r="X14" s="342">
        <f>FLOOR(TRUNC(CONVERT(W14,"hr","mn"))*hp.2.0!$D$17,1)</f>
        <v>302</v>
      </c>
      <c r="Y14" s="335">
        <f>$M14+hp.2.0!$AS$18*10^-3</f>
        <v>4.8485516390000001</v>
      </c>
      <c r="Z14" s="335">
        <f>TRUNC($E14/Y14,2)</f>
        <v>2.5099999999999998</v>
      </c>
      <c r="AA14" s="338">
        <f>FLOOR(TRUNC(CONVERT(Z14,"hr","mn"))*hp.2.0!$D$18,1)</f>
        <v>300</v>
      </c>
    </row>
    <row r="15" spans="1:27">
      <c r="A15" s="10" t="s">
        <v>361</v>
      </c>
      <c r="B15" s="19" t="s">
        <v>3</v>
      </c>
      <c r="C15" s="12">
        <v>2420</v>
      </c>
      <c r="D15" s="19">
        <v>3.8</v>
      </c>
      <c r="E15" s="19">
        <v>9.1999999999999993</v>
      </c>
      <c r="F15" s="24">
        <v>384</v>
      </c>
      <c r="G15" s="12">
        <v>16</v>
      </c>
      <c r="H15" s="12"/>
      <c r="I15" s="12"/>
      <c r="J15" s="12">
        <v>1</v>
      </c>
      <c r="K15" s="58">
        <v>1.1000000000000001</v>
      </c>
      <c r="L15" s="12">
        <v>1.4</v>
      </c>
      <c r="M15" s="58">
        <v>3.8</v>
      </c>
      <c r="N15" s="12">
        <v>6.5</v>
      </c>
      <c r="P15" s="694">
        <f>$M15+'hp. 1.0'!$M$10*10^-3</f>
        <v>3.8000007499999997</v>
      </c>
      <c r="Q15" s="694">
        <f t="shared" si="0"/>
        <v>2.42</v>
      </c>
      <c r="R15" s="695">
        <f>TRUNC(Q15*'hp. 1.0'!$D$3)</f>
        <v>145</v>
      </c>
      <c r="S15" s="334">
        <f>$M15+hp.2.0!$AS$16*10^-3</f>
        <v>3.8000548269999999</v>
      </c>
      <c r="T15" s="334">
        <f>TRUNC($E15/S15,2)</f>
        <v>2.42</v>
      </c>
      <c r="U15" s="337">
        <f>FLOOR(TRUNC(CONVERT(T15,"hr","mn"))*hp.2.0!$D$16,1)</f>
        <v>290</v>
      </c>
      <c r="V15" s="334">
        <f>$M15+hp.2.0!$AS$17*10^-3</f>
        <v>3.8189704949999999</v>
      </c>
      <c r="W15" s="334">
        <f>TRUNC($E15/V15,2)</f>
        <v>2.4</v>
      </c>
      <c r="X15" s="340">
        <f>FLOOR(TRUNC(CONVERT(W15,"hr","mn"))*hp.2.0!$D$17,1)</f>
        <v>288</v>
      </c>
      <c r="Y15" s="334">
        <f>$M15+hp.2.0!$AS$18*10^-3</f>
        <v>3.8485516389999996</v>
      </c>
      <c r="Z15" s="334">
        <f>TRUNC($E15/Y15,2)</f>
        <v>2.39</v>
      </c>
      <c r="AA15" s="337">
        <f>FLOOR(TRUNC(CONVERT(Z15,"hr","mn"))*hp.2.0!$D$18,1)</f>
        <v>286</v>
      </c>
    </row>
    <row r="16" spans="1:27">
      <c r="A16" s="16" t="s">
        <v>31</v>
      </c>
      <c r="B16" s="22" t="s">
        <v>3</v>
      </c>
      <c r="C16" s="18">
        <v>2000</v>
      </c>
      <c r="D16" s="17">
        <v>3.8</v>
      </c>
      <c r="E16" s="17">
        <v>7.6</v>
      </c>
      <c r="F16" s="23">
        <v>350</v>
      </c>
      <c r="G16" s="17"/>
      <c r="H16" s="17"/>
      <c r="I16" s="17"/>
      <c r="J16" s="17">
        <v>1.5</v>
      </c>
      <c r="K16" s="59">
        <v>2.2000000000000002</v>
      </c>
      <c r="L16" s="17">
        <v>2.5</v>
      </c>
      <c r="M16" s="59">
        <v>3.4</v>
      </c>
      <c r="N16" s="17">
        <v>4.7</v>
      </c>
      <c r="P16" s="696">
        <f>$M16+'hp. 1.0'!$M$10*10^-3</f>
        <v>3.4000007499999998</v>
      </c>
      <c r="Q16" s="696">
        <f t="shared" si="0"/>
        <v>2.23</v>
      </c>
      <c r="R16" s="697">
        <f>TRUNC(Q16*'hp. 1.0'!$D$3)</f>
        <v>133</v>
      </c>
      <c r="S16" s="335">
        <f>$M16+hp.2.0!$AS$16*10^-3</f>
        <v>3.4000548269999999</v>
      </c>
      <c r="T16" s="335">
        <f>TRUNC($E16/S16,2)</f>
        <v>2.23</v>
      </c>
      <c r="U16" s="338">
        <f>FLOOR(TRUNC(CONVERT(T16,"hr","mn"))*hp.2.0!$D$16,1)</f>
        <v>266</v>
      </c>
      <c r="V16" s="335">
        <f>$M16+hp.2.0!$AS$17*10^-3</f>
        <v>3.4189704949999999</v>
      </c>
      <c r="W16" s="335">
        <f>TRUNC($E16/V16,2)</f>
        <v>2.2200000000000002</v>
      </c>
      <c r="X16" s="342">
        <f>FLOOR(TRUNC(CONVERT(W16,"hr","mn"))*hp.2.0!$D$17,1)</f>
        <v>266</v>
      </c>
      <c r="Y16" s="335">
        <f>$M16+hp.2.0!$AS$18*10^-3</f>
        <v>3.4485516389999997</v>
      </c>
      <c r="Z16" s="335">
        <f>TRUNC($E16/Y16,2)</f>
        <v>2.2000000000000002</v>
      </c>
      <c r="AA16" s="338">
        <f>FLOOR(TRUNC(CONVERT(Z16,"hr","mn"))*hp.2.0!$D$18,1)</f>
        <v>264</v>
      </c>
    </row>
    <row r="17" spans="10:27">
      <c r="S17" s="672" t="s">
        <v>384</v>
      </c>
      <c r="T17" s="673"/>
      <c r="U17" s="673"/>
      <c r="V17" s="673"/>
      <c r="W17" s="673"/>
      <c r="X17" s="673"/>
      <c r="Y17" s="673"/>
      <c r="Z17" s="673"/>
      <c r="AA17" s="674"/>
    </row>
    <row r="18" spans="10:27">
      <c r="S18" s="672" t="s">
        <v>381</v>
      </c>
      <c r="T18" s="673"/>
      <c r="U18" s="674"/>
      <c r="V18" s="672"/>
      <c r="W18" s="673"/>
      <c r="X18" s="674"/>
      <c r="Y18" s="672"/>
      <c r="Z18" s="673"/>
      <c r="AA18" s="674"/>
    </row>
    <row r="19" spans="10:27">
      <c r="J19" s="27"/>
      <c r="S19" s="675" t="s">
        <v>87</v>
      </c>
      <c r="T19" s="676" t="s">
        <v>84</v>
      </c>
      <c r="U19" s="676" t="s">
        <v>85</v>
      </c>
      <c r="V19" s="677"/>
      <c r="W19" s="676"/>
      <c r="X19" s="676"/>
      <c r="Y19" s="677"/>
      <c r="Z19" s="676"/>
      <c r="AA19" s="676"/>
    </row>
    <row r="20" spans="10:27">
      <c r="J20" s="27"/>
      <c r="S20" s="678">
        <f>$M5+hp.3.0!$AS$12*10^-3</f>
        <v>3.4665648744500004</v>
      </c>
      <c r="T20" s="678">
        <f>TRUNC($E5/S20,2)</f>
        <v>3.1</v>
      </c>
      <c r="U20" s="679">
        <f>FLOOR(TRUNC(CONVERT(T20,"hr","mn")/15)*hp.3.0!$D$12,1)</f>
        <v>1800</v>
      </c>
      <c r="V20" s="678"/>
      <c r="W20" s="678"/>
      <c r="X20" s="680"/>
      <c r="Y20" s="678"/>
      <c r="Z20" s="678"/>
      <c r="AA20" s="679"/>
    </row>
    <row r="21" spans="10:27">
      <c r="S21" s="681">
        <f>$M6+hp.3.0!$AS$12*10^-3</f>
        <v>3.56656487445</v>
      </c>
      <c r="T21" s="681">
        <f t="shared" ref="T21:T31" si="1">TRUNC($E6/S21,2)</f>
        <v>2.77</v>
      </c>
      <c r="U21" s="682">
        <f>FLOOR(TRUNC(CONVERT(T21,"hr","mn")/15)*hp.3.0!$D$12,1)</f>
        <v>1650</v>
      </c>
      <c r="V21" s="681"/>
      <c r="W21" s="681"/>
      <c r="X21" s="683"/>
      <c r="Y21" s="681"/>
      <c r="Z21" s="681"/>
      <c r="AA21" s="682"/>
    </row>
    <row r="22" spans="10:27">
      <c r="S22" s="684">
        <f>$M7+hp.3.0!$AS$12*10^-3</f>
        <v>3.6665648744499997</v>
      </c>
      <c r="T22" s="684">
        <f t="shared" si="1"/>
        <v>2.17</v>
      </c>
      <c r="U22" s="685">
        <f>FLOOR(TRUNC(CONVERT(T22,"hr","mn")/15)*hp.3.0!$D$12,1)</f>
        <v>1200</v>
      </c>
      <c r="V22" s="684"/>
      <c r="W22" s="684"/>
      <c r="X22" s="686"/>
      <c r="Y22" s="684"/>
      <c r="Z22" s="684"/>
      <c r="AA22" s="685"/>
    </row>
    <row r="23" spans="10:27">
      <c r="S23" s="678">
        <f>$M8+hp.3.0!$AS$12*10^-3</f>
        <v>4.7665648744500002</v>
      </c>
      <c r="T23" s="678">
        <f t="shared" si="1"/>
        <v>2.39</v>
      </c>
      <c r="U23" s="679">
        <f>FLOOR(TRUNC(CONVERT(T23,"hr","mn")/15)*hp.3.0!$D$12,1)</f>
        <v>1350</v>
      </c>
      <c r="V23" s="678"/>
      <c r="W23" s="678"/>
      <c r="X23" s="680"/>
      <c r="Y23" s="678"/>
      <c r="Z23" s="678"/>
      <c r="AA23" s="679"/>
    </row>
    <row r="24" spans="10:27">
      <c r="S24" s="684">
        <f>$M9+hp.3.0!$AS$12*10^-3</f>
        <v>4.1665648744499997</v>
      </c>
      <c r="T24" s="684">
        <f t="shared" si="1"/>
        <v>2.73</v>
      </c>
      <c r="U24" s="685">
        <f>FLOOR(TRUNC(CONVERT(T24,"hr","mn")/15)*hp.3.0!$D$12,1)</f>
        <v>1500</v>
      </c>
      <c r="V24" s="684"/>
      <c r="W24" s="684"/>
      <c r="X24" s="686"/>
      <c r="Y24" s="684"/>
      <c r="Z24" s="684"/>
      <c r="AA24" s="685"/>
    </row>
    <row r="25" spans="10:27">
      <c r="S25" s="678">
        <f>$M10+hp.3.0!$AS$12*10^-3</f>
        <v>3.8665648744499999</v>
      </c>
      <c r="T25" s="678">
        <f t="shared" si="1"/>
        <v>2.87</v>
      </c>
      <c r="U25" s="679">
        <f>FLOOR(TRUNC(CONVERT(T25,"hr","mn")/15)*hp.3.0!$D$12,1)</f>
        <v>1650</v>
      </c>
      <c r="V25" s="678"/>
      <c r="W25" s="678"/>
      <c r="X25" s="680"/>
      <c r="Y25" s="678"/>
      <c r="Z25" s="678"/>
      <c r="AA25" s="679"/>
    </row>
    <row r="26" spans="10:27">
      <c r="S26" s="681">
        <f>$M11+hp.3.0!$AS$12*10^-3</f>
        <v>3.4665648744500004</v>
      </c>
      <c r="T26" s="681">
        <f t="shared" si="1"/>
        <v>1.99</v>
      </c>
      <c r="U26" s="682">
        <f>FLOOR(TRUNC(CONVERT(T26,"hr","mn")/15)*hp.3.0!$D$12,1)</f>
        <v>1050</v>
      </c>
      <c r="V26" s="681"/>
      <c r="W26" s="681"/>
      <c r="X26" s="683"/>
      <c r="Y26" s="681"/>
      <c r="Z26" s="681"/>
      <c r="AA26" s="682"/>
    </row>
    <row r="27" spans="10:27">
      <c r="S27" s="684">
        <f>$M12+hp.3.0!$AS$12*10^-3</f>
        <v>2.56656487445</v>
      </c>
      <c r="T27" s="684">
        <f t="shared" si="1"/>
        <v>2.12</v>
      </c>
      <c r="U27" s="685">
        <f>FLOOR(TRUNC(CONVERT(T27,"hr","mn")/15)*hp.3.0!$D$12,1)</f>
        <v>1200</v>
      </c>
      <c r="V27" s="684"/>
      <c r="W27" s="684"/>
      <c r="X27" s="686"/>
      <c r="Y27" s="684"/>
      <c r="Z27" s="684"/>
      <c r="AA27" s="685"/>
    </row>
    <row r="28" spans="10:27">
      <c r="S28" s="678">
        <f>$M13+hp.3.0!$AS$12*10^-3</f>
        <v>4.6665648744499997</v>
      </c>
      <c r="T28" s="678">
        <f t="shared" si="1"/>
        <v>1.71</v>
      </c>
      <c r="U28" s="679">
        <f>FLOOR(TRUNC(CONVERT(T28,"hr","mn")/15)*hp.3.0!$D$12,1)</f>
        <v>900</v>
      </c>
      <c r="V28" s="678"/>
      <c r="W28" s="678"/>
      <c r="X28" s="680"/>
      <c r="Y28" s="678"/>
      <c r="Z28" s="678"/>
      <c r="AA28" s="679"/>
    </row>
    <row r="29" spans="10:27">
      <c r="S29" s="684">
        <f>$M14+hp.3.0!$AS$12*10^-3</f>
        <v>5.1665648744499997</v>
      </c>
      <c r="T29" s="684">
        <f t="shared" si="1"/>
        <v>2.36</v>
      </c>
      <c r="U29" s="685">
        <f>FLOOR(TRUNC(CONVERT(T29,"hr","mn")/15)*hp.3.0!$D$12,1)</f>
        <v>1350</v>
      </c>
      <c r="V29" s="684"/>
      <c r="W29" s="684"/>
      <c r="X29" s="686"/>
      <c r="Y29" s="684"/>
      <c r="Z29" s="684"/>
      <c r="AA29" s="685"/>
    </row>
    <row r="30" spans="10:27">
      <c r="S30" s="681">
        <f>$M15+hp.3.0!$AS$12*10^-3</f>
        <v>4.1665648744499997</v>
      </c>
      <c r="T30" s="681">
        <f t="shared" si="1"/>
        <v>2.2000000000000002</v>
      </c>
      <c r="U30" s="682">
        <f>FLOOR(TRUNC(CONVERT(T30,"hr","mn")/15)*hp.3.0!$D$12,1)</f>
        <v>1200</v>
      </c>
      <c r="V30" s="681"/>
      <c r="W30" s="681"/>
      <c r="X30" s="683"/>
      <c r="Y30" s="681"/>
      <c r="Z30" s="681"/>
      <c r="AA30" s="682"/>
    </row>
    <row r="31" spans="10:27">
      <c r="S31" s="684">
        <f>$M16+hp.3.0!$AS$12*10^-3</f>
        <v>3.7665648744500002</v>
      </c>
      <c r="T31" s="684">
        <f t="shared" si="1"/>
        <v>2.0099999999999998</v>
      </c>
      <c r="U31" s="685">
        <f>FLOOR(TRUNC(CONVERT(T31,"hr","mn")/15)*hp.3.0!$D$12,1)</f>
        <v>1200</v>
      </c>
      <c r="V31" s="684"/>
      <c r="W31" s="684"/>
      <c r="X31" s="686"/>
      <c r="Y31" s="684"/>
      <c r="Z31" s="684"/>
      <c r="AA31" s="685"/>
    </row>
  </sheetData>
  <mergeCells count="32">
    <mergeCell ref="V3:X3"/>
    <mergeCell ref="Y3:AA3"/>
    <mergeCell ref="S2:AA2"/>
    <mergeCell ref="S17:AA17"/>
    <mergeCell ref="S18:U18"/>
    <mergeCell ref="V18:X18"/>
    <mergeCell ref="Y18:AA18"/>
    <mergeCell ref="M3:M4"/>
    <mergeCell ref="N3:N4"/>
    <mergeCell ref="P3:P4"/>
    <mergeCell ref="Q3:Q4"/>
    <mergeCell ref="A1:A4"/>
    <mergeCell ref="B1:B4"/>
    <mergeCell ref="C1:H1"/>
    <mergeCell ref="J2:L2"/>
    <mergeCell ref="M2:N2"/>
    <mergeCell ref="I1:N1"/>
    <mergeCell ref="H3:H4"/>
    <mergeCell ref="I2:I4"/>
    <mergeCell ref="J3:J4"/>
    <mergeCell ref="K3:K4"/>
    <mergeCell ref="L3:L4"/>
    <mergeCell ref="F2:H2"/>
    <mergeCell ref="C2:C4"/>
    <mergeCell ref="D2:D4"/>
    <mergeCell ref="E2:E4"/>
    <mergeCell ref="F3:F4"/>
    <mergeCell ref="G3:G4"/>
    <mergeCell ref="R3:R4"/>
    <mergeCell ref="S3:U3"/>
    <mergeCell ref="P2:R2"/>
    <mergeCell ref="P1:AA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codeName="Foglio4"/>
  <dimension ref="B1:Z30"/>
  <sheetViews>
    <sheetView workbookViewId="0">
      <selection activeCell="M30" sqref="M30"/>
    </sheetView>
  </sheetViews>
  <sheetFormatPr defaultRowHeight="15"/>
  <cols>
    <col min="1" max="1" width="9.5703125" bestFit="1" customWidth="1"/>
    <col min="17" max="17" width="12.5703125" customWidth="1"/>
    <col min="20" max="20" width="1.7109375" bestFit="1" customWidth="1"/>
    <col min="21" max="21" width="3" bestFit="1" customWidth="1"/>
    <col min="22" max="22" width="3.42578125" bestFit="1" customWidth="1"/>
    <col min="23" max="23" width="6.85546875" customWidth="1"/>
    <col min="24" max="24" width="3.42578125" bestFit="1" customWidth="1"/>
    <col min="25" max="25" width="5.140625" customWidth="1"/>
  </cols>
  <sheetData>
    <row r="1" spans="2:26" ht="21.75" thickBot="1">
      <c r="E1" s="106" t="s">
        <v>269</v>
      </c>
      <c r="S1" s="503" t="s">
        <v>142</v>
      </c>
      <c r="T1" s="504"/>
      <c r="U1" s="504"/>
      <c r="V1" s="504"/>
      <c r="W1" s="505"/>
    </row>
    <row r="3" spans="2:26">
      <c r="D3" s="219" t="s">
        <v>244</v>
      </c>
      <c r="E3" s="219" t="s">
        <v>245</v>
      </c>
      <c r="F3" s="219"/>
      <c r="G3" s="485" t="s">
        <v>246</v>
      </c>
      <c r="H3" s="514"/>
      <c r="I3" s="486"/>
      <c r="J3" s="219" t="s">
        <v>247</v>
      </c>
      <c r="S3" s="498" t="s">
        <v>145</v>
      </c>
      <c r="T3" s="499"/>
      <c r="U3" s="499"/>
      <c r="V3" s="500"/>
      <c r="W3" s="498" t="s">
        <v>146</v>
      </c>
      <c r="X3" s="500"/>
    </row>
    <row r="4" spans="2:26">
      <c r="D4" s="64" t="s">
        <v>248</v>
      </c>
      <c r="E4" s="64" t="s">
        <v>249</v>
      </c>
      <c r="F4" s="64"/>
      <c r="G4" s="511" t="s">
        <v>251</v>
      </c>
      <c r="H4" s="512"/>
      <c r="I4" s="513"/>
      <c r="J4" s="64" t="s">
        <v>250</v>
      </c>
      <c r="S4" s="43">
        <v>140</v>
      </c>
      <c r="T4" s="128" t="s">
        <v>130</v>
      </c>
      <c r="U4" s="128">
        <v>8</v>
      </c>
      <c r="V4" s="97" t="s">
        <v>144</v>
      </c>
      <c r="W4" s="43">
        <f>S4*U4</f>
        <v>1120</v>
      </c>
      <c r="X4" s="97" t="s">
        <v>144</v>
      </c>
      <c r="Y4">
        <f>W4/8</f>
        <v>140</v>
      </c>
      <c r="Z4" t="s">
        <v>126</v>
      </c>
    </row>
    <row r="5" spans="2:26">
      <c r="R5" t="s">
        <v>143</v>
      </c>
      <c r="S5" s="98">
        <v>160</v>
      </c>
      <c r="T5" s="93" t="s">
        <v>130</v>
      </c>
      <c r="U5" s="93">
        <v>7</v>
      </c>
      <c r="V5" s="90" t="s">
        <v>144</v>
      </c>
      <c r="W5" s="98">
        <f>S5*U5</f>
        <v>1120</v>
      </c>
      <c r="X5" s="90" t="s">
        <v>144</v>
      </c>
      <c r="Y5">
        <f>W5/8</f>
        <v>140</v>
      </c>
      <c r="Z5" t="s">
        <v>126</v>
      </c>
    </row>
    <row r="6" spans="2:26">
      <c r="D6" s="239" t="s">
        <v>252</v>
      </c>
      <c r="E6">
        <v>80</v>
      </c>
      <c r="F6" t="s">
        <v>144</v>
      </c>
      <c r="S6" s="99">
        <v>70</v>
      </c>
      <c r="T6" s="91" t="s">
        <v>130</v>
      </c>
      <c r="U6" s="91">
        <v>16</v>
      </c>
      <c r="V6" s="92" t="s">
        <v>144</v>
      </c>
      <c r="W6" s="99">
        <f>S6*U6</f>
        <v>1120</v>
      </c>
      <c r="X6" s="92" t="s">
        <v>144</v>
      </c>
      <c r="Y6">
        <f>W6/8</f>
        <v>140</v>
      </c>
      <c r="Z6" t="s">
        <v>126</v>
      </c>
    </row>
    <row r="7" spans="2:26">
      <c r="D7" t="s">
        <v>253</v>
      </c>
      <c r="E7">
        <v>376</v>
      </c>
      <c r="F7" t="s">
        <v>144</v>
      </c>
    </row>
    <row r="10" spans="2:26">
      <c r="N10">
        <f>IF(M10="",1,IF(AND(MOD(M10,10)=0,M10&gt;='Tab. Intervals'!H17,M10&lt;=('Tab. Intervals'!K17*1000)),2,0))</f>
        <v>1</v>
      </c>
    </row>
    <row r="11" spans="2:26" ht="18.75">
      <c r="C11" s="238" t="s">
        <v>270</v>
      </c>
      <c r="J11" s="238" t="s">
        <v>274</v>
      </c>
    </row>
    <row r="13" spans="2:26">
      <c r="B13" s="224" t="s">
        <v>254</v>
      </c>
      <c r="C13" s="517" t="s">
        <v>256</v>
      </c>
      <c r="D13" s="517"/>
      <c r="E13" s="517"/>
      <c r="F13" s="517"/>
      <c r="G13" s="517"/>
      <c r="I13" s="242" t="s">
        <v>254</v>
      </c>
      <c r="J13" s="508" t="s">
        <v>256</v>
      </c>
      <c r="K13" s="508"/>
      <c r="L13" s="508"/>
      <c r="M13" s="509"/>
      <c r="N13" s="515" t="s">
        <v>275</v>
      </c>
      <c r="O13" s="516"/>
    </row>
    <row r="14" spans="2:26">
      <c r="B14" s="64" t="s">
        <v>255</v>
      </c>
      <c r="C14" s="510" t="s">
        <v>257</v>
      </c>
      <c r="D14" s="510"/>
      <c r="E14" s="510"/>
      <c r="F14" s="510"/>
      <c r="G14" s="510"/>
      <c r="I14" s="64" t="s">
        <v>255</v>
      </c>
      <c r="J14" s="510"/>
      <c r="K14" s="510"/>
      <c r="L14" s="510"/>
      <c r="M14" s="511"/>
      <c r="N14" s="506" t="s">
        <v>249</v>
      </c>
      <c r="O14" s="507"/>
    </row>
    <row r="16" spans="2:26" ht="15.75">
      <c r="B16" s="237" t="s">
        <v>258</v>
      </c>
      <c r="I16" s="237" t="s">
        <v>276</v>
      </c>
    </row>
    <row r="17" spans="2:17">
      <c r="B17" s="241" t="s">
        <v>259</v>
      </c>
      <c r="C17" s="241" t="s">
        <v>260</v>
      </c>
      <c r="D17" s="241" t="s">
        <v>261</v>
      </c>
      <c r="E17" s="241" t="s">
        <v>262</v>
      </c>
      <c r="F17" s="241" t="s">
        <v>263</v>
      </c>
      <c r="G17" s="241" t="s">
        <v>260</v>
      </c>
      <c r="I17" s="219" t="s">
        <v>277</v>
      </c>
      <c r="J17" s="219" t="s">
        <v>278</v>
      </c>
      <c r="K17" s="219" t="s">
        <v>279</v>
      </c>
      <c r="L17" s="219" t="s">
        <v>280</v>
      </c>
      <c r="M17" s="219" t="s">
        <v>260</v>
      </c>
      <c r="N17" s="219" t="s">
        <v>263</v>
      </c>
      <c r="O17" s="219" t="s">
        <v>260</v>
      </c>
    </row>
    <row r="18" spans="2:17">
      <c r="B18" s="64" t="s">
        <v>264</v>
      </c>
      <c r="C18" s="64" t="s">
        <v>265</v>
      </c>
      <c r="D18" s="64" t="s">
        <v>266</v>
      </c>
      <c r="E18" s="64" t="s">
        <v>266</v>
      </c>
      <c r="F18" s="64" t="s">
        <v>267</v>
      </c>
      <c r="G18" s="64" t="s">
        <v>268</v>
      </c>
      <c r="I18" s="122" t="s">
        <v>265</v>
      </c>
      <c r="J18" s="122" t="s">
        <v>266</v>
      </c>
      <c r="K18" s="122" t="s">
        <v>266</v>
      </c>
      <c r="L18" s="122" t="s">
        <v>266</v>
      </c>
      <c r="M18" s="122" t="s">
        <v>281</v>
      </c>
      <c r="N18" s="122" t="s">
        <v>282</v>
      </c>
      <c r="O18" s="122" t="s">
        <v>281</v>
      </c>
    </row>
    <row r="20" spans="2:17">
      <c r="B20" t="s">
        <v>271</v>
      </c>
      <c r="I20" t="s">
        <v>283</v>
      </c>
      <c r="Q20" s="501" t="s">
        <v>312</v>
      </c>
    </row>
    <row r="21" spans="2:17">
      <c r="B21" t="s">
        <v>328</v>
      </c>
      <c r="I21" t="s">
        <v>284</v>
      </c>
      <c r="Q21" s="502"/>
    </row>
    <row r="22" spans="2:17" ht="15.75">
      <c r="B22" t="s">
        <v>273</v>
      </c>
      <c r="I22" s="243" t="s">
        <v>285</v>
      </c>
      <c r="Q22" s="246">
        <v>27</v>
      </c>
    </row>
    <row r="23" spans="2:17">
      <c r="B23" t="s">
        <v>272</v>
      </c>
    </row>
    <row r="24" spans="2:17">
      <c r="I24" t="s">
        <v>286</v>
      </c>
    </row>
    <row r="26" spans="2:17">
      <c r="E26" s="20" t="s">
        <v>314</v>
      </c>
      <c r="F26" s="285" t="s">
        <v>315</v>
      </c>
      <c r="L26" s="20" t="s">
        <v>314</v>
      </c>
      <c r="M26" s="285" t="s">
        <v>315</v>
      </c>
      <c r="Q26" t="s">
        <v>347</v>
      </c>
    </row>
    <row r="27" spans="2:17">
      <c r="B27" s="288" t="s">
        <v>329</v>
      </c>
      <c r="C27" s="278"/>
      <c r="D27" s="234"/>
      <c r="E27" s="236">
        <v>128</v>
      </c>
      <c r="F27" s="232">
        <f>E27/(hp.2.0!$B$4*10^6)</f>
        <v>1.2799999999999999E-4</v>
      </c>
      <c r="I27" s="240" t="s">
        <v>308</v>
      </c>
      <c r="J27" s="279" t="s">
        <v>310</v>
      </c>
      <c r="K27" s="280"/>
      <c r="L27" s="236">
        <v>80</v>
      </c>
      <c r="M27" s="232">
        <f>L27/(hp.2.0!$B$4*10^6)</f>
        <v>8.0000000000000007E-5</v>
      </c>
      <c r="Q27" t="s">
        <v>348</v>
      </c>
    </row>
    <row r="28" spans="2:17">
      <c r="B28" s="288" t="s">
        <v>326</v>
      </c>
      <c r="C28" s="278"/>
      <c r="D28" s="234"/>
      <c r="E28" s="236">
        <v>176</v>
      </c>
      <c r="F28" s="232">
        <f>E28/(hp.2.0!$B$4*10^6)</f>
        <v>1.76E-4</v>
      </c>
      <c r="I28" s="240" t="s">
        <v>309</v>
      </c>
      <c r="J28" s="281"/>
      <c r="K28" s="282"/>
      <c r="L28" s="236">
        <v>80</v>
      </c>
      <c r="M28" s="232">
        <f>L28/(hp.2.0!$B$4*10^6)</f>
        <v>8.0000000000000007E-5</v>
      </c>
      <c r="Q28" t="s">
        <v>349</v>
      </c>
    </row>
    <row r="29" spans="2:17">
      <c r="B29" s="288" t="s">
        <v>327</v>
      </c>
      <c r="C29" s="278"/>
      <c r="D29" s="234"/>
      <c r="E29" s="26">
        <v>352</v>
      </c>
      <c r="F29" s="236">
        <f>E29/(hp.2.0!$B$4*10^6)</f>
        <v>3.5199999999999999E-4</v>
      </c>
      <c r="I29" s="283" t="s">
        <v>311</v>
      </c>
      <c r="J29" s="284"/>
      <c r="K29" s="278"/>
      <c r="L29" s="26">
        <v>96</v>
      </c>
      <c r="M29" s="232">
        <f>L29/(hp.2.0!$B$4*10^6)</f>
        <v>9.6000000000000002E-5</v>
      </c>
    </row>
    <row r="30" spans="2:17">
      <c r="I30" s="286" t="s">
        <v>316</v>
      </c>
      <c r="J30" s="278"/>
      <c r="K30" s="234"/>
      <c r="L30" s="26">
        <f>Q22*8</f>
        <v>216</v>
      </c>
      <c r="M30" s="236">
        <f>L30/(hp.2.0!$B$4*10^6)</f>
        <v>2.1599999999999999E-4</v>
      </c>
      <c r="Q30" t="s">
        <v>350</v>
      </c>
    </row>
  </sheetData>
  <mergeCells count="12">
    <mergeCell ref="J13:M13"/>
    <mergeCell ref="J14:M14"/>
    <mergeCell ref="G4:I4"/>
    <mergeCell ref="G3:I3"/>
    <mergeCell ref="N13:O13"/>
    <mergeCell ref="C13:G13"/>
    <mergeCell ref="C14:G14"/>
    <mergeCell ref="S3:V3"/>
    <mergeCell ref="W3:X3"/>
    <mergeCell ref="Q20:Q21"/>
    <mergeCell ref="S1:W1"/>
    <mergeCell ref="N14:O14"/>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sheetPr codeName="Foglio3"/>
  <dimension ref="A1:R25"/>
  <sheetViews>
    <sheetView topLeftCell="B7" workbookViewId="0">
      <selection activeCell="H14" sqref="H14"/>
    </sheetView>
  </sheetViews>
  <sheetFormatPr defaultRowHeight="15"/>
  <cols>
    <col min="1" max="1" width="24.5703125" customWidth="1"/>
    <col min="2" max="2" width="21.5703125" customWidth="1"/>
    <col min="3" max="3" width="57" style="130" bestFit="1" customWidth="1"/>
    <col min="4" max="4" width="23.5703125" style="130" bestFit="1" customWidth="1"/>
    <col min="5" max="5" width="5.85546875" style="130" customWidth="1"/>
    <col min="6" max="6" width="3.5703125" style="130" bestFit="1" customWidth="1"/>
    <col min="7" max="7" width="3.42578125" style="132" customWidth="1"/>
    <col min="8" max="8" width="5" style="132" bestFit="1" customWidth="1"/>
    <col min="9" max="9" width="3.5703125" style="131" bestFit="1" customWidth="1"/>
    <col min="10" max="10" width="1.7109375" style="130" bestFit="1" customWidth="1"/>
    <col min="11" max="11" width="6.28515625" style="132" customWidth="1"/>
    <col min="12" max="12" width="3.5703125" style="131" bestFit="1" customWidth="1"/>
    <col min="13" max="13" width="3.28515625" style="131" customWidth="1"/>
    <col min="14" max="14" width="2" style="131" customWidth="1"/>
    <col min="15" max="15" width="7.85546875" style="130" customWidth="1"/>
    <col min="16" max="16" width="5.85546875" style="130" customWidth="1"/>
    <col min="17" max="17" width="59" customWidth="1"/>
    <col min="18" max="18" width="8.42578125" style="276" customWidth="1"/>
  </cols>
  <sheetData>
    <row r="1" spans="1:18" ht="21">
      <c r="A1" s="129" t="s">
        <v>242</v>
      </c>
      <c r="B1" s="129"/>
      <c r="C1" s="134"/>
      <c r="E1" s="134"/>
      <c r="F1" s="134"/>
      <c r="G1" s="135"/>
      <c r="H1" s="135"/>
      <c r="I1" s="136"/>
      <c r="J1" s="134"/>
      <c r="K1" s="135"/>
      <c r="L1" s="136"/>
      <c r="M1" s="136"/>
      <c r="N1" s="136"/>
      <c r="O1" s="134"/>
      <c r="P1" s="134"/>
      <c r="Q1" s="137" t="s">
        <v>372</v>
      </c>
    </row>
    <row r="2" spans="1:18" ht="15.75" thickBot="1"/>
    <row r="3" spans="1:18" ht="18.75">
      <c r="A3" s="534" t="s">
        <v>147</v>
      </c>
      <c r="B3" s="534" t="s">
        <v>169</v>
      </c>
      <c r="C3" s="534" t="s">
        <v>157</v>
      </c>
      <c r="D3" s="536" t="s">
        <v>148</v>
      </c>
      <c r="E3" s="551" t="s">
        <v>149</v>
      </c>
      <c r="F3" s="552"/>
      <c r="G3" s="552"/>
      <c r="H3" s="552"/>
      <c r="I3" s="552"/>
      <c r="J3" s="552"/>
      <c r="K3" s="552"/>
      <c r="L3" s="552"/>
      <c r="M3" s="552"/>
      <c r="N3" s="552"/>
      <c r="O3" s="552"/>
      <c r="P3" s="553"/>
      <c r="Q3" s="534" t="s">
        <v>150</v>
      </c>
      <c r="R3" s="537" t="s">
        <v>156</v>
      </c>
    </row>
    <row r="4" spans="1:18" ht="19.5" thickBot="1">
      <c r="A4" s="535"/>
      <c r="B4" s="535"/>
      <c r="C4" s="535"/>
      <c r="D4" s="535"/>
      <c r="E4" s="540" t="s">
        <v>163</v>
      </c>
      <c r="F4" s="541"/>
      <c r="G4" s="215"/>
      <c r="H4" s="539" t="s">
        <v>164</v>
      </c>
      <c r="I4" s="539"/>
      <c r="J4" s="539"/>
      <c r="K4" s="539"/>
      <c r="L4" s="539"/>
      <c r="M4" s="216"/>
      <c r="N4" s="548" t="s">
        <v>151</v>
      </c>
      <c r="O4" s="549"/>
      <c r="P4" s="550"/>
      <c r="Q4" s="535"/>
      <c r="R4" s="538"/>
    </row>
    <row r="5" spans="1:18" ht="30.75" thickBot="1">
      <c r="A5" s="157" t="s">
        <v>178</v>
      </c>
      <c r="B5" s="158"/>
      <c r="C5" s="159"/>
      <c r="D5" s="160" t="s">
        <v>152</v>
      </c>
      <c r="E5" s="161"/>
      <c r="F5" s="162"/>
      <c r="G5" s="163"/>
      <c r="H5" s="164"/>
      <c r="I5" s="165"/>
      <c r="J5" s="162"/>
      <c r="K5" s="164"/>
      <c r="L5" s="165"/>
      <c r="M5" s="166"/>
      <c r="N5" s="165"/>
      <c r="O5" s="167">
        <v>150</v>
      </c>
      <c r="P5" s="168" t="s">
        <v>154</v>
      </c>
      <c r="Q5" s="169" t="s">
        <v>153</v>
      </c>
      <c r="R5" s="170">
        <v>2219</v>
      </c>
    </row>
    <row r="6" spans="1:18" ht="30">
      <c r="A6" s="532" t="s">
        <v>177</v>
      </c>
      <c r="B6" s="545" t="s">
        <v>155</v>
      </c>
      <c r="C6" s="545" t="s">
        <v>162</v>
      </c>
      <c r="D6" s="179" t="s">
        <v>161</v>
      </c>
      <c r="E6" s="180"/>
      <c r="F6" s="181"/>
      <c r="G6" s="182"/>
      <c r="H6" s="183"/>
      <c r="I6" s="184"/>
      <c r="J6" s="185"/>
      <c r="K6" s="183"/>
      <c r="L6" s="184"/>
      <c r="M6" s="184"/>
      <c r="N6" s="186"/>
      <c r="O6" s="185"/>
      <c r="P6" s="187"/>
      <c r="Q6" s="188" t="s">
        <v>159</v>
      </c>
      <c r="R6" s="542">
        <v>2223</v>
      </c>
    </row>
    <row r="7" spans="1:18" ht="15" customHeight="1">
      <c r="A7" s="533"/>
      <c r="B7" s="546"/>
      <c r="C7" s="546"/>
      <c r="D7" s="189" t="s">
        <v>160</v>
      </c>
      <c r="E7" s="190">
        <v>0.625</v>
      </c>
      <c r="F7" s="191" t="s">
        <v>59</v>
      </c>
      <c r="G7" s="190" t="s">
        <v>165</v>
      </c>
      <c r="H7" s="192">
        <v>20</v>
      </c>
      <c r="I7" s="193" t="s">
        <v>59</v>
      </c>
      <c r="J7" s="194" t="s">
        <v>130</v>
      </c>
      <c r="K7" s="192">
        <v>10.24</v>
      </c>
      <c r="L7" s="193" t="s">
        <v>158</v>
      </c>
      <c r="M7" s="193" t="s">
        <v>166</v>
      </c>
      <c r="N7" s="195"/>
      <c r="O7" s="194"/>
      <c r="P7" s="196"/>
      <c r="Q7" s="197" t="s">
        <v>167</v>
      </c>
      <c r="R7" s="543"/>
    </row>
    <row r="8" spans="1:18" ht="15" customHeight="1">
      <c r="A8" s="533"/>
      <c r="B8" s="547"/>
      <c r="C8" s="547"/>
      <c r="D8" s="189" t="s">
        <v>297</v>
      </c>
      <c r="E8" s="198"/>
      <c r="F8" s="191"/>
      <c r="G8" s="190" t="s">
        <v>165</v>
      </c>
      <c r="H8" s="192">
        <v>0</v>
      </c>
      <c r="I8" s="193" t="s">
        <v>59</v>
      </c>
      <c r="J8" s="194" t="s">
        <v>130</v>
      </c>
      <c r="K8" s="192">
        <v>10</v>
      </c>
      <c r="L8" s="193" t="s">
        <v>59</v>
      </c>
      <c r="M8" s="193" t="s">
        <v>166</v>
      </c>
      <c r="N8" s="195"/>
      <c r="O8" s="194"/>
      <c r="P8" s="196"/>
      <c r="Q8" s="197" t="s">
        <v>168</v>
      </c>
      <c r="R8" s="544"/>
    </row>
    <row r="9" spans="1:18" ht="27.75" customHeight="1">
      <c r="A9" s="533"/>
      <c r="B9" s="199"/>
      <c r="C9" s="200"/>
      <c r="D9" s="200"/>
      <c r="E9" s="201"/>
      <c r="F9" s="201"/>
      <c r="G9" s="202"/>
      <c r="H9" s="202"/>
      <c r="I9" s="203"/>
      <c r="J9" s="201"/>
      <c r="K9" s="202"/>
      <c r="L9" s="203"/>
      <c r="M9" s="203"/>
      <c r="N9" s="203"/>
      <c r="O9" s="201"/>
      <c r="P9" s="204"/>
      <c r="Q9" s="205"/>
      <c r="R9" s="206"/>
    </row>
    <row r="10" spans="1:18" ht="45">
      <c r="A10" s="533"/>
      <c r="B10" s="207" t="s">
        <v>171</v>
      </c>
      <c r="C10" s="208" t="s">
        <v>130</v>
      </c>
      <c r="D10" s="189" t="s">
        <v>170</v>
      </c>
      <c r="E10" s="209"/>
      <c r="F10" s="196"/>
      <c r="G10" s="190"/>
      <c r="H10" s="192"/>
      <c r="I10" s="193"/>
      <c r="J10" s="210"/>
      <c r="K10" s="192"/>
      <c r="L10" s="193"/>
      <c r="M10" s="211"/>
      <c r="N10" s="212" t="s">
        <v>172</v>
      </c>
      <c r="O10" s="210">
        <v>10</v>
      </c>
      <c r="P10" s="196" t="s">
        <v>59</v>
      </c>
      <c r="Q10" s="213" t="s">
        <v>175</v>
      </c>
      <c r="R10" s="214">
        <v>2223</v>
      </c>
    </row>
    <row r="11" spans="1:18" ht="60.75" thickBot="1">
      <c r="A11" s="533"/>
      <c r="B11" s="253" t="s">
        <v>173</v>
      </c>
      <c r="C11" s="254"/>
      <c r="D11" s="255" t="s">
        <v>174</v>
      </c>
      <c r="E11" s="256"/>
      <c r="F11" s="257"/>
      <c r="G11" s="258"/>
      <c r="H11" s="259"/>
      <c r="I11" s="260"/>
      <c r="J11" s="261"/>
      <c r="K11" s="259"/>
      <c r="L11" s="260"/>
      <c r="M11" s="262"/>
      <c r="N11" s="263" t="s">
        <v>172</v>
      </c>
      <c r="O11" s="261">
        <v>3.75</v>
      </c>
      <c r="P11" s="257" t="s">
        <v>59</v>
      </c>
      <c r="Q11" s="264" t="s">
        <v>176</v>
      </c>
      <c r="R11" s="265">
        <v>2225</v>
      </c>
    </row>
    <row r="12" spans="1:18" ht="45">
      <c r="A12" s="521" t="s">
        <v>179</v>
      </c>
      <c r="B12" s="248" t="s">
        <v>199</v>
      </c>
      <c r="C12" s="175"/>
      <c r="D12" s="175"/>
      <c r="E12" s="175"/>
      <c r="F12" s="175"/>
      <c r="G12" s="176"/>
      <c r="H12" s="176"/>
      <c r="I12" s="177"/>
      <c r="J12" s="175"/>
      <c r="K12" s="176"/>
      <c r="L12" s="177"/>
      <c r="M12" s="177"/>
      <c r="N12" s="177"/>
      <c r="O12" s="175"/>
      <c r="P12" s="175"/>
      <c r="Q12" s="178" t="s">
        <v>181</v>
      </c>
      <c r="R12" s="527">
        <v>2232</v>
      </c>
    </row>
    <row r="13" spans="1:18" ht="60">
      <c r="A13" s="522"/>
      <c r="B13" s="249" t="s">
        <v>182</v>
      </c>
      <c r="C13" s="141"/>
      <c r="D13" s="142" t="s">
        <v>180</v>
      </c>
      <c r="E13" s="144">
        <v>1.25</v>
      </c>
      <c r="F13" s="145" t="s">
        <v>59</v>
      </c>
      <c r="G13" s="146" t="s">
        <v>165</v>
      </c>
      <c r="H13" s="147">
        <v>7.5</v>
      </c>
      <c r="I13" s="233" t="s">
        <v>59</v>
      </c>
      <c r="J13" s="148" t="s">
        <v>130</v>
      </c>
      <c r="K13" s="149">
        <v>4</v>
      </c>
      <c r="L13" s="233" t="s">
        <v>158</v>
      </c>
      <c r="M13" s="150" t="s">
        <v>166</v>
      </c>
      <c r="N13" s="151"/>
      <c r="O13" s="148"/>
      <c r="P13" s="145"/>
      <c r="Q13" s="139" t="s">
        <v>185</v>
      </c>
      <c r="R13" s="519"/>
    </row>
    <row r="14" spans="1:18" ht="75">
      <c r="A14" s="522"/>
      <c r="B14" s="250" t="s">
        <v>183</v>
      </c>
      <c r="C14" s="171" t="s">
        <v>201</v>
      </c>
      <c r="D14" s="142" t="s">
        <v>184</v>
      </c>
      <c r="E14" s="144"/>
      <c r="F14" s="145"/>
      <c r="G14" s="146" t="s">
        <v>165</v>
      </c>
      <c r="H14" s="147">
        <v>0</v>
      </c>
      <c r="I14" s="233" t="s">
        <v>59</v>
      </c>
      <c r="J14" s="148" t="s">
        <v>130</v>
      </c>
      <c r="K14" s="233" t="s">
        <v>200</v>
      </c>
      <c r="L14" s="233" t="s">
        <v>158</v>
      </c>
      <c r="M14" s="150" t="s">
        <v>166</v>
      </c>
      <c r="N14" s="151"/>
      <c r="O14" s="148"/>
      <c r="P14" s="145"/>
      <c r="Q14" s="138" t="s">
        <v>186</v>
      </c>
      <c r="R14" s="528"/>
    </row>
    <row r="15" spans="1:18" ht="60">
      <c r="A15" s="522"/>
      <c r="B15" s="249" t="s">
        <v>187</v>
      </c>
      <c r="C15" s="152"/>
      <c r="D15" s="142" t="s">
        <v>188</v>
      </c>
      <c r="E15" s="151"/>
      <c r="F15" s="150"/>
      <c r="G15" s="146" t="s">
        <v>165</v>
      </c>
      <c r="H15" s="529" t="s">
        <v>189</v>
      </c>
      <c r="I15" s="529"/>
      <c r="J15" s="233" t="s">
        <v>130</v>
      </c>
      <c r="K15" s="529" t="s">
        <v>190</v>
      </c>
      <c r="L15" s="529"/>
      <c r="M15" s="150" t="s">
        <v>166</v>
      </c>
      <c r="N15" s="151"/>
      <c r="O15" s="233"/>
      <c r="P15" s="150"/>
      <c r="Q15" s="140" t="s">
        <v>191</v>
      </c>
      <c r="R15" s="518">
        <v>2233</v>
      </c>
    </row>
    <row r="16" spans="1:18" ht="45">
      <c r="A16" s="522"/>
      <c r="B16" s="249" t="s">
        <v>194</v>
      </c>
      <c r="C16" s="143"/>
      <c r="D16" s="142" t="s">
        <v>208</v>
      </c>
      <c r="E16" s="144"/>
      <c r="F16" s="145"/>
      <c r="G16" s="146"/>
      <c r="H16" s="147"/>
      <c r="I16" s="148"/>
      <c r="J16" s="148"/>
      <c r="K16" s="148"/>
      <c r="L16" s="148"/>
      <c r="M16" s="150"/>
      <c r="N16" s="153" t="s">
        <v>172</v>
      </c>
      <c r="O16" s="531" t="s">
        <v>195</v>
      </c>
      <c r="P16" s="530"/>
      <c r="Q16" s="139" t="s">
        <v>196</v>
      </c>
      <c r="R16" s="519"/>
    </row>
    <row r="17" spans="1:18" ht="75">
      <c r="A17" s="522"/>
      <c r="B17" s="250" t="s">
        <v>192</v>
      </c>
      <c r="C17" s="141" t="s">
        <v>202</v>
      </c>
      <c r="D17" s="142" t="s">
        <v>193</v>
      </c>
      <c r="E17" s="144">
        <v>10</v>
      </c>
      <c r="F17" s="145" t="s">
        <v>59</v>
      </c>
      <c r="G17" s="146" t="s">
        <v>165</v>
      </c>
      <c r="H17" s="147">
        <v>100</v>
      </c>
      <c r="I17" s="233" t="s">
        <v>59</v>
      </c>
      <c r="J17" s="148" t="s">
        <v>130</v>
      </c>
      <c r="K17" s="147">
        <v>32</v>
      </c>
      <c r="L17" s="233" t="s">
        <v>158</v>
      </c>
      <c r="M17" s="150" t="s">
        <v>166</v>
      </c>
      <c r="N17" s="151" t="s">
        <v>60</v>
      </c>
      <c r="O17" s="529" t="s">
        <v>197</v>
      </c>
      <c r="P17" s="530"/>
      <c r="Q17" s="154" t="s">
        <v>198</v>
      </c>
      <c r="R17" s="528"/>
    </row>
    <row r="18" spans="1:18">
      <c r="A18" s="522"/>
      <c r="B18" s="155"/>
      <c r="C18" s="155"/>
      <c r="D18" s="155"/>
      <c r="E18" s="155"/>
      <c r="F18" s="155"/>
      <c r="G18" s="133"/>
      <c r="H18" s="133"/>
      <c r="I18" s="156"/>
      <c r="J18" s="155"/>
      <c r="K18" s="133"/>
      <c r="L18" s="156"/>
      <c r="M18" s="156"/>
      <c r="N18" s="156"/>
      <c r="O18" s="155"/>
      <c r="P18" s="155"/>
      <c r="Q18" s="173"/>
      <c r="R18" s="277"/>
    </row>
    <row r="19" spans="1:18" ht="45">
      <c r="A19" s="522"/>
      <c r="B19" s="524" t="s">
        <v>206</v>
      </c>
      <c r="C19" s="251"/>
      <c r="D19" s="142" t="s">
        <v>203</v>
      </c>
      <c r="E19" s="144">
        <v>1.25</v>
      </c>
      <c r="F19" s="145" t="s">
        <v>59</v>
      </c>
      <c r="G19" s="146" t="s">
        <v>165</v>
      </c>
      <c r="H19" s="147">
        <v>0</v>
      </c>
      <c r="I19" s="233" t="s">
        <v>59</v>
      </c>
      <c r="J19" s="148" t="s">
        <v>130</v>
      </c>
      <c r="K19" s="529" t="s">
        <v>180</v>
      </c>
      <c r="L19" s="529"/>
      <c r="M19" s="150" t="s">
        <v>166</v>
      </c>
      <c r="N19" s="151"/>
      <c r="O19" s="148"/>
      <c r="P19" s="145"/>
      <c r="Q19" s="139" t="s">
        <v>204</v>
      </c>
      <c r="R19" s="518">
        <v>2234</v>
      </c>
    </row>
    <row r="20" spans="1:18" ht="45">
      <c r="A20" s="522"/>
      <c r="B20" s="525"/>
      <c r="C20" s="252"/>
      <c r="D20" s="142" t="s">
        <v>306</v>
      </c>
      <c r="E20" s="144">
        <v>1.25</v>
      </c>
      <c r="F20" s="145" t="s">
        <v>59</v>
      </c>
      <c r="G20" s="146" t="s">
        <v>165</v>
      </c>
      <c r="H20" s="147">
        <v>1.25</v>
      </c>
      <c r="I20" s="233" t="s">
        <v>59</v>
      </c>
      <c r="J20" s="148" t="s">
        <v>130</v>
      </c>
      <c r="K20" s="529" t="s">
        <v>290</v>
      </c>
      <c r="L20" s="529"/>
      <c r="M20" s="150" t="s">
        <v>166</v>
      </c>
      <c r="N20" s="151"/>
      <c r="O20" s="148"/>
      <c r="P20" s="145"/>
      <c r="Q20" s="139" t="s">
        <v>205</v>
      </c>
      <c r="R20" s="519"/>
    </row>
    <row r="21" spans="1:18" ht="60">
      <c r="A21" s="522"/>
      <c r="B21" s="525"/>
      <c r="C21" s="173"/>
      <c r="D21" s="173"/>
      <c r="E21" s="173"/>
      <c r="F21" s="173"/>
      <c r="G21" s="173"/>
      <c r="H21" s="173"/>
      <c r="I21" s="173"/>
      <c r="J21" s="173"/>
      <c r="K21" s="173"/>
      <c r="L21" s="173"/>
      <c r="M21" s="173"/>
      <c r="N21" s="173"/>
      <c r="O21" s="173"/>
      <c r="P21" s="173"/>
      <c r="Q21" s="172" t="s">
        <v>207</v>
      </c>
      <c r="R21" s="519"/>
    </row>
    <row r="22" spans="1:18">
      <c r="A22" s="522"/>
      <c r="B22" s="525"/>
      <c r="C22" s="173"/>
      <c r="D22" s="173"/>
      <c r="E22" s="173"/>
      <c r="F22" s="173"/>
      <c r="G22" s="173"/>
      <c r="H22" s="173"/>
      <c r="I22" s="173"/>
      <c r="J22" s="173"/>
      <c r="K22" s="173"/>
      <c r="L22" s="173"/>
      <c r="M22" s="173"/>
      <c r="N22" s="173"/>
      <c r="O22" s="173"/>
      <c r="P22" s="173"/>
      <c r="Q22" s="174"/>
      <c r="R22" s="519"/>
    </row>
    <row r="23" spans="1:18" ht="90">
      <c r="A23" s="522"/>
      <c r="B23" s="525"/>
      <c r="C23" s="173"/>
      <c r="D23" s="173"/>
      <c r="E23" s="173"/>
      <c r="F23" s="173"/>
      <c r="G23" s="173"/>
      <c r="H23" s="173"/>
      <c r="I23" s="173"/>
      <c r="J23" s="173"/>
      <c r="K23" s="173"/>
      <c r="L23" s="173"/>
      <c r="M23" s="173"/>
      <c r="N23" s="173"/>
      <c r="O23" s="173"/>
      <c r="P23" s="173"/>
      <c r="Q23" s="247" t="s">
        <v>209</v>
      </c>
      <c r="R23" s="519"/>
    </row>
    <row r="24" spans="1:18" ht="15.75" thickBot="1">
      <c r="A24" s="523"/>
      <c r="B24" s="526"/>
      <c r="C24" s="266"/>
      <c r="D24" s="267" t="s">
        <v>305</v>
      </c>
      <c r="E24" s="268"/>
      <c r="F24" s="269"/>
      <c r="G24" s="270"/>
      <c r="H24" s="271"/>
      <c r="I24" s="272"/>
      <c r="J24" s="273"/>
      <c r="K24" s="271"/>
      <c r="L24" s="272"/>
      <c r="M24" s="272"/>
      <c r="N24" s="274"/>
      <c r="O24" s="268">
        <v>1.25</v>
      </c>
      <c r="P24" s="269" t="s">
        <v>59</v>
      </c>
      <c r="Q24" s="275" t="s">
        <v>307</v>
      </c>
      <c r="R24" s="520"/>
    </row>
    <row r="25" spans="1:18">
      <c r="A25" s="130"/>
      <c r="B25" s="130"/>
    </row>
  </sheetData>
  <mergeCells count="25">
    <mergeCell ref="A6:A11"/>
    <mergeCell ref="A3:A4"/>
    <mergeCell ref="D3:D4"/>
    <mergeCell ref="Q3:Q4"/>
    <mergeCell ref="R3:R4"/>
    <mergeCell ref="C3:C4"/>
    <mergeCell ref="H4:L4"/>
    <mergeCell ref="E4:F4"/>
    <mergeCell ref="R6:R8"/>
    <mergeCell ref="C6:C8"/>
    <mergeCell ref="B3:B4"/>
    <mergeCell ref="N4:P4"/>
    <mergeCell ref="E3:P3"/>
    <mergeCell ref="B6:B8"/>
    <mergeCell ref="R19:R24"/>
    <mergeCell ref="A12:A24"/>
    <mergeCell ref="B19:B24"/>
    <mergeCell ref="R12:R14"/>
    <mergeCell ref="R15:R17"/>
    <mergeCell ref="O17:P17"/>
    <mergeCell ref="K19:L19"/>
    <mergeCell ref="K20:L20"/>
    <mergeCell ref="H15:I15"/>
    <mergeCell ref="K15:L15"/>
    <mergeCell ref="O16:P16"/>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sheetPr codeName="Foglio2"/>
  <dimension ref="A1:R34"/>
  <sheetViews>
    <sheetView workbookViewId="0">
      <selection activeCell="D3" sqref="D3"/>
    </sheetView>
  </sheetViews>
  <sheetFormatPr defaultRowHeight="15"/>
  <cols>
    <col min="1" max="1" width="18.7109375" customWidth="1"/>
    <col min="3" max="3" width="13.28515625" customWidth="1"/>
    <col min="4" max="4" width="9.42578125" customWidth="1"/>
    <col min="5" max="5" width="10.85546875" customWidth="1"/>
    <col min="6" max="6" width="7.7109375" customWidth="1"/>
    <col min="7" max="7" width="11.28515625" customWidth="1"/>
    <col min="8" max="8" width="11.7109375" customWidth="1"/>
    <col min="9" max="9" width="8.5703125" customWidth="1"/>
    <col min="10" max="10" width="8.7109375" customWidth="1"/>
    <col min="11" max="11" width="9" customWidth="1"/>
    <col min="12" max="12" width="16.42578125" customWidth="1"/>
    <col min="13" max="13" width="13.7109375" customWidth="1"/>
    <col min="14" max="14" width="9.42578125" customWidth="1"/>
  </cols>
  <sheetData>
    <row r="1" spans="1:18" ht="24" thickBot="1">
      <c r="A1" s="569" t="s">
        <v>303</v>
      </c>
      <c r="B1" s="570"/>
      <c r="C1" s="570"/>
      <c r="D1" s="570"/>
      <c r="E1" s="570"/>
      <c r="F1" s="570"/>
      <c r="G1" s="570"/>
      <c r="H1" s="570"/>
      <c r="I1" s="570"/>
      <c r="J1" s="570"/>
      <c r="K1" s="570"/>
      <c r="L1" s="571"/>
    </row>
    <row r="2" spans="1:18">
      <c r="D2" s="98">
        <v>1</v>
      </c>
      <c r="E2" s="90" t="s">
        <v>83</v>
      </c>
      <c r="K2" s="93"/>
    </row>
    <row r="3" spans="1:18">
      <c r="A3" s="102" t="s">
        <v>114</v>
      </c>
      <c r="B3" s="100">
        <f>IF(Bluetooth!$L$12="mW",Bluetooth!$K$12*10^-3,IF(Bluetooth!$L$12="W",Bluetooth!$K$12,"err. U.M."))</f>
        <v>1.4999999999999999E-2</v>
      </c>
      <c r="C3" t="s">
        <v>113</v>
      </c>
      <c r="D3" s="98">
        <f>D2*60</f>
        <v>60</v>
      </c>
      <c r="E3" s="90" t="s">
        <v>82</v>
      </c>
      <c r="K3" s="93"/>
    </row>
    <row r="4" spans="1:18">
      <c r="A4" s="103" t="s">
        <v>119</v>
      </c>
      <c r="B4" s="100">
        <f>Bluetooth!K8</f>
        <v>1</v>
      </c>
      <c r="C4" t="str">
        <f>Bluetooth!L8</f>
        <v>Mbit/s</v>
      </c>
      <c r="D4" s="99">
        <f>D3*24</f>
        <v>1440</v>
      </c>
      <c r="E4" s="92" t="s">
        <v>72</v>
      </c>
      <c r="K4" s="93"/>
    </row>
    <row r="5" spans="1:18" ht="15.75" thickBot="1"/>
    <row r="6" spans="1:18" ht="15.75" customHeight="1" thickBot="1">
      <c r="A6" s="101" t="s">
        <v>354</v>
      </c>
      <c r="B6" s="96"/>
      <c r="C6" s="567" t="s">
        <v>115</v>
      </c>
      <c r="D6" s="567"/>
      <c r="E6" s="567"/>
      <c r="F6" s="567"/>
      <c r="G6" s="567"/>
      <c r="H6" s="567"/>
      <c r="I6" s="567"/>
      <c r="J6" s="567"/>
      <c r="K6" s="567"/>
      <c r="L6" s="568"/>
      <c r="M6" s="554" t="s">
        <v>353</v>
      </c>
    </row>
    <row r="7" spans="1:18" ht="15.75" customHeight="1">
      <c r="A7" s="575" t="s">
        <v>141</v>
      </c>
      <c r="B7" s="576"/>
      <c r="C7" s="560" t="s">
        <v>116</v>
      </c>
      <c r="D7" s="560" t="s">
        <v>121</v>
      </c>
      <c r="E7" s="560" t="s">
        <v>122</v>
      </c>
      <c r="F7" s="560" t="s">
        <v>210</v>
      </c>
      <c r="G7" s="557" t="s">
        <v>137</v>
      </c>
      <c r="H7" s="558"/>
      <c r="I7" s="558"/>
      <c r="J7" s="558"/>
      <c r="K7" s="559"/>
      <c r="L7" s="560" t="s">
        <v>117</v>
      </c>
      <c r="M7" s="555"/>
      <c r="Q7" s="95"/>
      <c r="R7" s="95"/>
    </row>
    <row r="8" spans="1:18">
      <c r="A8" s="577"/>
      <c r="B8" s="578"/>
      <c r="C8" s="561"/>
      <c r="D8" s="561"/>
      <c r="E8" s="561"/>
      <c r="F8" s="561"/>
      <c r="G8" s="563" t="s">
        <v>140</v>
      </c>
      <c r="H8" s="565" t="s">
        <v>135</v>
      </c>
      <c r="I8" s="565"/>
      <c r="J8" s="566"/>
      <c r="K8" s="563" t="s">
        <v>120</v>
      </c>
      <c r="L8" s="561"/>
      <c r="M8" s="555"/>
    </row>
    <row r="9" spans="1:18" ht="30.75" thickBot="1">
      <c r="A9" s="577"/>
      <c r="B9" s="578"/>
      <c r="C9" s="562"/>
      <c r="D9" s="562"/>
      <c r="E9" s="562"/>
      <c r="F9" s="562"/>
      <c r="G9" s="564"/>
      <c r="H9" s="126" t="s">
        <v>139</v>
      </c>
      <c r="I9" s="126" t="s">
        <v>138</v>
      </c>
      <c r="J9" s="126" t="s">
        <v>136</v>
      </c>
      <c r="K9" s="564"/>
      <c r="L9" s="573"/>
      <c r="M9" s="556"/>
    </row>
    <row r="10" spans="1:18">
      <c r="A10" s="577"/>
      <c r="B10" s="578"/>
      <c r="C10" s="123">
        <v>60</v>
      </c>
      <c r="D10" s="123">
        <v>1</v>
      </c>
      <c r="E10" s="123">
        <v>0</v>
      </c>
      <c r="F10" s="123">
        <v>3.0000000000000001E-3</v>
      </c>
      <c r="G10" s="7">
        <v>8</v>
      </c>
      <c r="H10" s="121">
        <v>2</v>
      </c>
      <c r="I10" s="121">
        <v>0</v>
      </c>
      <c r="J10" s="85">
        <f>IF(I10&gt;0,4,0)</f>
        <v>0</v>
      </c>
      <c r="K10" s="7">
        <f>IF(AND(SUM(H10:J10)&gt;=2,SUM(H10:J10)&lt;=39), IF(AND(SUM(G10:J10)&gt;=10,SUM(G10:J10)&lt;= 47),SUM(G10:J10)*8,"ERR. PDU."),"ERR. PCK.")</f>
        <v>80</v>
      </c>
      <c r="L10" s="125" t="s">
        <v>118</v>
      </c>
      <c r="M10" s="127">
        <f>(((D10+E10)*$B$3*F10)/C10)*10^3</f>
        <v>7.4999999999999991E-4</v>
      </c>
      <c r="N10" s="217">
        <f>M10</f>
        <v>7.4999999999999991E-4</v>
      </c>
    </row>
    <row r="11" spans="1:18">
      <c r="A11" s="579"/>
      <c r="B11" s="580"/>
      <c r="C11" s="108">
        <v>60</v>
      </c>
      <c r="D11" s="108">
        <v>1</v>
      </c>
      <c r="E11" s="108">
        <v>1</v>
      </c>
      <c r="F11" s="108">
        <v>3.0000000000000001E-3</v>
      </c>
      <c r="G11" s="7">
        <v>8</v>
      </c>
      <c r="H11" s="121">
        <v>2</v>
      </c>
      <c r="I11" s="121">
        <v>0</v>
      </c>
      <c r="J11" s="85">
        <f>IF(I11&gt;0,4,0)</f>
        <v>0</v>
      </c>
      <c r="K11" s="7">
        <f>IF(AND(SUM(H11:J11)&gt;=2,SUM(H11:J11)&lt;=39), IF(AND(SUM(G11:J11)&gt;=10,SUM(G11:J11)&lt;= 47),SUM(G11:J11)*8,"ERR. PDU."),"ERR. PCK.")</f>
        <v>80</v>
      </c>
      <c r="L11" s="124" t="s">
        <v>118</v>
      </c>
      <c r="M11" s="127">
        <f>(((D11+E11)*$B$3*F11)/C11)*10^3</f>
        <v>1.4999999999999998E-3</v>
      </c>
      <c r="N11" s="217">
        <f>M11</f>
        <v>1.4999999999999998E-3</v>
      </c>
    </row>
    <row r="12" spans="1:18">
      <c r="C12" s="572"/>
      <c r="D12" s="572"/>
      <c r="F12" s="94"/>
    </row>
    <row r="14" spans="1:18" ht="15" customHeight="1"/>
    <row r="17" spans="1:18">
      <c r="A17" t="s">
        <v>313</v>
      </c>
      <c r="B17" s="574" t="s">
        <v>337</v>
      </c>
      <c r="C17" s="574"/>
      <c r="D17" s="574"/>
      <c r="E17" s="574"/>
      <c r="G17" t="s">
        <v>322</v>
      </c>
      <c r="R17" s="303"/>
    </row>
    <row r="18" spans="1:18">
      <c r="B18" s="574"/>
      <c r="C18" s="574"/>
      <c r="D18" s="574"/>
      <c r="E18" s="574"/>
      <c r="G18" t="s">
        <v>323</v>
      </c>
    </row>
    <row r="19" spans="1:18">
      <c r="B19" s="574"/>
      <c r="C19" s="574"/>
      <c r="D19" s="574"/>
      <c r="E19" s="574"/>
      <c r="G19" t="s">
        <v>324</v>
      </c>
    </row>
    <row r="20" spans="1:18">
      <c r="B20" s="574"/>
      <c r="C20" s="574"/>
      <c r="D20" s="574"/>
      <c r="E20" s="574"/>
    </row>
    <row r="21" spans="1:18">
      <c r="B21" s="574"/>
      <c r="C21" s="574"/>
      <c r="D21" s="574"/>
      <c r="E21" s="574"/>
      <c r="G21" t="s">
        <v>325</v>
      </c>
      <c r="J21" s="239"/>
    </row>
    <row r="22" spans="1:18">
      <c r="B22" s="574"/>
      <c r="C22" s="574"/>
      <c r="D22" s="574"/>
      <c r="E22" s="574"/>
    </row>
    <row r="23" spans="1:18">
      <c r="B23" s="574"/>
      <c r="C23" s="574"/>
      <c r="D23" s="574"/>
      <c r="E23" s="574"/>
    </row>
    <row r="24" spans="1:18">
      <c r="B24" s="574"/>
      <c r="C24" s="574"/>
      <c r="D24" s="574"/>
      <c r="E24" s="574"/>
    </row>
    <row r="25" spans="1:18">
      <c r="B25" s="574"/>
      <c r="C25" s="574"/>
      <c r="D25" s="574"/>
      <c r="E25" s="574"/>
    </row>
    <row r="26" spans="1:18">
      <c r="B26" s="574"/>
      <c r="C26" s="574"/>
      <c r="D26" s="574"/>
      <c r="E26" s="574"/>
    </row>
    <row r="27" spans="1:18">
      <c r="B27" s="574"/>
      <c r="C27" s="574"/>
      <c r="D27" s="574"/>
      <c r="E27" s="574"/>
    </row>
    <row r="28" spans="1:18">
      <c r="B28" s="574"/>
      <c r="C28" s="574"/>
      <c r="D28" s="574"/>
      <c r="E28" s="574"/>
    </row>
    <row r="29" spans="1:18">
      <c r="B29" s="574"/>
      <c r="C29" s="574"/>
      <c r="D29" s="574"/>
      <c r="E29" s="574"/>
    </row>
    <row r="30" spans="1:18">
      <c r="B30" s="574"/>
      <c r="C30" s="574"/>
      <c r="D30" s="574"/>
      <c r="E30" s="574"/>
    </row>
    <row r="31" spans="1:18">
      <c r="B31" s="574"/>
      <c r="C31" s="574"/>
      <c r="D31" s="574"/>
      <c r="E31" s="574"/>
    </row>
    <row r="32" spans="1:18">
      <c r="B32" s="574"/>
      <c r="C32" s="574"/>
      <c r="D32" s="574"/>
      <c r="E32" s="574"/>
    </row>
    <row r="33" spans="2:5">
      <c r="B33" s="574"/>
      <c r="C33" s="574"/>
      <c r="D33" s="574"/>
      <c r="E33" s="574"/>
    </row>
    <row r="34" spans="2:5">
      <c r="B34" s="574"/>
      <c r="C34" s="574"/>
      <c r="D34" s="574"/>
      <c r="E34" s="574"/>
    </row>
  </sheetData>
  <mergeCells count="15">
    <mergeCell ref="A1:L1"/>
    <mergeCell ref="K8:K9"/>
    <mergeCell ref="C12:D12"/>
    <mergeCell ref="L7:L9"/>
    <mergeCell ref="B17:E34"/>
    <mergeCell ref="A7:B11"/>
    <mergeCell ref="M6:M9"/>
    <mergeCell ref="G7:K7"/>
    <mergeCell ref="C7:C9"/>
    <mergeCell ref="D7:D9"/>
    <mergeCell ref="E7:E9"/>
    <mergeCell ref="F7:F9"/>
    <mergeCell ref="G8:G9"/>
    <mergeCell ref="H8:J8"/>
    <mergeCell ref="C6:L6"/>
  </mergeCells>
  <pageMargins left="0.7" right="0.7" top="0.75" bottom="0.75" header="0.3" footer="0.3"/>
  <pageSetup paperSize="9" orientation="portrait" horizontalDpi="300" verticalDpi="0" r:id="rId1"/>
  <drawing r:id="rId2"/>
</worksheet>
</file>

<file path=xl/worksheets/sheet6.xml><?xml version="1.0" encoding="utf-8"?>
<worksheet xmlns="http://schemas.openxmlformats.org/spreadsheetml/2006/main" xmlns:r="http://schemas.openxmlformats.org/officeDocument/2006/relationships">
  <dimension ref="A1:AY43"/>
  <sheetViews>
    <sheetView topLeftCell="G1" workbookViewId="0">
      <selection activeCell="Q12" sqref="Q12"/>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5" width="13.7109375" customWidth="1"/>
    <col min="46" max="46" width="12" bestFit="1" customWidth="1"/>
    <col min="47" max="47" width="103.7109375" customWidth="1"/>
  </cols>
  <sheetData>
    <row r="1" spans="1:51" ht="24" thickBot="1">
      <c r="A1" s="569" t="s">
        <v>304</v>
      </c>
      <c r="B1" s="570"/>
      <c r="C1" s="570"/>
      <c r="D1" s="570"/>
      <c r="E1" s="570"/>
      <c r="F1" s="570"/>
      <c r="G1" s="570"/>
      <c r="H1" s="570"/>
      <c r="I1" s="570"/>
      <c r="J1" s="570"/>
      <c r="K1" s="570"/>
      <c r="L1" s="570"/>
      <c r="M1" s="570"/>
      <c r="N1" s="570"/>
      <c r="O1" s="570"/>
      <c r="P1" s="570"/>
      <c r="Q1" s="570"/>
      <c r="R1" s="570"/>
      <c r="S1" s="570"/>
      <c r="T1" s="570"/>
      <c r="U1" s="570"/>
      <c r="V1" s="571"/>
    </row>
    <row r="2" spans="1:51">
      <c r="N2" t="s">
        <v>356</v>
      </c>
      <c r="AO2" s="218"/>
      <c r="AP2" s="235"/>
    </row>
    <row r="3" spans="1:51">
      <c r="A3" s="102" t="s">
        <v>114</v>
      </c>
      <c r="B3" s="100">
        <f>IF(Bluetooth!$L$12="mW",Bluetooth!$K$12*10^-3,IF(Bluetooth!$L$12="W",Bluetooth!$K$12,"err. U.M."))</f>
        <v>1.4999999999999999E-2</v>
      </c>
      <c r="C3" t="s">
        <v>113</v>
      </c>
      <c r="F3" t="s">
        <v>322</v>
      </c>
      <c r="M3" s="239"/>
      <c r="N3" s="240"/>
      <c r="O3" s="291" t="s">
        <v>357</v>
      </c>
      <c r="AO3" s="218"/>
      <c r="AP3" s="235"/>
    </row>
    <row r="4" spans="1:51">
      <c r="A4" s="103" t="s">
        <v>119</v>
      </c>
      <c r="B4" s="100">
        <f>Bluetooth!K8</f>
        <v>1</v>
      </c>
      <c r="C4" t="str">
        <f>Bluetooth!L8</f>
        <v>Mbit/s</v>
      </c>
      <c r="F4" t="s">
        <v>323</v>
      </c>
      <c r="K4" t="s">
        <v>325</v>
      </c>
      <c r="N4" s="339" t="s">
        <v>340</v>
      </c>
      <c r="O4" s="291" t="s">
        <v>358</v>
      </c>
      <c r="P4" s="305"/>
      <c r="AO4" s="218"/>
      <c r="AP4" s="235"/>
    </row>
    <row r="5" spans="1:51">
      <c r="F5" t="s">
        <v>324</v>
      </c>
      <c r="N5" s="339">
        <v>10</v>
      </c>
      <c r="O5" s="291" t="s">
        <v>359</v>
      </c>
      <c r="AO5" s="303">
        <f>IF(AK12=1,AD12+((F12*8)/($B$4*10^6))*10^3+(2*'Tab. Intervals'!$O$5*10^-3)+('Packets Structures'!$M$28*10^3),R12*AK5)</f>
        <v>1.08</v>
      </c>
      <c r="AP5" s="303">
        <f>P12+'Tab. Intervals'!$O$24+X12+IF(AK12=1,AD12+((F12*8)/($B$4*10^6))*10^3+(2*'Tab. Intervals'!$O$5*10^-3)+('Packets Structures'!$M$28*10^3),R12*AK12)</f>
        <v>3.008</v>
      </c>
    </row>
    <row r="6" spans="1:51" ht="15.75" customHeight="1" thickBot="1"/>
    <row r="7" spans="1:51" ht="15.75" customHeight="1" thickBot="1">
      <c r="A7" s="650" t="s">
        <v>355</v>
      </c>
      <c r="B7" s="651"/>
      <c r="C7" s="652" t="s">
        <v>115</v>
      </c>
      <c r="D7" s="652"/>
      <c r="E7" s="652"/>
      <c r="F7" s="652"/>
      <c r="G7" s="652"/>
      <c r="H7" s="652"/>
      <c r="I7" s="652"/>
      <c r="J7" s="652"/>
      <c r="K7" s="652"/>
      <c r="L7" s="652"/>
      <c r="M7" s="652"/>
      <c r="N7" s="652"/>
      <c r="O7" s="652"/>
      <c r="P7" s="652"/>
      <c r="Q7" s="652"/>
      <c r="R7" s="652"/>
      <c r="S7" s="652"/>
      <c r="T7" s="652"/>
      <c r="U7" s="652"/>
      <c r="V7" s="652"/>
      <c r="W7" s="652"/>
      <c r="X7" s="652"/>
      <c r="Y7" s="652"/>
      <c r="Z7" s="652"/>
      <c r="AA7" s="652"/>
      <c r="AB7" s="652"/>
      <c r="AC7" s="652"/>
      <c r="AD7" s="652"/>
      <c r="AE7" s="652"/>
      <c r="AF7" s="652"/>
      <c r="AG7" s="652"/>
      <c r="AH7" s="652"/>
      <c r="AI7" s="652"/>
      <c r="AJ7" s="652"/>
      <c r="AK7" s="652"/>
      <c r="AL7" s="652"/>
      <c r="AM7" s="652"/>
      <c r="AN7" s="652"/>
      <c r="AO7" s="652"/>
      <c r="AP7" s="652"/>
      <c r="AQ7" s="653"/>
      <c r="AR7" s="623" t="s">
        <v>371</v>
      </c>
      <c r="AS7" s="624"/>
      <c r="AT7" s="625"/>
      <c r="AU7" s="594" t="s">
        <v>333</v>
      </c>
      <c r="AX7" s="95"/>
      <c r="AY7" s="95"/>
    </row>
    <row r="8" spans="1:51" ht="15" customHeight="1">
      <c r="A8" s="590" t="s">
        <v>287</v>
      </c>
      <c r="B8" s="591"/>
      <c r="C8" s="597" t="s">
        <v>116</v>
      </c>
      <c r="D8" s="600" t="s">
        <v>121</v>
      </c>
      <c r="E8" s="603" t="s">
        <v>122</v>
      </c>
      <c r="F8" s="606" t="s">
        <v>288</v>
      </c>
      <c r="G8" s="656" t="s">
        <v>292</v>
      </c>
      <c r="H8" s="657"/>
      <c r="I8" s="657"/>
      <c r="J8" s="657"/>
      <c r="K8" s="610"/>
      <c r="L8" s="610"/>
      <c r="M8" s="610"/>
      <c r="N8" s="610"/>
      <c r="O8" s="610"/>
      <c r="P8" s="611"/>
      <c r="Q8" s="635" t="s">
        <v>291</v>
      </c>
      <c r="R8" s="636"/>
      <c r="S8" s="636"/>
      <c r="T8" s="636"/>
      <c r="U8" s="636"/>
      <c r="V8" s="636"/>
      <c r="W8" s="636"/>
      <c r="X8" s="636"/>
      <c r="Y8" s="636"/>
      <c r="Z8" s="636"/>
      <c r="AA8" s="636"/>
      <c r="AB8" s="636"/>
      <c r="AC8" s="636"/>
      <c r="AD8" s="636"/>
      <c r="AE8" s="636"/>
      <c r="AF8" s="636"/>
      <c r="AG8" s="636"/>
      <c r="AH8" s="636"/>
      <c r="AI8" s="636"/>
      <c r="AJ8" s="636"/>
      <c r="AK8" s="636"/>
      <c r="AL8" s="636"/>
      <c r="AM8" s="636"/>
      <c r="AN8" s="636"/>
      <c r="AO8" s="637"/>
      <c r="AP8" s="612" t="s">
        <v>331</v>
      </c>
      <c r="AQ8" s="615" t="s">
        <v>332</v>
      </c>
      <c r="AR8" s="626"/>
      <c r="AS8" s="627"/>
      <c r="AT8" s="628"/>
      <c r="AU8" s="595"/>
    </row>
    <row r="9" spans="1:51" ht="15" customHeight="1">
      <c r="A9" s="577"/>
      <c r="B9" s="592"/>
      <c r="C9" s="598"/>
      <c r="D9" s="601"/>
      <c r="E9" s="604"/>
      <c r="F9" s="654"/>
      <c r="G9" s="618" t="s">
        <v>298</v>
      </c>
      <c r="H9" s="354"/>
      <c r="I9" s="618" t="s">
        <v>299</v>
      </c>
      <c r="J9" s="354"/>
      <c r="K9" s="658" t="s">
        <v>300</v>
      </c>
      <c r="L9" s="581" t="s">
        <v>338</v>
      </c>
      <c r="M9" s="581" t="s">
        <v>318</v>
      </c>
      <c r="N9" s="584" t="s">
        <v>339</v>
      </c>
      <c r="O9" s="620" t="s">
        <v>317</v>
      </c>
      <c r="P9" s="641" t="s">
        <v>319</v>
      </c>
      <c r="Q9" s="644" t="s">
        <v>289</v>
      </c>
      <c r="R9" s="647" t="s">
        <v>296</v>
      </c>
      <c r="S9" s="244"/>
      <c r="T9" s="647" t="s">
        <v>302</v>
      </c>
      <c r="U9" s="245"/>
      <c r="V9" s="647" t="s">
        <v>293</v>
      </c>
      <c r="W9" s="244"/>
      <c r="X9" s="647" t="s">
        <v>294</v>
      </c>
      <c r="Y9" s="244"/>
      <c r="Z9" s="647" t="s">
        <v>295</v>
      </c>
      <c r="AA9" s="245"/>
      <c r="AB9" s="584" t="s">
        <v>366</v>
      </c>
      <c r="AC9" s="296"/>
      <c r="AD9" s="587" t="s">
        <v>365</v>
      </c>
      <c r="AE9" s="584" t="s">
        <v>367</v>
      </c>
      <c r="AF9" s="296"/>
      <c r="AG9" s="587" t="s">
        <v>364</v>
      </c>
      <c r="AH9" s="581" t="s">
        <v>368</v>
      </c>
      <c r="AI9" s="581" t="s">
        <v>320</v>
      </c>
      <c r="AJ9" s="581" t="s">
        <v>321</v>
      </c>
      <c r="AK9" s="638" t="s">
        <v>369</v>
      </c>
      <c r="AL9" s="581" t="s">
        <v>370</v>
      </c>
      <c r="AM9" s="581" t="s">
        <v>342</v>
      </c>
      <c r="AN9" s="581" t="s">
        <v>343</v>
      </c>
      <c r="AO9" s="632" t="s">
        <v>330</v>
      </c>
      <c r="AP9" s="613"/>
      <c r="AQ9" s="616"/>
      <c r="AR9" s="626"/>
      <c r="AS9" s="627"/>
      <c r="AT9" s="628"/>
      <c r="AU9" s="595"/>
    </row>
    <row r="10" spans="1:51" ht="15" customHeight="1">
      <c r="A10" s="577"/>
      <c r="B10" s="592"/>
      <c r="C10" s="598"/>
      <c r="D10" s="601"/>
      <c r="E10" s="604"/>
      <c r="F10" s="654"/>
      <c r="G10" s="619"/>
      <c r="H10" s="355"/>
      <c r="I10" s="619"/>
      <c r="J10" s="355"/>
      <c r="K10" s="659"/>
      <c r="L10" s="582"/>
      <c r="M10" s="582"/>
      <c r="N10" s="585"/>
      <c r="O10" s="621"/>
      <c r="P10" s="642"/>
      <c r="Q10" s="645"/>
      <c r="R10" s="648"/>
      <c r="S10" s="287"/>
      <c r="T10" s="648"/>
      <c r="U10" s="289"/>
      <c r="V10" s="648"/>
      <c r="W10" s="287"/>
      <c r="X10" s="648"/>
      <c r="Y10" s="287"/>
      <c r="Z10" s="648"/>
      <c r="AA10" s="289"/>
      <c r="AB10" s="585"/>
      <c r="AC10" s="343"/>
      <c r="AD10" s="588"/>
      <c r="AE10" s="585"/>
      <c r="AF10" s="343"/>
      <c r="AG10" s="588"/>
      <c r="AH10" s="582"/>
      <c r="AI10" s="582"/>
      <c r="AJ10" s="582"/>
      <c r="AK10" s="639"/>
      <c r="AL10" s="582"/>
      <c r="AM10" s="582"/>
      <c r="AN10" s="582"/>
      <c r="AO10" s="633"/>
      <c r="AP10" s="613"/>
      <c r="AQ10" s="616"/>
      <c r="AR10" s="629"/>
      <c r="AS10" s="630"/>
      <c r="AT10" s="631"/>
      <c r="AU10" s="595"/>
    </row>
    <row r="11" spans="1:51" ht="15.75" customHeight="1">
      <c r="A11" s="577"/>
      <c r="B11" s="592"/>
      <c r="C11" s="599"/>
      <c r="D11" s="602"/>
      <c r="E11" s="605"/>
      <c r="F11" s="655"/>
      <c r="G11" s="619"/>
      <c r="H11" s="355" t="s">
        <v>301</v>
      </c>
      <c r="I11" s="619"/>
      <c r="J11" s="355" t="s">
        <v>301</v>
      </c>
      <c r="K11" s="660"/>
      <c r="L11" s="583"/>
      <c r="M11" s="583"/>
      <c r="N11" s="586"/>
      <c r="O11" s="622"/>
      <c r="P11" s="643"/>
      <c r="Q11" s="646"/>
      <c r="R11" s="649"/>
      <c r="S11" s="287" t="s">
        <v>301</v>
      </c>
      <c r="T11" s="649"/>
      <c r="U11" s="289" t="s">
        <v>301</v>
      </c>
      <c r="V11" s="649"/>
      <c r="W11" s="287" t="s">
        <v>301</v>
      </c>
      <c r="X11" s="649"/>
      <c r="Y11" s="287" t="s">
        <v>301</v>
      </c>
      <c r="Z11" s="649"/>
      <c r="AA11" s="289" t="s">
        <v>301</v>
      </c>
      <c r="AB11" s="586"/>
      <c r="AC11" s="297" t="s">
        <v>301</v>
      </c>
      <c r="AD11" s="589"/>
      <c r="AE11" s="586"/>
      <c r="AF11" s="297" t="s">
        <v>301</v>
      </c>
      <c r="AG11" s="589"/>
      <c r="AH11" s="583"/>
      <c r="AI11" s="583"/>
      <c r="AJ11" s="583"/>
      <c r="AK11" s="640"/>
      <c r="AL11" s="583"/>
      <c r="AM11" s="583"/>
      <c r="AN11" s="583"/>
      <c r="AO11" s="634"/>
      <c r="AP11" s="614"/>
      <c r="AQ11" s="617"/>
      <c r="AR11" s="307" t="s">
        <v>334</v>
      </c>
      <c r="AS11" s="290" t="s">
        <v>335</v>
      </c>
      <c r="AT11" s="308" t="s">
        <v>336</v>
      </c>
      <c r="AU11" s="596"/>
    </row>
    <row r="12" spans="1:51">
      <c r="A12" s="577"/>
      <c r="B12" s="592"/>
      <c r="C12" s="295">
        <v>60</v>
      </c>
      <c r="D12" s="121">
        <v>2</v>
      </c>
      <c r="E12" s="309">
        <v>2</v>
      </c>
      <c r="F12" s="312">
        <v>18</v>
      </c>
      <c r="G12" s="344">
        <v>20</v>
      </c>
      <c r="H12" s="346">
        <f>IF(G12="",1,IF(AND(MOD(G12,'Tab. Intervals'!$E$7)=0,G12&gt;=('Tab. Intervals'!$H$7),G12&lt;=('Tab. Intervals'!$K$7*10^3)),2,0))</f>
        <v>2</v>
      </c>
      <c r="I12" s="344">
        <v>0</v>
      </c>
      <c r="J12" s="346">
        <f>IF(I12="",1,IF(AND(I12&gt;='Tab. Intervals'!$H$8,I12&lt;='Tab. Intervals'!$K$8),2,0))</f>
        <v>2</v>
      </c>
      <c r="K12" s="345">
        <f>G12+I12</f>
        <v>20</v>
      </c>
      <c r="L12" s="121">
        <f>'Packets Structures'!$F$28*10^3</f>
        <v>0.17599999999999999</v>
      </c>
      <c r="M12" s="121">
        <f>'Packets Structures'!$F$27*10^3</f>
        <v>0.128</v>
      </c>
      <c r="N12" s="304" t="s">
        <v>341</v>
      </c>
      <c r="O12" s="122">
        <f>'Packets Structures'!$F$29*10^3</f>
        <v>0.35199999999999998</v>
      </c>
      <c r="P12" s="357">
        <f>VALUE(MID(N12,1,1))*L12+VALUE(MID(N12,2,1))*M12+'Tab. Intervals'!$O$5*10^-3+O12</f>
        <v>0.67799999999999994</v>
      </c>
      <c r="Q12" s="356">
        <f>CEILING((F12/'Packets Structures'!$Q$22),1)</f>
        <v>1</v>
      </c>
      <c r="R12" s="293">
        <v>7.5</v>
      </c>
      <c r="S12" s="348">
        <f>IF(R12="",1,IF(AND(MOD(R12,'Tab. Intervals'!$E$13)=0,R12&gt;='Tab. Intervals'!$H$13,R12&lt;=('Tab. Intervals'!$K$13*10^3)),2,0))</f>
        <v>2</v>
      </c>
      <c r="T12" s="302">
        <v>1010</v>
      </c>
      <c r="U12" s="348">
        <f>IF(T12="",1,IF(AND(MOD(T12,'Tab. Intervals'!$E$17)=0,T12&gt;='Tab. Intervals'!$H$17,T12&lt;=('Tab. Intervals'!$K$17*10^3),T12&gt;((1+V12)*R12)),2,0))</f>
        <v>2</v>
      </c>
      <c r="V12" s="293">
        <v>0</v>
      </c>
      <c r="W12" s="348">
        <f>IF(OR(V12="",R12="",T12="",R12=0),1,IF(AND(V12&gt;='Tab. Intervals'!$H$14,V12&lt;=MIN(500,T12/R12 - 1)),2,0))</f>
        <v>2</v>
      </c>
      <c r="X12" s="293">
        <v>0</v>
      </c>
      <c r="Y12" s="348">
        <f>IF(X12="",1,IF(AND(MOD(X12,'Tab. Intervals'!$E$13)=0,X12&gt;='Tab. Intervals'!$H$19,X12&lt;=R12),2,0))</f>
        <v>2</v>
      </c>
      <c r="Z12" s="293">
        <v>6.25</v>
      </c>
      <c r="AA12" s="348">
        <f>IF(OR(Z12="",R12=""),1,IF(AND(MOD(Z12,'Tab. Intervals'!$E$20)=0,Z12&gt;='Tab. Intervals'!$H$20,Z12&lt;=MIN(10,R12-1.25)),2,0))</f>
        <v>2</v>
      </c>
      <c r="AB12" s="61">
        <f>R12-AD12</f>
        <v>6.944</v>
      </c>
      <c r="AC12" s="84">
        <f>IF(R12="",1,IF(OR(R12=0,AB12&lt;=0),0,2))</f>
        <v>2</v>
      </c>
      <c r="AD12" s="298">
        <f>(2*'Tab. Intervals'!$O$5*10^-3)+('Packets Structures'!$M$27*10^3)+('Packets Structures'!$M$28*10^3)+('Packets Structures'!$M$29*10^3)</f>
        <v>0.55600000000000005</v>
      </c>
      <c r="AE12" s="61">
        <f>R12-AG12</f>
        <v>7.27</v>
      </c>
      <c r="AF12" s="84">
        <f>IF(R12="",1,IF(OR(R12=0,AE12&lt;=0),0,2))</f>
        <v>2</v>
      </c>
      <c r="AG12" s="298">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1</v>
      </c>
      <c r="AL12" s="3">
        <f>(F12-(AK12-1)*AJ12*'Packets Structures'!$Q$22)</f>
        <v>18</v>
      </c>
      <c r="AM12" s="3">
        <f>TRUNC(AL12/'Packets Structures'!$Q$22,0)</f>
        <v>0</v>
      </c>
      <c r="AN12" s="3">
        <f>MOD(AL12,'Packets Structures'!$Q$22)</f>
        <v>18</v>
      </c>
      <c r="AO12" s="309">
        <f>R12*(AK12-1)+AD12+(AM12*((('Packets Structures'!$Q$22*8)/($B$4*10^6))*10^3+'Packets Structures'!$M$28*10^3+2*'Tab. Intervals'!$O$5*10^-3)+((AN12*8)/($B$4*10^6))*10^3+'Packets Structures'!$M$28*10^3+2*'Tab. Intervals'!$O$5*10^-3)</f>
        <v>1.08</v>
      </c>
      <c r="AP12" s="314">
        <f>P12+'Tab. Intervals'!$O$24+X12+AO12</f>
        <v>3.008</v>
      </c>
      <c r="AQ12" s="315">
        <f>P12+'Tab. Intervals'!$O$24+X12+Z12+R12*AK12</f>
        <v>15.678000000000001</v>
      </c>
      <c r="AR12" s="317">
        <f t="shared" ref="AR12:AR18" si="0">(((D12+E12)*$B$3*AP12*10^-3)/C12)*10^3</f>
        <v>3.0080000000000003E-3</v>
      </c>
      <c r="AS12" s="316">
        <f>AVERAGE(AR12,AT12)</f>
        <v>9.3429999999999989E-3</v>
      </c>
      <c r="AT12" s="318">
        <f t="shared" ref="AT12:AT18" si="1">(((D12+E12)*$B$3*AQ12*10^-3)/C12)*10^3</f>
        <v>1.5677999999999997E-2</v>
      </c>
      <c r="AU12" s="306" t="s">
        <v>344</v>
      </c>
    </row>
    <row r="13" spans="1:51">
      <c r="A13" s="577"/>
      <c r="B13" s="592"/>
      <c r="C13" s="295">
        <v>60</v>
      </c>
      <c r="D13" s="121">
        <v>2</v>
      </c>
      <c r="E13" s="309">
        <v>2</v>
      </c>
      <c r="F13" s="312">
        <v>18</v>
      </c>
      <c r="G13" s="344">
        <v>20</v>
      </c>
      <c r="H13" s="346">
        <f>IF(G13="",1,IF(AND(MOD(G13,'Tab. Intervals'!$E$7)=0,G13&gt;=('Tab. Intervals'!$H$7),G13&lt;=('Tab. Intervals'!$K$7*10^3)),2,0))</f>
        <v>2</v>
      </c>
      <c r="I13" s="344">
        <v>0</v>
      </c>
      <c r="J13" s="346">
        <f>IF(I13="",1,IF(AND(I13&gt;='Tab. Intervals'!$H$8,I13&lt;='Tab. Intervals'!$K$8),2,0))</f>
        <v>2</v>
      </c>
      <c r="K13" s="345">
        <f>G13+I13</f>
        <v>20</v>
      </c>
      <c r="L13" s="121">
        <f>'Packets Structures'!$F$28*10^3</f>
        <v>0.17599999999999999</v>
      </c>
      <c r="M13" s="121">
        <f>'Packets Structures'!$F$27*10^3</f>
        <v>0.128</v>
      </c>
      <c r="N13" s="304" t="s">
        <v>340</v>
      </c>
      <c r="O13" s="121">
        <f>'Packets Structures'!$F$29*10^3</f>
        <v>0.35199999999999998</v>
      </c>
      <c r="P13" s="357">
        <f>VALUE(MID(N13,1,1))*L13+VALUE(MID(N13,2,1))*M13+'Tab. Intervals'!$O$5*10^-3+O13</f>
        <v>0.63</v>
      </c>
      <c r="Q13" s="356">
        <f>CEILING((F13/'Packets Structures'!$Q$22),1)</f>
        <v>1</v>
      </c>
      <c r="R13" s="293">
        <v>7.5</v>
      </c>
      <c r="S13" s="348">
        <f>IF(R13="",1,IF(AND(MOD(R13,'Tab. Intervals'!$E$13)=0,R13&gt;='Tab. Intervals'!$H$13,R13&lt;=('Tab. Intervals'!$K$13*10^3)),2,0))</f>
        <v>2</v>
      </c>
      <c r="T13" s="302">
        <v>1010</v>
      </c>
      <c r="U13" s="348">
        <f>IF(T13="",1,IF(AND(MOD(T13,'Tab. Intervals'!$E$17)=0,T13&gt;='Tab. Intervals'!$H$17,T13&lt;=('Tab. Intervals'!$K$17*10^3)),2,0))</f>
        <v>2</v>
      </c>
      <c r="V13" s="293">
        <v>0</v>
      </c>
      <c r="W13" s="348">
        <f>IF(OR(V13="",R13="",T13="",R13=0),1,IF(AND(V13&gt;='Tab. Intervals'!$H$14,V13&lt;=MIN(500,T13/R13 - 1)),2,0))</f>
        <v>2</v>
      </c>
      <c r="X13" s="293">
        <v>0</v>
      </c>
      <c r="Y13" s="348">
        <f>IF(X13="",1,IF(AND(MOD(X13,'Tab. Intervals'!$E$13)=0,X13&gt;='Tab. Intervals'!$H$19,X13&lt;=R13),2,0))</f>
        <v>2</v>
      </c>
      <c r="Z13" s="293">
        <v>6.25</v>
      </c>
      <c r="AA13" s="348">
        <f>IF(OR(Z13="",R13=""),1,IF(AND(MOD(Z13,'Tab. Intervals'!$E$20)=0,Z13&gt;='Tab. Intervals'!$H$20,Z13&lt;=MIN(10,R13-1.25)),2,0))</f>
        <v>2</v>
      </c>
      <c r="AB13" s="61">
        <f>R13-AD13</f>
        <v>6.944</v>
      </c>
      <c r="AC13" s="84">
        <f t="shared" ref="AC13:AC16" si="2">IF(R13="",1,IF(OR(R13=0,AB13&lt;=0),0,2))</f>
        <v>2</v>
      </c>
      <c r="AD13" s="298">
        <f>(2*'Tab. Intervals'!$O$5*10^-3)+('Packets Structures'!$M$27*10^3)+('Packets Structures'!$M$28*10^3)+('Packets Structures'!$M$29*10^3)</f>
        <v>0.55600000000000005</v>
      </c>
      <c r="AE13" s="61">
        <f>R13-AG13</f>
        <v>7.27</v>
      </c>
      <c r="AF13" s="84">
        <f t="shared" ref="AF13:AF16" si="3">IF(R13="",1,IF(OR(R13=0,AE13&lt;=0),0,2))</f>
        <v>2</v>
      </c>
      <c r="AG13" s="298">
        <f>('Packets Structures'!$M$27*10^3)+('Tab. Intervals'!$O$5*10^-3)</f>
        <v>0.22999999999999998</v>
      </c>
      <c r="AH13" s="26">
        <f>'Packets Structures'!$M$30*10^3+'Packets Structures'!$M$28*10^3+2*'Tab. Intervals'!$O$5*10^-3</f>
        <v>0.59599999999999997</v>
      </c>
      <c r="AI13" s="26">
        <f>FLOOR(AB13/AH13,1)</f>
        <v>11</v>
      </c>
      <c r="AJ13" s="26">
        <f>FLOOR(AE13/AH13,1)</f>
        <v>12</v>
      </c>
      <c r="AK13" s="26">
        <f>IF(Q13&lt;=AI13,CEILING(Q13/AI13,1),IF(AND(MOD(Q13,AJ13)&gt;0,MOD(Q13,AJ13)&lt;=AI13),CEILING(Q13/AJ13,1),CEILING(Q13/AJ13,1)+1))</f>
        <v>1</v>
      </c>
      <c r="AL13" s="3">
        <f>(F13-(AK13-1)*AJ13*'Packets Structures'!$Q$22)</f>
        <v>18</v>
      </c>
      <c r="AM13" s="3">
        <f>TRUNC(AL13/'Packets Structures'!$Q$22,0)</f>
        <v>0</v>
      </c>
      <c r="AN13" s="3">
        <f>MOD(AL13,'Packets Structures'!$Q$22)</f>
        <v>18</v>
      </c>
      <c r="AO13" s="309">
        <f>R13*(AK13-1)+AD13+(AM13*((('Packets Structures'!$Q$22*8)/($B$4*10^6))*10^3+'Packets Structures'!$M$28*10^3+2*'Tab. Intervals'!$O$5*10^-3)+((AN13*8)/($B$4*10^6))*10^3+'Packets Structures'!$M$28*10^3+2*'Tab. Intervals'!$O$5*10^-3)</f>
        <v>1.08</v>
      </c>
      <c r="AP13" s="314">
        <f>P13+'Tab. Intervals'!$O$24+X13+AO13</f>
        <v>2.96</v>
      </c>
      <c r="AQ13" s="315">
        <f>P13+'Tab. Intervals'!$O$24+X13+Z13+R13*AK13</f>
        <v>15.629999999999999</v>
      </c>
      <c r="AR13" s="317">
        <f t="shared" si="0"/>
        <v>2.9599999999999995E-3</v>
      </c>
      <c r="AS13" s="316">
        <f t="shared" ref="AS13:AS16" si="4">AVERAGE(AR13,AT13)</f>
        <v>9.2949999999999994E-3</v>
      </c>
      <c r="AT13" s="318">
        <f t="shared" si="1"/>
        <v>1.5629999999999998E-2</v>
      </c>
      <c r="AU13" s="306" t="s">
        <v>345</v>
      </c>
    </row>
    <row r="14" spans="1:51">
      <c r="A14" s="579"/>
      <c r="B14" s="593"/>
      <c r="C14" s="294">
        <v>60</v>
      </c>
      <c r="D14" s="121">
        <v>2</v>
      </c>
      <c r="E14" s="309">
        <v>2</v>
      </c>
      <c r="F14" s="313">
        <v>27</v>
      </c>
      <c r="G14" s="344">
        <v>20</v>
      </c>
      <c r="H14" s="346">
        <f>IF(G14="",1,IF(AND(MOD(G14,'Tab. Intervals'!$E$7)=0,G14&gt;=('Tab. Intervals'!$H$7),G14&lt;=('Tab. Intervals'!$K$7*10^3)),2,0))</f>
        <v>2</v>
      </c>
      <c r="I14" s="344">
        <v>0</v>
      </c>
      <c r="J14" s="346">
        <f>IF(I14="",1,IF(AND(I14&gt;='Tab. Intervals'!$H$8,I14&lt;='Tab. Intervals'!$K$8),2,0))</f>
        <v>2</v>
      </c>
      <c r="K14" s="345">
        <f t="shared" ref="K14:K15" si="5">G14+I14</f>
        <v>20</v>
      </c>
      <c r="L14" s="121">
        <f>'Packets Structures'!$F$28*10^3</f>
        <v>0.17599999999999999</v>
      </c>
      <c r="M14" s="121">
        <f>'Packets Structures'!$F$27*10^3</f>
        <v>0.128</v>
      </c>
      <c r="N14" s="304" t="s">
        <v>340</v>
      </c>
      <c r="O14" s="121">
        <f>'Packets Structures'!$F$29*10^3</f>
        <v>0.35199999999999998</v>
      </c>
      <c r="P14" s="357">
        <f>VALUE(MID(N14,1,1))*L14+VALUE(MID(N14,2,1))*M14+'Tab. Intervals'!$O$5*10^-3+O14</f>
        <v>0.63</v>
      </c>
      <c r="Q14" s="356">
        <f>CEILING((F14/'Packets Structures'!$Q$22),1)</f>
        <v>1</v>
      </c>
      <c r="R14" s="293">
        <v>7.5</v>
      </c>
      <c r="S14" s="348">
        <f>IF(R14="",1,IF(AND(MOD(R14,'Tab. Intervals'!$E$13)=0,R14&gt;='Tab. Intervals'!$H$13,R14&lt;=('Tab. Intervals'!$K$13*10^3)),2,0))</f>
        <v>2</v>
      </c>
      <c r="T14" s="361">
        <v>1010</v>
      </c>
      <c r="U14" s="348">
        <f>IF(T14="",1,IF(AND(MOD(T14,'Tab. Intervals'!$E$17)=0,T14&gt;='Tab. Intervals'!$H$17,T14&lt;=('Tab. Intervals'!$K$17*10^3)),2,0))</f>
        <v>2</v>
      </c>
      <c r="V14" s="293">
        <v>0</v>
      </c>
      <c r="W14" s="348">
        <f>IF(OR(V14="",R14="",T14="",R14=0),1,IF(AND(V14&gt;='Tab. Intervals'!$H$14,V14&lt;=MIN(500,T14/R14 - 1)),2,0))</f>
        <v>2</v>
      </c>
      <c r="X14" s="293">
        <v>0</v>
      </c>
      <c r="Y14" s="348">
        <f>IF(X14="",1,IF(AND(MOD(X14,'Tab. Intervals'!$E$13)=0,X14&gt;='Tab. Intervals'!$H$19,X14&lt;=R14),2,0))</f>
        <v>2</v>
      </c>
      <c r="Z14" s="293">
        <v>6.25</v>
      </c>
      <c r="AA14" s="348">
        <f>IF(OR(Z14="",R14=""),1,IF(AND(MOD(Z14,'Tab. Intervals'!$E$20)=0,Z14&gt;='Tab. Intervals'!$H$20,Z14&lt;=MIN(10,R14-1.25)),2,0))</f>
        <v>2</v>
      </c>
      <c r="AB14" s="61">
        <f t="shared" ref="AB14:AB15" si="6">R14-AD14</f>
        <v>6.944</v>
      </c>
      <c r="AC14" s="84">
        <f t="shared" si="2"/>
        <v>2</v>
      </c>
      <c r="AD14" s="298">
        <f>(2*'Tab. Intervals'!$O$5*10^-3)+('Packets Structures'!$M$27*10^3)+('Packets Structures'!$M$28*10^3)+('Packets Structures'!$M$29*10^3)</f>
        <v>0.55600000000000005</v>
      </c>
      <c r="AE14" s="61">
        <f t="shared" ref="AE14:AE15" si="7">R14-AG14</f>
        <v>7.27</v>
      </c>
      <c r="AF14" s="84">
        <f t="shared" si="3"/>
        <v>2</v>
      </c>
      <c r="AG14" s="298">
        <f>('Packets Structures'!$M$27*10^3)+('Tab. Intervals'!$O$5*10^-3)</f>
        <v>0.22999999999999998</v>
      </c>
      <c r="AH14" s="26">
        <f>'Packets Structures'!$M$30*10^3+'Packets Structures'!$M$28*10^3+2*'Tab. Intervals'!$O$5*10^-3</f>
        <v>0.59599999999999997</v>
      </c>
      <c r="AI14" s="26">
        <f t="shared" ref="AI14:AI15" si="8">FLOOR(AB14/AH14,1)</f>
        <v>11</v>
      </c>
      <c r="AJ14" s="26">
        <f t="shared" ref="AJ14:AJ15" si="9">FLOOR(AE14/AH14,1)</f>
        <v>12</v>
      </c>
      <c r="AK14" s="26">
        <f t="shared" ref="AK14:AK15" si="10">IF(Q14&lt;=AI14,CEILING(Q14/AI14,1),IF(AND(MOD(Q14,AJ14)&gt;0,MOD(Q14,AJ14)&lt;=AI14),CEILING(Q14/AJ14,1),CEILING(Q14/AJ14,1)+1))</f>
        <v>1</v>
      </c>
      <c r="AL14" s="3">
        <f>(F14-(AK14-1)*AJ14*'Packets Structures'!$Q$22)</f>
        <v>27</v>
      </c>
      <c r="AM14" s="3">
        <f>TRUNC(AL14/'Packets Structures'!$Q$22,0)</f>
        <v>1</v>
      </c>
      <c r="AN14" s="3">
        <f>MOD(AL14,'Packets Structures'!$Q$22)</f>
        <v>0</v>
      </c>
      <c r="AO14" s="309">
        <f>R14*(AK14-1)+AD14+(AM14*((('Packets Structures'!$Q$22*8)/($B$4*10^6))*10^3+'Packets Structures'!$M$28*10^3+2*'Tab. Intervals'!$O$5*10^-3)+((AN14*8)/($B$4*10^6))*10^3+'Packets Structures'!$M$28*10^3+2*'Tab. Intervals'!$O$5*10^-3)</f>
        <v>1.532</v>
      </c>
      <c r="AP14" s="314">
        <f>P14+'Tab. Intervals'!$O$24+X14+AO14</f>
        <v>3.4119999999999999</v>
      </c>
      <c r="AQ14" s="315">
        <f>P14+'Tab. Intervals'!$O$24+X14+Z14+R14*AK14</f>
        <v>15.629999999999999</v>
      </c>
      <c r="AR14" s="317">
        <f t="shared" si="0"/>
        <v>3.4119999999999997E-3</v>
      </c>
      <c r="AS14" s="316">
        <f t="shared" si="4"/>
        <v>9.5209999999999982E-3</v>
      </c>
      <c r="AT14" s="318">
        <f t="shared" si="1"/>
        <v>1.5629999999999998E-2</v>
      </c>
      <c r="AU14" s="306" t="s">
        <v>373</v>
      </c>
    </row>
    <row r="15" spans="1:51">
      <c r="C15" s="310">
        <v>60</v>
      </c>
      <c r="D15" s="121">
        <v>2</v>
      </c>
      <c r="E15" s="309">
        <v>2</v>
      </c>
      <c r="F15" s="313">
        <v>267</v>
      </c>
      <c r="G15" s="344">
        <v>20</v>
      </c>
      <c r="H15" s="346">
        <f>IF(G15="",1,IF(AND(MOD(G15,'Tab. Intervals'!$E$7)=0,G15&gt;=('Tab. Intervals'!$H$7),G15&lt;=('Tab. Intervals'!$K$7*10^3)),2,0))</f>
        <v>2</v>
      </c>
      <c r="I15" s="344">
        <v>0</v>
      </c>
      <c r="J15" s="346">
        <f>IF(I15="",1,IF(AND(I15&gt;='Tab. Intervals'!$H$8,I15&lt;='Tab. Intervals'!$K$8),2,0))</f>
        <v>2</v>
      </c>
      <c r="K15" s="345">
        <f t="shared" si="5"/>
        <v>20</v>
      </c>
      <c r="L15" s="121">
        <f>'Packets Structures'!$F$28*10^3</f>
        <v>0.17599999999999999</v>
      </c>
      <c r="M15" s="121">
        <f>'Packets Structures'!$F$27*10^3</f>
        <v>0.128</v>
      </c>
      <c r="N15" s="304" t="s">
        <v>340</v>
      </c>
      <c r="O15" s="121">
        <f>'Packets Structures'!$F$29*10^3</f>
        <v>0.35199999999999998</v>
      </c>
      <c r="P15" s="357">
        <f>VALUE(MID(N15,1,1))*L15+VALUE(MID(N15,2,1))*M15+'Tab. Intervals'!$O$5*10^-3+O15</f>
        <v>0.63</v>
      </c>
      <c r="Q15" s="356">
        <f>CEILING((F15/'Packets Structures'!$Q$22),1)</f>
        <v>10</v>
      </c>
      <c r="R15" s="293">
        <v>7.5</v>
      </c>
      <c r="S15" s="348">
        <f>IF(R15="",1,IF(AND(MOD(R15,'Tab. Intervals'!$E$13)=0,R15&gt;='Tab. Intervals'!$H$13,R15&lt;=('Tab. Intervals'!$K$13*10^3)),2,0))</f>
        <v>2</v>
      </c>
      <c r="T15" s="361">
        <v>1010</v>
      </c>
      <c r="U15" s="348">
        <f>IF(T15="",1,IF(AND(MOD(T15,'Tab. Intervals'!$E$17)=0,T15&gt;='Tab. Intervals'!$H$17,T15&lt;=('Tab. Intervals'!$K$17*10^3)),2,0))</f>
        <v>2</v>
      </c>
      <c r="V15" s="293">
        <v>0</v>
      </c>
      <c r="W15" s="348">
        <f>IF(OR(V15="",R15="",T15="",R15=0),1,IF(AND(V15&gt;='Tab. Intervals'!$H$14,V15&lt;=MIN(500,T15/R15 - 1)),2,0))</f>
        <v>2</v>
      </c>
      <c r="X15" s="293">
        <v>0</v>
      </c>
      <c r="Y15" s="348">
        <f>IF(X15="",1,IF(AND(MOD(X15,'Tab. Intervals'!$E$13)=0,X15&gt;='Tab. Intervals'!$H$19,X15&lt;=R15),2,0))</f>
        <v>2</v>
      </c>
      <c r="Z15" s="293">
        <v>6.25</v>
      </c>
      <c r="AA15" s="348">
        <f>IF(OR(Z15="",R15=""),1,IF(AND(MOD(Z15,'Tab. Intervals'!$E$20)=0,Z15&gt;='Tab. Intervals'!$H$20,Z15&lt;=MIN(10,R15-1.25)),2,0))</f>
        <v>2</v>
      </c>
      <c r="AB15" s="61">
        <f t="shared" si="6"/>
        <v>6.944</v>
      </c>
      <c r="AC15" s="84">
        <f t="shared" si="2"/>
        <v>2</v>
      </c>
      <c r="AD15" s="298">
        <f>(2*'Tab. Intervals'!$O$5*10^-3)+('Packets Structures'!$M$27*10^3)+('Packets Structures'!$M$28*10^3)+('Packets Structures'!$M$29*10^3)</f>
        <v>0.55600000000000005</v>
      </c>
      <c r="AE15" s="61">
        <f t="shared" si="7"/>
        <v>7.27</v>
      </c>
      <c r="AF15" s="84">
        <f t="shared" si="3"/>
        <v>2</v>
      </c>
      <c r="AG15" s="298">
        <f>('Packets Structures'!$M$27*10^3)+('Tab. Intervals'!$O$5*10^-3)</f>
        <v>0.22999999999999998</v>
      </c>
      <c r="AH15" s="26">
        <f>'Packets Structures'!$M$30*10^3+'Packets Structures'!$M$28*10^3+2*'Tab. Intervals'!$O$5*10^-3</f>
        <v>0.59599999999999997</v>
      </c>
      <c r="AI15" s="26">
        <f t="shared" si="8"/>
        <v>11</v>
      </c>
      <c r="AJ15" s="26">
        <f t="shared" si="9"/>
        <v>12</v>
      </c>
      <c r="AK15" s="26">
        <f t="shared" si="10"/>
        <v>1</v>
      </c>
      <c r="AL15" s="3">
        <f>(F15-(AK15-1)*AJ15*'Packets Structures'!$Q$22)</f>
        <v>267</v>
      </c>
      <c r="AM15" s="3">
        <f>TRUNC(AL15/'Packets Structures'!$Q$22,0)</f>
        <v>9</v>
      </c>
      <c r="AN15" s="3">
        <f>MOD(AL15,'Packets Structures'!$Q$22)</f>
        <v>24</v>
      </c>
      <c r="AO15" s="309">
        <f>R15*(AK15-1)+AD15+(AM15*((('Packets Structures'!$Q$22*8)/($B$4*10^6))*10^3+'Packets Structures'!$M$28*10^3+2*'Tab. Intervals'!$O$5*10^-3)+((AN15*8)/($B$4*10^6))*10^3+'Packets Structures'!$M$28*10^3+2*'Tab. Intervals'!$O$5*10^-3)</f>
        <v>6.492</v>
      </c>
      <c r="AP15" s="314">
        <f>P15+'Tab. Intervals'!$O$24+X15+AO15</f>
        <v>8.3719999999999999</v>
      </c>
      <c r="AQ15" s="315">
        <f>P15+'Tab. Intervals'!$O$24+X15+Z15+R15*AK15</f>
        <v>15.629999999999999</v>
      </c>
      <c r="AR15" s="317">
        <f t="shared" si="0"/>
        <v>8.372000000000001E-3</v>
      </c>
      <c r="AS15" s="316">
        <f t="shared" si="4"/>
        <v>1.2001E-2</v>
      </c>
      <c r="AT15" s="318">
        <f t="shared" si="1"/>
        <v>1.5629999999999998E-2</v>
      </c>
      <c r="AU15" s="306" t="s">
        <v>346</v>
      </c>
    </row>
    <row r="16" spans="1:51" ht="15" customHeight="1">
      <c r="C16" s="310">
        <v>60</v>
      </c>
      <c r="D16" s="121">
        <v>2</v>
      </c>
      <c r="E16" s="309">
        <v>2</v>
      </c>
      <c r="F16" s="313">
        <v>2000</v>
      </c>
      <c r="G16" s="344">
        <v>20</v>
      </c>
      <c r="H16" s="346">
        <f>IF(G16="",1,IF(AND(MOD(G16,'Tab. Intervals'!$E$7)=0,G16&gt;=('Tab. Intervals'!$H$7),G16&lt;=('Tab. Intervals'!$K$7*10^3)),2,0))</f>
        <v>2</v>
      </c>
      <c r="I16" s="344">
        <v>0</v>
      </c>
      <c r="J16" s="346">
        <f>IF(I16="",1,IF(AND(I16&gt;='Tab. Intervals'!$H$8,I16&lt;='Tab. Intervals'!$K$8),2,0))</f>
        <v>2</v>
      </c>
      <c r="K16" s="345">
        <f t="shared" ref="K16" si="11">G16+I16</f>
        <v>20</v>
      </c>
      <c r="L16" s="121">
        <f>'Packets Structures'!$F$28*10^3</f>
        <v>0.17599999999999999</v>
      </c>
      <c r="M16" s="121">
        <f>'Packets Structures'!$F$27*10^3</f>
        <v>0.128</v>
      </c>
      <c r="N16" s="304" t="s">
        <v>340</v>
      </c>
      <c r="O16" s="122">
        <f>'Packets Structures'!$F$29*10^3</f>
        <v>0.35199999999999998</v>
      </c>
      <c r="P16" s="357">
        <f>VALUE(MID(N16,1,1))*L16+VALUE(MID(N16,2,1))*M16+'Tab. Intervals'!$O$5*10^-3+O16</f>
        <v>0.63</v>
      </c>
      <c r="Q16" s="356">
        <f>CEILING((F16/'Packets Structures'!$Q$22),1)</f>
        <v>75</v>
      </c>
      <c r="R16" s="293">
        <v>7.5</v>
      </c>
      <c r="S16" s="348">
        <f>IF(R16="",1,IF(AND(MOD(R16,'Tab. Intervals'!$E$13)=0,R16&gt;='Tab. Intervals'!$H$13,R16&lt;=('Tab. Intervals'!$K$13*10^3)),2,0))</f>
        <v>2</v>
      </c>
      <c r="T16" s="361">
        <v>1010</v>
      </c>
      <c r="U16" s="348">
        <f>IF(T16="",1,IF(AND(MOD(T16,'Tab. Intervals'!$E$17)=0,T16&gt;='Tab. Intervals'!$H$17,T16&lt;=('Tab. Intervals'!$K$17*10^3)),2,0))</f>
        <v>2</v>
      </c>
      <c r="V16" s="293">
        <v>0</v>
      </c>
      <c r="W16" s="348">
        <f>IF(OR(V16="",R16="",T16="",R16=0),1,IF(AND(V16&gt;='Tab. Intervals'!$H$14,V16&lt;=MIN(500,T16/R16 - 1)),2,0))</f>
        <v>2</v>
      </c>
      <c r="X16" s="293">
        <v>0</v>
      </c>
      <c r="Y16" s="348">
        <f>IF(X16="",1,IF(AND(MOD(X16,'Tab. Intervals'!$E$13)=0,X16&gt;='Tab. Intervals'!$H$19,X16&lt;=R16),2,0))</f>
        <v>2</v>
      </c>
      <c r="Z16" s="293">
        <v>6.25</v>
      </c>
      <c r="AA16" s="348">
        <f>IF(OR(Z16="",R16=""),1,IF(AND(MOD(Z16,'Tab. Intervals'!$E$20)=0,Z16&gt;='Tab. Intervals'!$H$20,Z16&lt;=MIN(10,R16-1.25)),2,0))</f>
        <v>2</v>
      </c>
      <c r="AB16" s="61">
        <f t="shared" ref="AB16" si="12">R16-AD16</f>
        <v>6.944</v>
      </c>
      <c r="AC16" s="84">
        <f t="shared" si="2"/>
        <v>2</v>
      </c>
      <c r="AD16" s="298">
        <f>(2*'Tab. Intervals'!$O$5*10^-3)+('Packets Structures'!$M$27*10^3)+('Packets Structures'!$M$28*10^3)+('Packets Structures'!$M$29*10^3)</f>
        <v>0.55600000000000005</v>
      </c>
      <c r="AE16" s="61">
        <f t="shared" ref="AE16" si="13">R16-AG16</f>
        <v>7.27</v>
      </c>
      <c r="AF16" s="84">
        <f t="shared" si="3"/>
        <v>2</v>
      </c>
      <c r="AG16" s="298">
        <f>('Packets Structures'!$M$27*10^3)+('Tab. Intervals'!$O$5*10^-3)</f>
        <v>0.22999999999999998</v>
      </c>
      <c r="AH16" s="26">
        <f>'Packets Structures'!$M$30*10^3+'Packets Structures'!$M$28*10^3+2*'Tab. Intervals'!$O$5*10^-3</f>
        <v>0.59599999999999997</v>
      </c>
      <c r="AI16" s="26">
        <f t="shared" ref="AI16" si="14">FLOOR(AB16/AH16,1)</f>
        <v>11</v>
      </c>
      <c r="AJ16" s="26">
        <f t="shared" ref="AJ16" si="15">FLOOR(AE16/AH16,1)</f>
        <v>12</v>
      </c>
      <c r="AK16" s="26">
        <f t="shared" ref="AK16" si="16">IF(Q16&lt;=AI16,CEILING(Q16/AI16,1),IF(AND(MOD(Q16,AJ16)&gt;0,MOD(Q16,AJ16)&lt;=AI16),CEILING(Q16/AJ16,1),CEILING(Q16/AJ16,1)+1))</f>
        <v>7</v>
      </c>
      <c r="AL16" s="3">
        <f>(F16-(AK16-1)*AJ16*'Packets Structures'!$Q$22)</f>
        <v>56</v>
      </c>
      <c r="AM16" s="3">
        <f>TRUNC(AL16/'Packets Structures'!$Q$22,0)</f>
        <v>2</v>
      </c>
      <c r="AN16" s="3">
        <f>MOD(AL16,'Packets Structures'!$Q$22)</f>
        <v>2</v>
      </c>
      <c r="AO16" s="309">
        <f>R16*(AK16-1)+AD16+(AM16*((('Packets Structures'!$Q$22*8)/($B$4*10^6))*10^3+'Packets Structures'!$M$28*10^3+2*'Tab. Intervals'!$O$5*10^-3)+((AN16*8)/($B$4*10^6))*10^3+'Packets Structures'!$M$28*10^3+2*'Tab. Intervals'!$O$5*10^-3)</f>
        <v>47.143999999999998</v>
      </c>
      <c r="AP16" s="314">
        <f>P16+'Tab. Intervals'!$O$24+X16+AO16</f>
        <v>49.024000000000001</v>
      </c>
      <c r="AQ16" s="315">
        <f>P16+'Tab. Intervals'!$O$24+X16+Z16+R16*AK16</f>
        <v>60.629999999999995</v>
      </c>
      <c r="AR16" s="317">
        <f t="shared" si="0"/>
        <v>4.9024000000000005E-2</v>
      </c>
      <c r="AS16" s="316">
        <f t="shared" si="4"/>
        <v>5.4827000000000001E-2</v>
      </c>
      <c r="AT16" s="318">
        <f t="shared" si="1"/>
        <v>6.0629999999999996E-2</v>
      </c>
      <c r="AU16" s="306" t="s">
        <v>379</v>
      </c>
    </row>
    <row r="17" spans="2:47" ht="15" customHeight="1">
      <c r="C17" s="310">
        <v>60</v>
      </c>
      <c r="D17" s="121">
        <v>2</v>
      </c>
      <c r="E17" s="309">
        <v>2</v>
      </c>
      <c r="F17" s="313">
        <f>800*1024</f>
        <v>819200</v>
      </c>
      <c r="G17" s="351">
        <v>20</v>
      </c>
      <c r="H17" s="350">
        <f>IF(G17="",1,IF(AND(MOD(G17,'Tab. Intervals'!$E$7)=0,G17&gt;=('Tab. Intervals'!$H$7),G17&lt;=('Tab. Intervals'!$K$7*10^3)),2,0))</f>
        <v>2</v>
      </c>
      <c r="I17" s="351">
        <v>0</v>
      </c>
      <c r="J17" s="350">
        <f>IF(I17="",1,IF(AND(I17&gt;='Tab. Intervals'!$H$8,I17&lt;='Tab. Intervals'!$K$8),2,0))</f>
        <v>2</v>
      </c>
      <c r="K17" s="349">
        <f t="shared" ref="K17" si="17">G17+I17</f>
        <v>20</v>
      </c>
      <c r="L17" s="121">
        <f>'Packets Structures'!$F$28*10^3</f>
        <v>0.17599999999999999</v>
      </c>
      <c r="M17" s="121">
        <f>'Packets Structures'!$F$27*10^3</f>
        <v>0.128</v>
      </c>
      <c r="N17" s="304" t="s">
        <v>340</v>
      </c>
      <c r="O17" s="122">
        <f>'Packets Structures'!$F$29*10^3</f>
        <v>0.35199999999999998</v>
      </c>
      <c r="P17" s="357">
        <f>VALUE(MID(N17,1,1))*L17+VALUE(MID(N17,2,1))*M17+'Tab. Intervals'!$O$5*10^-3+O17</f>
        <v>0.63</v>
      </c>
      <c r="Q17" s="356">
        <f>CEILING((F17/'Packets Structures'!$Q$22),1)</f>
        <v>30341</v>
      </c>
      <c r="R17" s="351">
        <v>7.5</v>
      </c>
      <c r="S17" s="353">
        <f>IF(R17="",1,IF(AND(MOD(R17,'Tab. Intervals'!$E$13)=0,R17&gt;='Tab. Intervals'!$H$13,R17&lt;=('Tab. Intervals'!$K$13*10^3)),2,0))</f>
        <v>2</v>
      </c>
      <c r="T17" s="361">
        <v>1010</v>
      </c>
      <c r="U17" s="353">
        <f>IF(T17="",1,IF(AND(MOD(T17,'Tab. Intervals'!$E$17)=0,T17&gt;='Tab. Intervals'!$H$17,T17&lt;=('Tab. Intervals'!$K$17*10^3)),2,0))</f>
        <v>2</v>
      </c>
      <c r="V17" s="351">
        <v>0</v>
      </c>
      <c r="W17" s="353">
        <f>IF(OR(V17="",R17="",T17="",R17=0),1,IF(AND(V17&gt;='Tab. Intervals'!$H$14,V17&lt;=MIN(500,T17/R17 - 1)),2,0))</f>
        <v>2</v>
      </c>
      <c r="X17" s="351">
        <v>0</v>
      </c>
      <c r="Y17" s="353">
        <f>IF(X17="",1,IF(AND(MOD(X17,'Tab. Intervals'!$E$13)=0,X17&gt;='Tab. Intervals'!$H$19,X17&lt;=R17),2,0))</f>
        <v>2</v>
      </c>
      <c r="Z17" s="351">
        <v>6.25</v>
      </c>
      <c r="AA17" s="353">
        <f>IF(OR(Z17="",R17=""),1,IF(AND(MOD(Z17,'Tab. Intervals'!$E$20)=0,Z17&gt;='Tab. Intervals'!$H$20,Z17&lt;=MIN(10,R17-1.25)),2,0))</f>
        <v>2</v>
      </c>
      <c r="AB17" s="61">
        <f t="shared" ref="AB17" si="18">R17-AD17</f>
        <v>6.944</v>
      </c>
      <c r="AC17" s="84">
        <f t="shared" ref="AC17" si="19">IF(R17="",1,IF(OR(R17=0,AB17&lt;=0),0,2))</f>
        <v>2</v>
      </c>
      <c r="AD17" s="352">
        <f>(2*'Tab. Intervals'!$O$5*10^-3)+('Packets Structures'!$M$27*10^3)+('Packets Structures'!$M$28*10^3)+('Packets Structures'!$M$29*10^3)</f>
        <v>0.55600000000000005</v>
      </c>
      <c r="AE17" s="61">
        <f t="shared" ref="AE17" si="20">R17-AG17</f>
        <v>7.27</v>
      </c>
      <c r="AF17" s="84">
        <f t="shared" ref="AF17" si="21">IF(R17="",1,IF(OR(R17=0,AE17&lt;=0),0,2))</f>
        <v>2</v>
      </c>
      <c r="AG17" s="352">
        <f>('Packets Structures'!$M$27*10^3)+('Tab. Intervals'!$O$5*10^-3)</f>
        <v>0.22999999999999998</v>
      </c>
      <c r="AH17" s="26">
        <f>'Packets Structures'!$M$30*10^3+'Packets Structures'!$M$28*10^3+2*'Tab. Intervals'!$O$5*10^-3</f>
        <v>0.59599999999999997</v>
      </c>
      <c r="AI17" s="26">
        <f t="shared" ref="AI17" si="22">FLOOR(AB17/AH17,1)</f>
        <v>11</v>
      </c>
      <c r="AJ17" s="26">
        <f t="shared" ref="AJ17" si="23">FLOOR(AE17/AH17,1)</f>
        <v>12</v>
      </c>
      <c r="AK17" s="26">
        <f t="shared" ref="AK17" si="24">IF(Q17&lt;=AI17,CEILING(Q17/AI17,1),IF(AND(MOD(Q17,AJ17)&gt;0,MOD(Q17,AJ17)&lt;=AI17),CEILING(Q17/AJ17,1),CEILING(Q17/AJ17,1)+1))</f>
        <v>2529</v>
      </c>
      <c r="AL17" s="3">
        <f>(F17-(AK17-1)*AJ17*'Packets Structures'!$Q$22)</f>
        <v>128</v>
      </c>
      <c r="AM17" s="3">
        <f>TRUNC(AL17/'Packets Structures'!$Q$22,0)</f>
        <v>4</v>
      </c>
      <c r="AN17" s="3">
        <f>MOD(AL17,'Packets Structures'!$Q$22)</f>
        <v>20</v>
      </c>
      <c r="AO17" s="309">
        <f>R17*(AK17-1)+AD17+(AM17*((('Packets Structures'!$Q$22*8)/($B$4*10^6))*10^3+'Packets Structures'!$M$28*10^3+2*'Tab. Intervals'!$O$5*10^-3)+((AN17*8)/($B$4*10^6))*10^3+'Packets Structures'!$M$28*10^3+2*'Tab. Intervals'!$O$5*10^-3)</f>
        <v>18963.48</v>
      </c>
      <c r="AP17" s="314">
        <f>P17+'Tab. Intervals'!$O$24+X17+AO17</f>
        <v>18965.36</v>
      </c>
      <c r="AQ17" s="315">
        <f>P17+'Tab. Intervals'!$O$24+X17+Z17+R17*AK17</f>
        <v>18975.63</v>
      </c>
      <c r="AR17" s="317">
        <f t="shared" si="0"/>
        <v>18.965359999999997</v>
      </c>
      <c r="AS17" s="316">
        <f t="shared" ref="AS17" si="25">AVERAGE(AR17,AT17)</f>
        <v>18.970495</v>
      </c>
      <c r="AT17" s="318">
        <f t="shared" si="1"/>
        <v>18.975630000000002</v>
      </c>
      <c r="AU17" s="306" t="s">
        <v>380</v>
      </c>
    </row>
    <row r="18" spans="2:47" ht="15" customHeight="1">
      <c r="C18" s="310">
        <v>60</v>
      </c>
      <c r="D18" s="121">
        <v>2</v>
      </c>
      <c r="E18" s="309">
        <v>2</v>
      </c>
      <c r="F18" s="313">
        <f>2*1024*1024</f>
        <v>2097152</v>
      </c>
      <c r="G18" s="351">
        <v>20</v>
      </c>
      <c r="H18" s="350">
        <f>IF(G18="",1,IF(AND(MOD(G18,'Tab. Intervals'!$E$7)=0,G18&gt;=('Tab. Intervals'!$H$7),G18&lt;=('Tab. Intervals'!$K$7*10^3)),2,0))</f>
        <v>2</v>
      </c>
      <c r="I18" s="351">
        <v>0</v>
      </c>
      <c r="J18" s="350">
        <f>IF(I18="",1,IF(AND(I18&gt;='Tab. Intervals'!$H$8,I18&lt;='Tab. Intervals'!$K$8),2,0))</f>
        <v>2</v>
      </c>
      <c r="K18" s="349">
        <f t="shared" ref="K18" si="26">G18+I18</f>
        <v>20</v>
      </c>
      <c r="L18" s="121">
        <f>'Packets Structures'!$F$28*10^3</f>
        <v>0.17599999999999999</v>
      </c>
      <c r="M18" s="121">
        <f>'Packets Structures'!$F$27*10^3</f>
        <v>0.128</v>
      </c>
      <c r="N18" s="304" t="s">
        <v>340</v>
      </c>
      <c r="O18" s="122">
        <f>'Packets Structures'!$F$29*10^3</f>
        <v>0.35199999999999998</v>
      </c>
      <c r="P18" s="357">
        <f>VALUE(MID(N18,1,1))*L18+VALUE(MID(N18,2,1))*M18+'Tab. Intervals'!$O$5*10^-3+O18</f>
        <v>0.63</v>
      </c>
      <c r="Q18" s="356">
        <f>CEILING((F18/'Packets Structures'!$Q$22),1)</f>
        <v>77673</v>
      </c>
      <c r="R18" s="351">
        <v>7.5</v>
      </c>
      <c r="S18" s="353">
        <f>IF(R18="",1,IF(AND(MOD(R18,'Tab. Intervals'!$E$13)=0,R18&gt;='Tab. Intervals'!$H$13,R18&lt;=('Tab. Intervals'!$K$13*10^3)),2,0))</f>
        <v>2</v>
      </c>
      <c r="T18" s="361">
        <v>1010</v>
      </c>
      <c r="U18" s="353">
        <f>IF(T18="",1,IF(AND(MOD(T18,'Tab. Intervals'!$E$17)=0,T18&gt;='Tab. Intervals'!$H$17,T18&lt;=('Tab. Intervals'!$K$17*10^3)),2,0))</f>
        <v>2</v>
      </c>
      <c r="V18" s="351">
        <v>0</v>
      </c>
      <c r="W18" s="353">
        <f>IF(OR(V18="",R18="",T18="",R18=0),1,IF(AND(V18&gt;='Tab. Intervals'!$H$14,V18&lt;=MIN(500,T18/R18 - 1)),2,0))</f>
        <v>2</v>
      </c>
      <c r="X18" s="351">
        <v>0</v>
      </c>
      <c r="Y18" s="353">
        <f>IF(X18="",1,IF(AND(MOD(X18,'Tab. Intervals'!$E$13)=0,X18&gt;='Tab. Intervals'!$H$19,X18&lt;=R18),2,0))</f>
        <v>2</v>
      </c>
      <c r="Z18" s="351">
        <v>6.25</v>
      </c>
      <c r="AA18" s="353">
        <f>IF(OR(Z18="",R18=""),1,IF(AND(MOD(Z18,'Tab. Intervals'!$E$20)=0,Z18&gt;='Tab. Intervals'!$H$20,Z18&lt;=MIN(10,R18-1.25)),2,0))</f>
        <v>2</v>
      </c>
      <c r="AB18" s="61">
        <f t="shared" ref="AB18" si="27">R18-AD18</f>
        <v>6.944</v>
      </c>
      <c r="AC18" s="84">
        <f t="shared" ref="AC18" si="28">IF(R18="",1,IF(OR(R18=0,AB18&lt;=0),0,2))</f>
        <v>2</v>
      </c>
      <c r="AD18" s="352">
        <f>(2*'Tab. Intervals'!$O$5*10^-3)+('Packets Structures'!$M$27*10^3)+('Packets Structures'!$M$28*10^3)+('Packets Structures'!$M$29*10^3)</f>
        <v>0.55600000000000005</v>
      </c>
      <c r="AE18" s="61">
        <f t="shared" ref="AE18" si="29">R18-AG18</f>
        <v>7.27</v>
      </c>
      <c r="AF18" s="84">
        <f t="shared" ref="AF18" si="30">IF(R18="",1,IF(OR(R18=0,AE18&lt;=0),0,2))</f>
        <v>2</v>
      </c>
      <c r="AG18" s="352">
        <f>('Packets Structures'!$M$27*10^3)+('Tab. Intervals'!$O$5*10^-3)</f>
        <v>0.22999999999999998</v>
      </c>
      <c r="AH18" s="26">
        <f>'Packets Structures'!$M$30*10^3+'Packets Structures'!$M$28*10^3+2*'Tab. Intervals'!$O$5*10^-3</f>
        <v>0.59599999999999997</v>
      </c>
      <c r="AI18" s="26">
        <f t="shared" ref="AI18" si="31">FLOOR(AB18/AH18,1)</f>
        <v>11</v>
      </c>
      <c r="AJ18" s="26">
        <f t="shared" ref="AJ18" si="32">FLOOR(AE18/AH18,1)</f>
        <v>12</v>
      </c>
      <c r="AK18" s="26">
        <f t="shared" ref="AK18" si="33">IF(Q18&lt;=AI18,CEILING(Q18/AI18,1),IF(AND(MOD(Q18,AJ18)&gt;0,MOD(Q18,AJ18)&lt;=AI18),CEILING(Q18/AJ18,1),CEILING(Q18/AJ18,1)+1))</f>
        <v>6473</v>
      </c>
      <c r="AL18" s="3">
        <f>(F18-(AK18-1)*AJ18*'Packets Structures'!$Q$22)</f>
        <v>224</v>
      </c>
      <c r="AM18" s="3">
        <f>TRUNC(AL18/'Packets Structures'!$Q$22,0)</f>
        <v>8</v>
      </c>
      <c r="AN18" s="3">
        <f>MOD(AL18,'Packets Structures'!$Q$22)</f>
        <v>8</v>
      </c>
      <c r="AO18" s="309">
        <f>R18*(AK18-1)+AD18+(AM18*((('Packets Structures'!$Q$22*8)/($B$4*10^6))*10^3+'Packets Structures'!$M$28*10^3+2*'Tab. Intervals'!$O$5*10^-3)+((AN18*8)/($B$4*10^6))*10^3+'Packets Structures'!$M$28*10^3+2*'Tab. Intervals'!$O$5*10^-3)</f>
        <v>48545.767999999996</v>
      </c>
      <c r="AP18" s="314">
        <f>P18+'Tab. Intervals'!$O$24+X18+AO18</f>
        <v>48547.647999999994</v>
      </c>
      <c r="AQ18" s="315">
        <f>P18+'Tab. Intervals'!$O$24+X18+Z18+R18*AK18</f>
        <v>48555.63</v>
      </c>
      <c r="AR18" s="317">
        <f t="shared" si="0"/>
        <v>48.547647999999995</v>
      </c>
      <c r="AS18" s="316">
        <f t="shared" ref="AS18" si="34">AVERAGE(AR18,AT18)</f>
        <v>48.551638999999994</v>
      </c>
      <c r="AT18" s="318">
        <f t="shared" si="1"/>
        <v>48.555629999999994</v>
      </c>
      <c r="AU18" s="306" t="s">
        <v>378</v>
      </c>
    </row>
    <row r="19" spans="2:47" ht="15" customHeight="1"/>
    <row r="23" spans="2:47" ht="15" customHeight="1"/>
    <row r="24" spans="2:47" ht="15" customHeight="1"/>
    <row r="30" spans="2:47">
      <c r="B30" s="319"/>
      <c r="C30" s="319"/>
      <c r="D30" s="319"/>
      <c r="E30" s="319"/>
    </row>
    <row r="31" spans="2:47">
      <c r="B31" s="319"/>
      <c r="C31" s="319"/>
      <c r="D31" s="319"/>
      <c r="E31" s="319"/>
    </row>
    <row r="32" spans="2:47" ht="15.75" thickBot="1">
      <c r="B32" s="319"/>
      <c r="C32" s="319"/>
      <c r="D32" s="319"/>
      <c r="E32" s="319"/>
    </row>
    <row r="33" spans="1:47" ht="19.5" customHeight="1" thickBot="1">
      <c r="A33" s="650" t="s">
        <v>375</v>
      </c>
      <c r="B33" s="651"/>
      <c r="C33" s="652" t="s">
        <v>115</v>
      </c>
      <c r="D33" s="652"/>
      <c r="E33" s="652"/>
      <c r="F33" s="652"/>
      <c r="G33" s="652"/>
      <c r="H33" s="652"/>
      <c r="I33" s="652"/>
      <c r="J33" s="652"/>
      <c r="K33" s="652"/>
      <c r="L33" s="652"/>
      <c r="M33" s="652"/>
      <c r="N33" s="652"/>
      <c r="O33" s="652"/>
      <c r="P33" s="652"/>
      <c r="Q33" s="652"/>
      <c r="R33" s="652"/>
      <c r="S33" s="652"/>
      <c r="T33" s="652"/>
      <c r="U33" s="652"/>
      <c r="V33" s="652"/>
      <c r="W33" s="652"/>
      <c r="X33" s="652"/>
      <c r="Y33" s="652"/>
      <c r="Z33" s="652"/>
      <c r="AA33" s="652"/>
      <c r="AB33" s="652"/>
      <c r="AC33" s="652"/>
      <c r="AD33" s="652"/>
      <c r="AE33" s="652"/>
      <c r="AF33" s="652"/>
      <c r="AG33" s="652"/>
      <c r="AH33" s="652"/>
      <c r="AI33" s="652"/>
      <c r="AJ33" s="652"/>
      <c r="AK33" s="652"/>
      <c r="AL33" s="652"/>
      <c r="AM33" s="652"/>
      <c r="AN33" s="652"/>
      <c r="AO33" s="652"/>
      <c r="AP33" s="652"/>
      <c r="AQ33" s="653"/>
      <c r="AR33" s="623" t="s">
        <v>371</v>
      </c>
      <c r="AS33" s="624"/>
      <c r="AT33" s="625"/>
      <c r="AU33" s="594" t="s">
        <v>333</v>
      </c>
    </row>
    <row r="34" spans="1:47" ht="15" customHeight="1">
      <c r="A34" s="590" t="s">
        <v>374</v>
      </c>
      <c r="B34" s="591"/>
      <c r="C34" s="597" t="s">
        <v>116</v>
      </c>
      <c r="D34" s="600" t="s">
        <v>121</v>
      </c>
      <c r="E34" s="603" t="s">
        <v>122</v>
      </c>
      <c r="F34" s="606" t="s">
        <v>288</v>
      </c>
      <c r="G34" s="609" t="s">
        <v>292</v>
      </c>
      <c r="H34" s="610"/>
      <c r="I34" s="610"/>
      <c r="J34" s="610"/>
      <c r="K34" s="610"/>
      <c r="L34" s="610"/>
      <c r="M34" s="610"/>
      <c r="N34" s="610"/>
      <c r="O34" s="610"/>
      <c r="P34" s="611"/>
      <c r="Q34" s="635" t="s">
        <v>291</v>
      </c>
      <c r="R34" s="636"/>
      <c r="S34" s="636"/>
      <c r="T34" s="636"/>
      <c r="U34" s="636"/>
      <c r="V34" s="636"/>
      <c r="W34" s="636"/>
      <c r="X34" s="636"/>
      <c r="Y34" s="636"/>
      <c r="Z34" s="636"/>
      <c r="AA34" s="636"/>
      <c r="AB34" s="636"/>
      <c r="AC34" s="636"/>
      <c r="AD34" s="636"/>
      <c r="AE34" s="636"/>
      <c r="AF34" s="636"/>
      <c r="AG34" s="636"/>
      <c r="AH34" s="636"/>
      <c r="AI34" s="636"/>
      <c r="AJ34" s="636"/>
      <c r="AK34" s="636"/>
      <c r="AL34" s="636"/>
      <c r="AM34" s="636"/>
      <c r="AN34" s="636"/>
      <c r="AO34" s="637"/>
      <c r="AP34" s="612" t="s">
        <v>331</v>
      </c>
      <c r="AQ34" s="615" t="s">
        <v>332</v>
      </c>
      <c r="AR34" s="626"/>
      <c r="AS34" s="627"/>
      <c r="AT34" s="628"/>
      <c r="AU34" s="595"/>
    </row>
    <row r="35" spans="1:47" ht="15" customHeight="1">
      <c r="A35" s="577"/>
      <c r="B35" s="592"/>
      <c r="C35" s="598"/>
      <c r="D35" s="601"/>
      <c r="E35" s="604"/>
      <c r="F35" s="607"/>
      <c r="G35" s="618" t="s">
        <v>298</v>
      </c>
      <c r="H35" s="354"/>
      <c r="I35" s="618" t="s">
        <v>299</v>
      </c>
      <c r="J35" s="354"/>
      <c r="K35" s="620" t="s">
        <v>300</v>
      </c>
      <c r="L35" s="581" t="s">
        <v>338</v>
      </c>
      <c r="M35" s="581" t="s">
        <v>318</v>
      </c>
      <c r="N35" s="584" t="s">
        <v>339</v>
      </c>
      <c r="O35" s="620" t="s">
        <v>317</v>
      </c>
      <c r="P35" s="641" t="s">
        <v>319</v>
      </c>
      <c r="Q35" s="644" t="s">
        <v>289</v>
      </c>
      <c r="R35" s="647" t="s">
        <v>296</v>
      </c>
      <c r="S35" s="244"/>
      <c r="T35" s="647" t="s">
        <v>302</v>
      </c>
      <c r="U35" s="245"/>
      <c r="V35" s="647" t="s">
        <v>293</v>
      </c>
      <c r="W35" s="244"/>
      <c r="X35" s="647" t="s">
        <v>294</v>
      </c>
      <c r="Y35" s="244"/>
      <c r="Z35" s="647" t="s">
        <v>295</v>
      </c>
      <c r="AA35" s="245"/>
      <c r="AB35" s="584" t="s">
        <v>366</v>
      </c>
      <c r="AC35" s="296"/>
      <c r="AD35" s="587" t="s">
        <v>365</v>
      </c>
      <c r="AE35" s="584" t="s">
        <v>367</v>
      </c>
      <c r="AF35" s="296"/>
      <c r="AG35" s="587" t="s">
        <v>364</v>
      </c>
      <c r="AH35" s="581" t="s">
        <v>368</v>
      </c>
      <c r="AI35" s="581" t="s">
        <v>320</v>
      </c>
      <c r="AJ35" s="581" t="s">
        <v>321</v>
      </c>
      <c r="AK35" s="638" t="s">
        <v>369</v>
      </c>
      <c r="AL35" s="581" t="s">
        <v>370</v>
      </c>
      <c r="AM35" s="581" t="s">
        <v>342</v>
      </c>
      <c r="AN35" s="581" t="s">
        <v>343</v>
      </c>
      <c r="AO35" s="632" t="s">
        <v>330</v>
      </c>
      <c r="AP35" s="613"/>
      <c r="AQ35" s="616"/>
      <c r="AR35" s="626"/>
      <c r="AS35" s="627"/>
      <c r="AT35" s="628"/>
      <c r="AU35" s="595"/>
    </row>
    <row r="36" spans="1:47" ht="15" customHeight="1">
      <c r="A36" s="577"/>
      <c r="B36" s="592"/>
      <c r="C36" s="598"/>
      <c r="D36" s="601"/>
      <c r="E36" s="604"/>
      <c r="F36" s="607"/>
      <c r="G36" s="619"/>
      <c r="H36" s="355"/>
      <c r="I36" s="619"/>
      <c r="J36" s="355"/>
      <c r="K36" s="621"/>
      <c r="L36" s="582"/>
      <c r="M36" s="582"/>
      <c r="N36" s="585"/>
      <c r="O36" s="621"/>
      <c r="P36" s="642"/>
      <c r="Q36" s="645"/>
      <c r="R36" s="648"/>
      <c r="S36" s="287"/>
      <c r="T36" s="648"/>
      <c r="U36" s="289"/>
      <c r="V36" s="648"/>
      <c r="W36" s="287"/>
      <c r="X36" s="648"/>
      <c r="Y36" s="287"/>
      <c r="Z36" s="648"/>
      <c r="AA36" s="289"/>
      <c r="AB36" s="585"/>
      <c r="AC36" s="343"/>
      <c r="AD36" s="588"/>
      <c r="AE36" s="585"/>
      <c r="AF36" s="343"/>
      <c r="AG36" s="588"/>
      <c r="AH36" s="582"/>
      <c r="AI36" s="582"/>
      <c r="AJ36" s="582"/>
      <c r="AK36" s="639"/>
      <c r="AL36" s="582"/>
      <c r="AM36" s="582"/>
      <c r="AN36" s="582"/>
      <c r="AO36" s="633"/>
      <c r="AP36" s="613"/>
      <c r="AQ36" s="616"/>
      <c r="AR36" s="629"/>
      <c r="AS36" s="630"/>
      <c r="AT36" s="631"/>
      <c r="AU36" s="595"/>
    </row>
    <row r="37" spans="1:47" ht="15.75">
      <c r="A37" s="577"/>
      <c r="B37" s="592"/>
      <c r="C37" s="599"/>
      <c r="D37" s="602"/>
      <c r="E37" s="605"/>
      <c r="F37" s="608"/>
      <c r="G37" s="619"/>
      <c r="H37" s="355" t="s">
        <v>301</v>
      </c>
      <c r="I37" s="619"/>
      <c r="J37" s="355" t="s">
        <v>301</v>
      </c>
      <c r="K37" s="622"/>
      <c r="L37" s="583"/>
      <c r="M37" s="583"/>
      <c r="N37" s="586"/>
      <c r="O37" s="622"/>
      <c r="P37" s="643"/>
      <c r="Q37" s="646"/>
      <c r="R37" s="649"/>
      <c r="S37" s="287" t="s">
        <v>301</v>
      </c>
      <c r="T37" s="649"/>
      <c r="U37" s="289" t="s">
        <v>301</v>
      </c>
      <c r="V37" s="649"/>
      <c r="W37" s="287" t="s">
        <v>301</v>
      </c>
      <c r="X37" s="649"/>
      <c r="Y37" s="287" t="s">
        <v>301</v>
      </c>
      <c r="Z37" s="649"/>
      <c r="AA37" s="289" t="s">
        <v>301</v>
      </c>
      <c r="AB37" s="586"/>
      <c r="AC37" s="297" t="s">
        <v>301</v>
      </c>
      <c r="AD37" s="589"/>
      <c r="AE37" s="586"/>
      <c r="AF37" s="297" t="s">
        <v>301</v>
      </c>
      <c r="AG37" s="589"/>
      <c r="AH37" s="583"/>
      <c r="AI37" s="583"/>
      <c r="AJ37" s="583"/>
      <c r="AK37" s="640"/>
      <c r="AL37" s="583"/>
      <c r="AM37" s="583"/>
      <c r="AN37" s="583"/>
      <c r="AO37" s="634"/>
      <c r="AP37" s="614"/>
      <c r="AQ37" s="617"/>
      <c r="AR37" s="307" t="s">
        <v>334</v>
      </c>
      <c r="AS37" s="290" t="s">
        <v>335</v>
      </c>
      <c r="AT37" s="308" t="s">
        <v>336</v>
      </c>
      <c r="AU37" s="596"/>
    </row>
    <row r="38" spans="1:47">
      <c r="A38" s="577"/>
      <c r="B38" s="592"/>
      <c r="C38" s="295">
        <v>60</v>
      </c>
      <c r="D38" s="121">
        <v>1</v>
      </c>
      <c r="E38" s="309">
        <v>1</v>
      </c>
      <c r="F38" s="312">
        <v>2000</v>
      </c>
      <c r="G38" s="344">
        <v>20</v>
      </c>
      <c r="H38" s="346">
        <f>IF(G38="",1,IF(AND(MOD(G38,'Tab. Intervals'!$E$7)=0,G38&gt;=('Tab. Intervals'!$H$7),G38&lt;=('Tab. Intervals'!$K$7*10^3)),2,0))</f>
        <v>2</v>
      </c>
      <c r="I38" s="344">
        <v>0</v>
      </c>
      <c r="J38" s="346">
        <f>IF(I38="",1,IF(AND(I38&gt;='Tab. Intervals'!$H$8,I38&lt;='Tab. Intervals'!$K$8),2,0))</f>
        <v>2</v>
      </c>
      <c r="K38" s="345">
        <f>G38+I38</f>
        <v>20</v>
      </c>
      <c r="L38" s="121">
        <f>'Packets Structures'!$F$28*10^3</f>
        <v>0.17599999999999999</v>
      </c>
      <c r="M38" s="121">
        <f>'Packets Structures'!$F$27*10^3</f>
        <v>0.128</v>
      </c>
      <c r="N38" s="304" t="s">
        <v>340</v>
      </c>
      <c r="O38" s="122">
        <f>'Packets Structures'!$F$29*10^3</f>
        <v>0.35199999999999998</v>
      </c>
      <c r="P38" s="358">
        <f>VALUE(MID(N12,1,1))*L12+VALUE(MID(N12,2,1))*M12+'Tab. Intervals'!$O$5*10^-3+O12</f>
        <v>0.67799999999999994</v>
      </c>
      <c r="Q38" s="356">
        <f>CEILING((F38/'Packets Structures'!$Q$22),1)</f>
        <v>75</v>
      </c>
      <c r="R38" s="293">
        <v>7.5</v>
      </c>
      <c r="S38" s="348">
        <f>IF(R38="",1,IF(AND(MOD(R38,'Tab. Intervals'!$E$13)=0,R38&gt;='Tab. Intervals'!$H$13,R38&lt;=('Tab. Intervals'!$K$13*10^3)),2,0))</f>
        <v>2</v>
      </c>
      <c r="T38" s="302">
        <v>100</v>
      </c>
      <c r="U38" s="348">
        <f>IF(T38="",1,IF(AND(MOD(T38,'Tab. Intervals'!$E$17)=0,T38&gt;='Tab. Intervals'!$H$17,T38&lt;=('Tab. Intervals'!$K$17*10^3)),2,0))</f>
        <v>2</v>
      </c>
      <c r="V38" s="293">
        <v>0</v>
      </c>
      <c r="W38" s="348">
        <f>IF(OR(V38="",R38="",T38="",R38=0),1,IF(AND(V38&gt;='Tab. Intervals'!$H$14,V38&lt;=MIN(500,T38/R38 - 1)),2,0))</f>
        <v>2</v>
      </c>
      <c r="X38" s="293">
        <v>0</v>
      </c>
      <c r="Y38" s="348">
        <f>IF(X38="",1,IF(AND(MOD(X38,'Tab. Intervals'!$E$13)=0,X38&gt;='Tab. Intervals'!$H$19,X38&lt;=R38),2,0))</f>
        <v>2</v>
      </c>
      <c r="Z38" s="293">
        <v>6.25</v>
      </c>
      <c r="AA38" s="348">
        <f>IF(OR(Z38="",R38=""),1,IF(AND(MOD(Z38,'Tab. Intervals'!$E$20)=0,Z38&gt;='Tab. Intervals'!$H$20,Z38&lt;=MIN(10,R38-1.25)),2,0))</f>
        <v>2</v>
      </c>
      <c r="AB38" s="61">
        <f>R38-AD38</f>
        <v>6.944</v>
      </c>
      <c r="AC38" s="84">
        <f>IF(R38="",1,IF(OR(R38=0,AB38&lt;=0),0,2))</f>
        <v>2</v>
      </c>
      <c r="AD38" s="298">
        <f>(2*'Tab. Intervals'!$O$5*10^-3)+('Packets Structures'!$M$27*10^3)+('Packets Structures'!$M$28*10^3)+('Packets Structures'!$M$29*10^3)</f>
        <v>0.55600000000000005</v>
      </c>
      <c r="AE38" s="61">
        <f>R38-AG38</f>
        <v>7.27</v>
      </c>
      <c r="AF38" s="84">
        <f>IF(R38="",1,IF(OR(R38=0,AE38&lt;=0),0,2))</f>
        <v>2</v>
      </c>
      <c r="AG38" s="347">
        <f>('Packets Structures'!$M$27*10^3)+('Tab. Intervals'!$O$5*10^-3)</f>
        <v>0.22999999999999998</v>
      </c>
      <c r="AH38" s="26">
        <f>'Packets Structures'!$M$30*10^3+'Packets Structures'!$M$28*10^3+2*'Tab. Intervals'!$O$5*10^-3</f>
        <v>0.59599999999999997</v>
      </c>
      <c r="AI38" s="26">
        <f>FLOOR(AB38/AH38,1)</f>
        <v>11</v>
      </c>
      <c r="AJ38" s="26">
        <f>FLOOR(AE38/AH38,1)</f>
        <v>12</v>
      </c>
      <c r="AK38" s="26">
        <f>IF(Q38&lt;=AI38,CEILING(Q38/AI38,1),IF(AND(MOD(Q38,AJ38)&gt;0,MOD(Q38,AJ38)&lt;=AI38),CEILING(Q38/AJ38,1),CEILING(Q38/AJ38,1)+1))</f>
        <v>7</v>
      </c>
      <c r="AL38" s="3">
        <f>(F38-(AK38-1)*AJ38*'Packets Structures'!$Q$22)</f>
        <v>56</v>
      </c>
      <c r="AM38" s="3">
        <f>TRUNC(AL38/'Packets Structures'!$Q$22,0)</f>
        <v>2</v>
      </c>
      <c r="AN38" s="3">
        <f>MOD(AL38,'Packets Structures'!$Q$22)</f>
        <v>2</v>
      </c>
      <c r="AO38" s="309">
        <f>R38*(AK38-1)+AD38+(AM38*((('Packets Structures'!$Q$22*8)/($B$4*10^6))*10^3+'Packets Structures'!$M$28*10^3+2*'Tab. Intervals'!$O$5*10^-3)+((AN38*8)/($B$4*10^6))*10^3+'Packets Structures'!$M$28*10^3+2*'Tab. Intervals'!$O$5*10^-3)</f>
        <v>47.143999999999998</v>
      </c>
      <c r="AP38" s="314">
        <f>P38+'Tab. Intervals'!$O$24+X38+AO38</f>
        <v>49.071999999999996</v>
      </c>
      <c r="AQ38" s="315">
        <f>P38+'Tab. Intervals'!$O$24+X38+Z38+R38*AK38</f>
        <v>60.677999999999997</v>
      </c>
      <c r="AR38" s="317">
        <f>(((D38+E38)*$B$3*AP38*10^-3)/C38)*10^3</f>
        <v>2.4535999999999999E-2</v>
      </c>
      <c r="AS38" s="316">
        <f>AVERAGE(AR38,AT38)</f>
        <v>2.7437499999999997E-2</v>
      </c>
      <c r="AT38" s="318">
        <f>(((D38+E38)*$B$3*AQ38*10^-3)/C38)*10^3</f>
        <v>3.0338999999999998E-2</v>
      </c>
      <c r="AU38" s="306" t="s">
        <v>376</v>
      </c>
    </row>
    <row r="39" spans="1:47">
      <c r="A39" s="577"/>
      <c r="B39" s="592"/>
      <c r="C39" s="345">
        <v>60</v>
      </c>
      <c r="D39" s="121"/>
      <c r="E39" s="309"/>
      <c r="F39" s="312"/>
      <c r="G39" s="344"/>
      <c r="H39" s="346">
        <f>IF(G39="",1,IF(AND(MOD(G39,'Tab. Intervals'!$E$7)=0,G39&gt;=('Tab. Intervals'!$H$7),G39&lt;=('Tab. Intervals'!$K$7*10^3)),2,0))</f>
        <v>1</v>
      </c>
      <c r="I39" s="344"/>
      <c r="J39" s="346">
        <f>IF(I39="",1,IF(AND(I39&gt;='Tab. Intervals'!$H$8,I39&lt;='Tab. Intervals'!$K$8),2,0))</f>
        <v>1</v>
      </c>
      <c r="K39" s="345">
        <f t="shared" ref="K39:K42" si="35">G39+I39</f>
        <v>0</v>
      </c>
      <c r="L39" s="121"/>
      <c r="M39" s="121"/>
      <c r="N39" s="304"/>
      <c r="O39" s="121"/>
      <c r="P39" s="358"/>
      <c r="Q39" s="311"/>
      <c r="R39" s="293"/>
      <c r="S39" s="348">
        <f>IF(R39="",1,IF(AND(MOD(R39,'Tab. Intervals'!$E$13)=0,R39&gt;='Tab. Intervals'!$H$13,R39&lt;=('Tab. Intervals'!$K$13*10^3)),2,0))</f>
        <v>1</v>
      </c>
      <c r="T39" s="302"/>
      <c r="U39" s="348">
        <f>IF(T39="",1,IF(AND(MOD(T39,'Tab. Intervals'!$E$17)=0,T39&gt;='Tab. Intervals'!$H$17,T39&lt;=('Tab. Intervals'!$K$17*10^3)),2,0))</f>
        <v>1</v>
      </c>
      <c r="V39" s="293"/>
      <c r="W39" s="348">
        <f>IF(OR(V39="",R39="",T39="",R39=0),1,IF(AND(V39&gt;='Tab. Intervals'!$H$14,V39&lt;=MIN(500,T39/R39 - 1)),2,0))</f>
        <v>1</v>
      </c>
      <c r="X39" s="293"/>
      <c r="Y39" s="348">
        <f>IF(X39="",1,IF(AND(MOD(X39,'Tab. Intervals'!$E$13)=0,X39&gt;='Tab. Intervals'!$H$19,X39&lt;=R39),2,0))</f>
        <v>1</v>
      </c>
      <c r="Z39" s="293"/>
      <c r="AA39" s="348">
        <f>IF(OR(Z39="",R39=""),1,IF(AND(MOD(Z39,'Tab. Intervals'!$E$20)=0,Z39&gt;='Tab. Intervals'!$H$20,Z39&lt;=MIN(10,R39-1.25)),2,0))</f>
        <v>1</v>
      </c>
      <c r="AB39" s="61"/>
      <c r="AC39" s="84">
        <f t="shared" ref="AC39:AC42" si="36">IF(R39="",1,IF(OR(R39=0,AB39&lt;=0),0,2))</f>
        <v>1</v>
      </c>
      <c r="AD39" s="298"/>
      <c r="AE39" s="61"/>
      <c r="AF39" s="84">
        <f t="shared" ref="AF39:AF42" si="37">IF(R39="",1,IF(OR(R39=0,AE39&lt;=0),0,2))</f>
        <v>1</v>
      </c>
      <c r="AG39" s="298"/>
      <c r="AH39" s="26"/>
      <c r="AI39" s="26"/>
      <c r="AJ39" s="26"/>
      <c r="AK39" s="26"/>
      <c r="AL39" s="3"/>
      <c r="AM39" s="3"/>
      <c r="AN39" s="3"/>
      <c r="AO39" s="309"/>
      <c r="AP39" s="314"/>
      <c r="AQ39" s="315"/>
      <c r="AR39" s="317">
        <f t="shared" ref="AR39:AR42" si="38">(((D39+E39)*$B$3*AP39*10^-3)/C39)*10^3</f>
        <v>0</v>
      </c>
      <c r="AS39" s="316">
        <f t="shared" ref="AS39:AS42" si="39">AVERAGE(AR39,AT39)</f>
        <v>0</v>
      </c>
      <c r="AT39" s="318">
        <f t="shared" ref="AT39:AT42" si="40">(((D39+E39)*$B$3*AQ39*10^-3)/C39)*10^3</f>
        <v>0</v>
      </c>
      <c r="AU39" s="306"/>
    </row>
    <row r="40" spans="1:47">
      <c r="A40" s="579"/>
      <c r="B40" s="593"/>
      <c r="C40" s="345">
        <v>60</v>
      </c>
      <c r="D40" s="121"/>
      <c r="E40" s="309"/>
      <c r="F40" s="313"/>
      <c r="G40" s="344"/>
      <c r="H40" s="346">
        <f>IF(G40="",1,IF(AND(MOD(G40,'Tab. Intervals'!$E$7)=0,G40&gt;=('Tab. Intervals'!$H$7),G40&lt;=('Tab. Intervals'!$K$7*10^3)),2,0))</f>
        <v>1</v>
      </c>
      <c r="I40" s="344"/>
      <c r="J40" s="346">
        <f>IF(I40="",1,IF(AND(I40&gt;='Tab. Intervals'!$H$8,I40&lt;='Tab. Intervals'!$K$8),2,0))</f>
        <v>1</v>
      </c>
      <c r="K40" s="345">
        <f t="shared" si="35"/>
        <v>0</v>
      </c>
      <c r="L40" s="121"/>
      <c r="M40" s="121"/>
      <c r="N40" s="304"/>
      <c r="O40" s="121"/>
      <c r="P40" s="358"/>
      <c r="Q40" s="311"/>
      <c r="R40" s="293"/>
      <c r="S40" s="348">
        <f>IF(R40="",1,IF(AND(MOD(R40,'Tab. Intervals'!$E$13)=0,R40&gt;='Tab. Intervals'!$H$13,R40&lt;=('Tab. Intervals'!$K$13*10^3)),2,0))</f>
        <v>1</v>
      </c>
      <c r="T40" s="302"/>
      <c r="U40" s="348">
        <f>IF(T40="",1,IF(AND(MOD(T40,'Tab. Intervals'!$E$17)=0,T40&gt;='Tab. Intervals'!$H$17,T40&lt;=('Tab. Intervals'!$K$17*10^3)),2,0))</f>
        <v>1</v>
      </c>
      <c r="V40" s="293"/>
      <c r="W40" s="348">
        <f>IF(OR(V40="",R40="",T40="",R40=0),1,IF(AND(V40&gt;='Tab. Intervals'!$H$14,V40&lt;=MIN(500,T40/R40 - 1)),2,0))</f>
        <v>1</v>
      </c>
      <c r="X40" s="293"/>
      <c r="Y40" s="348">
        <f>IF(X40="",1,IF(AND(MOD(X40,'Tab. Intervals'!$E$13)=0,X40&gt;='Tab. Intervals'!$H$19,X40&lt;=R40),2,0))</f>
        <v>1</v>
      </c>
      <c r="Z40" s="293"/>
      <c r="AA40" s="348">
        <f>IF(OR(Z40="",R40=""),1,IF(AND(MOD(Z40,'Tab. Intervals'!$E$20)=0,Z40&gt;='Tab. Intervals'!$H$20,Z40&lt;=MIN(10,R40-1.25)),2,0))</f>
        <v>1</v>
      </c>
      <c r="AB40" s="61"/>
      <c r="AC40" s="84">
        <f t="shared" si="36"/>
        <v>1</v>
      </c>
      <c r="AD40" s="298"/>
      <c r="AE40" s="61"/>
      <c r="AF40" s="84">
        <f t="shared" si="37"/>
        <v>1</v>
      </c>
      <c r="AG40" s="298"/>
      <c r="AH40" s="26"/>
      <c r="AI40" s="26"/>
      <c r="AJ40" s="26"/>
      <c r="AK40" s="26"/>
      <c r="AL40" s="3"/>
      <c r="AM40" s="3"/>
      <c r="AN40" s="3"/>
      <c r="AO40" s="309"/>
      <c r="AP40" s="314"/>
      <c r="AQ40" s="315"/>
      <c r="AR40" s="317">
        <f t="shared" si="38"/>
        <v>0</v>
      </c>
      <c r="AS40" s="316">
        <f t="shared" si="39"/>
        <v>0</v>
      </c>
      <c r="AT40" s="318">
        <f t="shared" si="40"/>
        <v>0</v>
      </c>
      <c r="AU40" s="306"/>
    </row>
    <row r="41" spans="1:47">
      <c r="C41" s="345">
        <v>60</v>
      </c>
      <c r="D41" s="121"/>
      <c r="E41" s="309"/>
      <c r="F41" s="313"/>
      <c r="G41" s="344"/>
      <c r="H41" s="346">
        <f>IF(G41="",1,IF(AND(MOD(G41,'Tab. Intervals'!$E$7)=0,G41&gt;=('Tab. Intervals'!$H$7),G41&lt;=('Tab. Intervals'!$K$7*10^3)),2,0))</f>
        <v>1</v>
      </c>
      <c r="I41" s="344"/>
      <c r="J41" s="346">
        <f>IF(I41="",1,IF(AND(I41&gt;='Tab. Intervals'!$H$8,I41&lt;='Tab. Intervals'!$K$8),2,0))</f>
        <v>1</v>
      </c>
      <c r="K41" s="345">
        <f t="shared" si="35"/>
        <v>0</v>
      </c>
      <c r="L41" s="121"/>
      <c r="M41" s="121"/>
      <c r="N41" s="304"/>
      <c r="O41" s="121"/>
      <c r="P41" s="358"/>
      <c r="Q41" s="311"/>
      <c r="R41" s="293"/>
      <c r="S41" s="348">
        <f>IF(R41="",1,IF(AND(MOD(R41,'Tab. Intervals'!$E$13)=0,R41&gt;='Tab. Intervals'!$H$13,R41&lt;=('Tab. Intervals'!$K$13*10^3)),2,0))</f>
        <v>1</v>
      </c>
      <c r="T41" s="302"/>
      <c r="U41" s="348">
        <f>IF(T41="",1,IF(AND(MOD(T41,'Tab. Intervals'!$E$17)=0,T41&gt;='Tab. Intervals'!$H$17,T41&lt;=('Tab. Intervals'!$K$17*10^3)),2,0))</f>
        <v>1</v>
      </c>
      <c r="V41" s="293"/>
      <c r="W41" s="348">
        <f>IF(OR(V41="",R41="",T41="",R41=0),1,IF(AND(V41&gt;='Tab. Intervals'!$H$14,V41&lt;=MIN(500,T41/R41 - 1)),2,0))</f>
        <v>1</v>
      </c>
      <c r="X41" s="293"/>
      <c r="Y41" s="348">
        <f>IF(X41="",1,IF(AND(MOD(X41,'Tab. Intervals'!$E$13)=0,X41&gt;='Tab. Intervals'!$H$19,X41&lt;=R41),2,0))</f>
        <v>1</v>
      </c>
      <c r="Z41" s="293"/>
      <c r="AA41" s="348">
        <f>IF(OR(Z41="",R41=""),1,IF(AND(MOD(Z41,'Tab. Intervals'!$E$20)=0,Z41&gt;='Tab. Intervals'!$H$20,Z41&lt;=MIN(10,R41-1.25)),2,0))</f>
        <v>1</v>
      </c>
      <c r="AB41" s="61"/>
      <c r="AC41" s="84">
        <f t="shared" si="36"/>
        <v>1</v>
      </c>
      <c r="AD41" s="298"/>
      <c r="AE41" s="61"/>
      <c r="AF41" s="84">
        <f t="shared" si="37"/>
        <v>1</v>
      </c>
      <c r="AG41" s="298"/>
      <c r="AH41" s="26"/>
      <c r="AI41" s="26"/>
      <c r="AJ41" s="26"/>
      <c r="AK41" s="26"/>
      <c r="AL41" s="3"/>
      <c r="AM41" s="3"/>
      <c r="AN41" s="3"/>
      <c r="AO41" s="309"/>
      <c r="AP41" s="314"/>
      <c r="AQ41" s="315"/>
      <c r="AR41" s="317">
        <f t="shared" si="38"/>
        <v>0</v>
      </c>
      <c r="AS41" s="316">
        <f t="shared" si="39"/>
        <v>0</v>
      </c>
      <c r="AT41" s="318">
        <f t="shared" si="40"/>
        <v>0</v>
      </c>
      <c r="AU41" s="306"/>
    </row>
    <row r="42" spans="1:47">
      <c r="C42" s="345">
        <v>60</v>
      </c>
      <c r="D42" s="121"/>
      <c r="E42" s="309"/>
      <c r="F42" s="313"/>
      <c r="G42" s="344"/>
      <c r="H42" s="346">
        <f>IF(G42="",1,IF(AND(MOD(G42,'Tab. Intervals'!$E$7)=0,G42&gt;=('Tab. Intervals'!$H$7),G42&lt;=('Tab. Intervals'!$K$7*10^3)),2,0))</f>
        <v>1</v>
      </c>
      <c r="I42" s="344"/>
      <c r="J42" s="346">
        <f>IF(I42="",1,IF(AND(I42&gt;='Tab. Intervals'!$H$8,I42&lt;='Tab. Intervals'!$K$8),2,0))</f>
        <v>1</v>
      </c>
      <c r="K42" s="345">
        <f t="shared" si="35"/>
        <v>0</v>
      </c>
      <c r="L42" s="121"/>
      <c r="M42" s="121"/>
      <c r="N42" s="304"/>
      <c r="O42" s="121"/>
      <c r="P42" s="358"/>
      <c r="Q42" s="311"/>
      <c r="R42" s="293"/>
      <c r="S42" s="348">
        <f>IF(R42="",1,IF(AND(MOD(R42,'Tab. Intervals'!$E$13)=0,R42&gt;='Tab. Intervals'!$H$13,R42&lt;=('Tab. Intervals'!$K$13*10^3)),2,0))</f>
        <v>1</v>
      </c>
      <c r="T42" s="302"/>
      <c r="U42" s="348">
        <f>IF(T42="",1,IF(AND(MOD(T42,'Tab. Intervals'!$E$17)=0,T42&gt;='Tab. Intervals'!$H$17,T42&lt;=('Tab. Intervals'!$K$17*10^3)),2,0))</f>
        <v>1</v>
      </c>
      <c r="V42" s="293"/>
      <c r="W42" s="348">
        <f>IF(OR(V42="",R42="",T42="",R42=0),1,IF(AND(V42&gt;='Tab. Intervals'!$H$14,V42&lt;=MIN(500,T42/R42 - 1)),2,0))</f>
        <v>1</v>
      </c>
      <c r="X42" s="293"/>
      <c r="Y42" s="348">
        <f>IF(X42="",1,IF(AND(MOD(X42,'Tab. Intervals'!$E$13)=0,X42&gt;='Tab. Intervals'!$H$19,X42&lt;=R42),2,0))</f>
        <v>1</v>
      </c>
      <c r="Z42" s="293"/>
      <c r="AA42" s="348">
        <f>IF(OR(Z42="",R42=""),1,IF(AND(MOD(Z42,'Tab. Intervals'!$E$20)=0,Z42&gt;='Tab. Intervals'!$H$20,Z42&lt;=MIN(10,R42-1.25)),2,0))</f>
        <v>1</v>
      </c>
      <c r="AB42" s="61"/>
      <c r="AC42" s="84">
        <f t="shared" si="36"/>
        <v>1</v>
      </c>
      <c r="AD42" s="298"/>
      <c r="AE42" s="61"/>
      <c r="AF42" s="84">
        <f t="shared" si="37"/>
        <v>1</v>
      </c>
      <c r="AG42" s="298"/>
      <c r="AH42" s="26"/>
      <c r="AI42" s="26"/>
      <c r="AJ42" s="26"/>
      <c r="AK42" s="26"/>
      <c r="AL42" s="3"/>
      <c r="AM42" s="3"/>
      <c r="AN42" s="3"/>
      <c r="AO42" s="309"/>
      <c r="AP42" s="314"/>
      <c r="AQ42" s="315"/>
      <c r="AR42" s="317">
        <f t="shared" si="38"/>
        <v>0</v>
      </c>
      <c r="AS42" s="316">
        <f t="shared" si="39"/>
        <v>0</v>
      </c>
      <c r="AT42" s="318">
        <f t="shared" si="40"/>
        <v>0</v>
      </c>
      <c r="AU42" s="306"/>
    </row>
    <row r="43" spans="1:47">
      <c r="AA43" s="131"/>
    </row>
  </sheetData>
  <dataConsolidate/>
  <mergeCells count="79">
    <mergeCell ref="A1:V1"/>
    <mergeCell ref="C7:AQ7"/>
    <mergeCell ref="V9:V11"/>
    <mergeCell ref="X9:X11"/>
    <mergeCell ref="Z9:Z11"/>
    <mergeCell ref="AB9:AB11"/>
    <mergeCell ref="AD9:AD11"/>
    <mergeCell ref="AE9:AE11"/>
    <mergeCell ref="F8:F11"/>
    <mergeCell ref="G8:P8"/>
    <mergeCell ref="G9:G11"/>
    <mergeCell ref="I9:I11"/>
    <mergeCell ref="K9:K11"/>
    <mergeCell ref="L9:L11"/>
    <mergeCell ref="M9:M11"/>
    <mergeCell ref="O9:O11"/>
    <mergeCell ref="A33:B33"/>
    <mergeCell ref="C33:AQ33"/>
    <mergeCell ref="P35:P37"/>
    <mergeCell ref="Q35:Q37"/>
    <mergeCell ref="R35:R37"/>
    <mergeCell ref="T35:T37"/>
    <mergeCell ref="V35:V37"/>
    <mergeCell ref="Q34:AO34"/>
    <mergeCell ref="AG35:AG37"/>
    <mergeCell ref="AH35:AH37"/>
    <mergeCell ref="AI35:AI37"/>
    <mergeCell ref="AJ35:AJ37"/>
    <mergeCell ref="AK35:AK37"/>
    <mergeCell ref="X35:X37"/>
    <mergeCell ref="Z35:Z37"/>
    <mergeCell ref="A7:B7"/>
    <mergeCell ref="A8:B14"/>
    <mergeCell ref="C8:C11"/>
    <mergeCell ref="D8:D11"/>
    <mergeCell ref="E8:E11"/>
    <mergeCell ref="N9:N11"/>
    <mergeCell ref="P9:P11"/>
    <mergeCell ref="Q9:Q11"/>
    <mergeCell ref="R9:R11"/>
    <mergeCell ref="T9:T11"/>
    <mergeCell ref="AR33:AT36"/>
    <mergeCell ref="AO35:AO37"/>
    <mergeCell ref="AQ8:AQ11"/>
    <mergeCell ref="AU7:AU11"/>
    <mergeCell ref="Q8:AO8"/>
    <mergeCell ref="AL9:AL11"/>
    <mergeCell ref="AM9:AM11"/>
    <mergeCell ref="AN9:AN11"/>
    <mergeCell ref="AO9:AO11"/>
    <mergeCell ref="AP8:AP11"/>
    <mergeCell ref="AG9:AG11"/>
    <mergeCell ref="AH9:AH11"/>
    <mergeCell ref="AI9:AI11"/>
    <mergeCell ref="AJ9:AJ11"/>
    <mergeCell ref="AK9:AK11"/>
    <mergeCell ref="AR7:AT10"/>
    <mergeCell ref="A34:B40"/>
    <mergeCell ref="N35:N37"/>
    <mergeCell ref="AU33:AU37"/>
    <mergeCell ref="C34:C37"/>
    <mergeCell ref="D34:D37"/>
    <mergeCell ref="E34:E37"/>
    <mergeCell ref="F34:F37"/>
    <mergeCell ref="G34:P34"/>
    <mergeCell ref="AP34:AP37"/>
    <mergeCell ref="AQ34:AQ37"/>
    <mergeCell ref="G35:G37"/>
    <mergeCell ref="I35:I37"/>
    <mergeCell ref="K35:K37"/>
    <mergeCell ref="L35:L37"/>
    <mergeCell ref="M35:M37"/>
    <mergeCell ref="O35:O37"/>
    <mergeCell ref="AL35:AL37"/>
    <mergeCell ref="AM35:AM37"/>
    <mergeCell ref="AN35:AN37"/>
    <mergeCell ref="AB35:AB37"/>
    <mergeCell ref="AD35:AD37"/>
    <mergeCell ref="AE35:AE37"/>
  </mergeCells>
  <conditionalFormatting sqref="M38:M42 M12:M18">
    <cfRule type="expression" dxfId="7" priority="15">
      <formula>N12="01"</formula>
    </cfRule>
  </conditionalFormatting>
  <conditionalFormatting sqref="L38:L42 L12:L18">
    <cfRule type="expression" dxfId="6" priority="14">
      <formula>N12="10"</formula>
    </cfRule>
  </conditionalFormatting>
  <conditionalFormatting sqref="S38:S42 U38:U42 W38:W42 Y38:Y42 AA38:AA42 AC38:AC42 AF38:AF42 U12:U18 W12:W18 Y12:Y18 AA12:AA18 AC12:AC18 AF12:AF18 S12:S18">
    <cfRule type="iconSet" priority="6">
      <iconSet iconSet="3Symbols" showValue="0">
        <cfvo type="percent" val="0"/>
        <cfvo type="num" val="1"/>
        <cfvo type="num" val="2"/>
      </iconSet>
    </cfRule>
  </conditionalFormatting>
  <conditionalFormatting sqref="H38:H42 H12:H18">
    <cfRule type="iconSet" priority="5">
      <iconSet iconSet="3Symbols" showValue="0">
        <cfvo type="percent" val="0"/>
        <cfvo type="num" val="1"/>
        <cfvo type="num" val="2"/>
      </iconSet>
    </cfRule>
  </conditionalFormatting>
  <conditionalFormatting sqref="J12:J18">
    <cfRule type="iconSet" priority="3">
      <iconSet iconSet="3Symbols" showValue="0">
        <cfvo type="percent" val="0"/>
        <cfvo type="num" val="1"/>
        <cfvo type="num" val="2"/>
      </iconSet>
    </cfRule>
  </conditionalFormatting>
  <conditionalFormatting sqref="J38:J42">
    <cfRule type="iconSet" priority="2">
      <iconSet iconSet="3Symbols" showValue="0">
        <cfvo type="percent" val="0"/>
        <cfvo type="num" val="1"/>
        <cfvo type="num" val="2"/>
      </iconSet>
    </cfRule>
  </conditionalFormatting>
  <dataValidations count="1">
    <dataValidation type="list" operator="equal" allowBlank="1" showInputMessage="1" showErrorMessage="1" sqref="N38:N42 N12:N18">
      <formula1>$N$3:$N$5</formula1>
    </dataValidation>
  </dataValidations>
  <pageMargins left="0.7" right="0.7" top="0.75" bottom="0.75" header="0.3" footer="0.3"/>
  <pageSetup paperSize="9" orientation="portrait" horizontalDpi="0" verticalDpi="0" r:id="rId1"/>
  <drawing r:id="rId2"/>
  <legacyDrawing r:id="rId3"/>
</worksheet>
</file>

<file path=xl/worksheets/sheet7.xml><?xml version="1.0" encoding="utf-8"?>
<worksheet xmlns="http://schemas.openxmlformats.org/spreadsheetml/2006/main" xmlns:r="http://schemas.openxmlformats.org/officeDocument/2006/relationships">
  <dimension ref="A1:AY18"/>
  <sheetViews>
    <sheetView tabSelected="1" workbookViewId="0">
      <selection activeCell="Q31" sqref="Q31"/>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5" width="13.7109375" customWidth="1"/>
    <col min="46" max="46" width="12" bestFit="1" customWidth="1"/>
    <col min="47" max="47" width="103.7109375" customWidth="1"/>
  </cols>
  <sheetData>
    <row r="1" spans="1:51" ht="24" thickBot="1">
      <c r="A1" s="569" t="s">
        <v>385</v>
      </c>
      <c r="B1" s="570"/>
      <c r="C1" s="570"/>
      <c r="D1" s="570"/>
      <c r="E1" s="570"/>
      <c r="F1" s="570"/>
      <c r="G1" s="570"/>
      <c r="H1" s="570"/>
      <c r="I1" s="570"/>
      <c r="J1" s="570"/>
      <c r="K1" s="570"/>
      <c r="L1" s="570"/>
      <c r="M1" s="570"/>
      <c r="N1" s="570"/>
      <c r="O1" s="570"/>
      <c r="P1" s="570"/>
      <c r="Q1" s="570"/>
      <c r="R1" s="570"/>
      <c r="S1" s="570"/>
      <c r="T1" s="570"/>
      <c r="U1" s="570"/>
      <c r="V1" s="571"/>
    </row>
    <row r="2" spans="1:51">
      <c r="N2" t="s">
        <v>356</v>
      </c>
      <c r="AO2" s="363"/>
      <c r="AP2" s="363"/>
    </row>
    <row r="3" spans="1:51">
      <c r="A3" s="102" t="s">
        <v>114</v>
      </c>
      <c r="B3" s="100">
        <f>IF(Bluetooth!$L$12="mW",Bluetooth!$K$12*10^-3,IF(Bluetooth!$L$12="W",Bluetooth!$K$12,"err. U.M."))</f>
        <v>1.4999999999999999E-2</v>
      </c>
      <c r="C3" t="s">
        <v>113</v>
      </c>
      <c r="M3" s="239"/>
      <c r="N3" s="240"/>
      <c r="O3" s="291" t="s">
        <v>357</v>
      </c>
      <c r="AO3" s="363"/>
      <c r="AP3" s="363"/>
    </row>
    <row r="4" spans="1:51">
      <c r="A4" s="103" t="s">
        <v>119</v>
      </c>
      <c r="B4" s="100">
        <f>Bluetooth!K8</f>
        <v>1</v>
      </c>
      <c r="C4" t="str">
        <f>Bluetooth!L8</f>
        <v>Mbit/s</v>
      </c>
      <c r="N4" s="339" t="s">
        <v>340</v>
      </c>
      <c r="O4" s="291" t="s">
        <v>358</v>
      </c>
      <c r="P4" s="305"/>
      <c r="AO4" s="363"/>
      <c r="AP4" s="363"/>
    </row>
    <row r="5" spans="1:51">
      <c r="N5" s="339">
        <v>10</v>
      </c>
      <c r="O5" s="291" t="s">
        <v>359</v>
      </c>
      <c r="AO5" s="303"/>
      <c r="AP5" s="303"/>
    </row>
    <row r="6" spans="1:51" ht="15.75" thickBot="1"/>
    <row r="7" spans="1:51" ht="19.5" thickBot="1">
      <c r="A7" s="650" t="s">
        <v>386</v>
      </c>
      <c r="B7" s="651"/>
      <c r="C7" s="652" t="s">
        <v>115</v>
      </c>
      <c r="D7" s="652"/>
      <c r="E7" s="652"/>
      <c r="F7" s="652"/>
      <c r="G7" s="652"/>
      <c r="H7" s="652"/>
      <c r="I7" s="652"/>
      <c r="J7" s="652"/>
      <c r="K7" s="652"/>
      <c r="L7" s="652"/>
      <c r="M7" s="652"/>
      <c r="N7" s="652"/>
      <c r="O7" s="652"/>
      <c r="P7" s="652"/>
      <c r="Q7" s="652"/>
      <c r="R7" s="652"/>
      <c r="S7" s="652"/>
      <c r="T7" s="652"/>
      <c r="U7" s="652"/>
      <c r="V7" s="652"/>
      <c r="W7" s="652"/>
      <c r="X7" s="652"/>
      <c r="Y7" s="652"/>
      <c r="Z7" s="652"/>
      <c r="AA7" s="652"/>
      <c r="AB7" s="652"/>
      <c r="AC7" s="652"/>
      <c r="AD7" s="652"/>
      <c r="AE7" s="652"/>
      <c r="AF7" s="652"/>
      <c r="AG7" s="652"/>
      <c r="AH7" s="652"/>
      <c r="AI7" s="652"/>
      <c r="AJ7" s="652"/>
      <c r="AK7" s="652"/>
      <c r="AL7" s="652"/>
      <c r="AM7" s="652"/>
      <c r="AN7" s="652"/>
      <c r="AO7" s="652"/>
      <c r="AP7" s="652"/>
      <c r="AQ7" s="653"/>
      <c r="AR7" s="623" t="s">
        <v>371</v>
      </c>
      <c r="AS7" s="624"/>
      <c r="AT7" s="625"/>
      <c r="AU7" s="594" t="s">
        <v>333</v>
      </c>
      <c r="AX7" s="95"/>
      <c r="AY7" s="95"/>
    </row>
    <row r="8" spans="1:51" ht="15" customHeight="1">
      <c r="A8" s="590" t="s">
        <v>382</v>
      </c>
      <c r="B8" s="671"/>
      <c r="C8" s="597" t="s">
        <v>116</v>
      </c>
      <c r="D8" s="600" t="s">
        <v>121</v>
      </c>
      <c r="E8" s="603" t="s">
        <v>122</v>
      </c>
      <c r="F8" s="606" t="s">
        <v>288</v>
      </c>
      <c r="G8" s="656" t="s">
        <v>292</v>
      </c>
      <c r="H8" s="657"/>
      <c r="I8" s="657"/>
      <c r="J8" s="657"/>
      <c r="K8" s="610"/>
      <c r="L8" s="610"/>
      <c r="M8" s="610"/>
      <c r="N8" s="610"/>
      <c r="O8" s="610"/>
      <c r="P8" s="611"/>
      <c r="Q8" s="635" t="s">
        <v>291</v>
      </c>
      <c r="R8" s="636"/>
      <c r="S8" s="636"/>
      <c r="T8" s="636"/>
      <c r="U8" s="636"/>
      <c r="V8" s="636"/>
      <c r="W8" s="636"/>
      <c r="X8" s="636"/>
      <c r="Y8" s="636"/>
      <c r="Z8" s="636"/>
      <c r="AA8" s="636"/>
      <c r="AB8" s="636"/>
      <c r="AC8" s="636"/>
      <c r="AD8" s="636"/>
      <c r="AE8" s="636"/>
      <c r="AF8" s="636"/>
      <c r="AG8" s="636"/>
      <c r="AH8" s="636"/>
      <c r="AI8" s="636"/>
      <c r="AJ8" s="636"/>
      <c r="AK8" s="636"/>
      <c r="AL8" s="636"/>
      <c r="AM8" s="636"/>
      <c r="AN8" s="636"/>
      <c r="AO8" s="637"/>
      <c r="AP8" s="612" t="s">
        <v>331</v>
      </c>
      <c r="AQ8" s="615" t="s">
        <v>332</v>
      </c>
      <c r="AR8" s="626"/>
      <c r="AS8" s="627"/>
      <c r="AT8" s="628"/>
      <c r="AU8" s="595"/>
    </row>
    <row r="9" spans="1:51">
      <c r="A9" s="577"/>
      <c r="B9" s="578"/>
      <c r="C9" s="598"/>
      <c r="D9" s="601"/>
      <c r="E9" s="604"/>
      <c r="F9" s="654"/>
      <c r="G9" s="618" t="s">
        <v>298</v>
      </c>
      <c r="H9" s="366"/>
      <c r="I9" s="618" t="s">
        <v>299</v>
      </c>
      <c r="J9" s="366"/>
      <c r="K9" s="658" t="s">
        <v>300</v>
      </c>
      <c r="L9" s="581" t="s">
        <v>338</v>
      </c>
      <c r="M9" s="581" t="s">
        <v>318</v>
      </c>
      <c r="N9" s="584" t="s">
        <v>339</v>
      </c>
      <c r="O9" s="620" t="s">
        <v>317</v>
      </c>
      <c r="P9" s="641" t="s">
        <v>319</v>
      </c>
      <c r="Q9" s="644" t="s">
        <v>289</v>
      </c>
      <c r="R9" s="647" t="s">
        <v>296</v>
      </c>
      <c r="S9" s="244"/>
      <c r="T9" s="647" t="s">
        <v>302</v>
      </c>
      <c r="U9" s="245"/>
      <c r="V9" s="647" t="s">
        <v>293</v>
      </c>
      <c r="W9" s="244"/>
      <c r="X9" s="647" t="s">
        <v>294</v>
      </c>
      <c r="Y9" s="244"/>
      <c r="Z9" s="647" t="s">
        <v>295</v>
      </c>
      <c r="AA9" s="245"/>
      <c r="AB9" s="584" t="s">
        <v>366</v>
      </c>
      <c r="AC9" s="296"/>
      <c r="AD9" s="587" t="s">
        <v>365</v>
      </c>
      <c r="AE9" s="584" t="s">
        <v>367</v>
      </c>
      <c r="AF9" s="296"/>
      <c r="AG9" s="587" t="s">
        <v>364</v>
      </c>
      <c r="AH9" s="581" t="s">
        <v>368</v>
      </c>
      <c r="AI9" s="581" t="s">
        <v>320</v>
      </c>
      <c r="AJ9" s="581" t="s">
        <v>321</v>
      </c>
      <c r="AK9" s="638" t="s">
        <v>369</v>
      </c>
      <c r="AL9" s="581" t="s">
        <v>370</v>
      </c>
      <c r="AM9" s="581" t="s">
        <v>342</v>
      </c>
      <c r="AN9" s="581" t="s">
        <v>343</v>
      </c>
      <c r="AO9" s="632" t="s">
        <v>330</v>
      </c>
      <c r="AP9" s="613"/>
      <c r="AQ9" s="616"/>
      <c r="AR9" s="626"/>
      <c r="AS9" s="627"/>
      <c r="AT9" s="628"/>
      <c r="AU9" s="595"/>
    </row>
    <row r="10" spans="1:51">
      <c r="A10" s="577"/>
      <c r="B10" s="578"/>
      <c r="C10" s="598"/>
      <c r="D10" s="601"/>
      <c r="E10" s="604"/>
      <c r="F10" s="654"/>
      <c r="G10" s="619"/>
      <c r="H10" s="367"/>
      <c r="I10" s="619"/>
      <c r="J10" s="367"/>
      <c r="K10" s="659"/>
      <c r="L10" s="582"/>
      <c r="M10" s="582"/>
      <c r="N10" s="585"/>
      <c r="O10" s="621"/>
      <c r="P10" s="642"/>
      <c r="Q10" s="645"/>
      <c r="R10" s="648"/>
      <c r="S10" s="287"/>
      <c r="T10" s="648"/>
      <c r="U10" s="289"/>
      <c r="V10" s="648"/>
      <c r="W10" s="287"/>
      <c r="X10" s="648"/>
      <c r="Y10" s="287"/>
      <c r="Z10" s="648"/>
      <c r="AA10" s="289"/>
      <c r="AB10" s="585"/>
      <c r="AC10" s="343"/>
      <c r="AD10" s="588"/>
      <c r="AE10" s="585"/>
      <c r="AF10" s="343"/>
      <c r="AG10" s="588"/>
      <c r="AH10" s="582"/>
      <c r="AI10" s="582"/>
      <c r="AJ10" s="582"/>
      <c r="AK10" s="639"/>
      <c r="AL10" s="582"/>
      <c r="AM10" s="582"/>
      <c r="AN10" s="582"/>
      <c r="AO10" s="633"/>
      <c r="AP10" s="613"/>
      <c r="AQ10" s="616"/>
      <c r="AR10" s="629"/>
      <c r="AS10" s="630"/>
      <c r="AT10" s="631"/>
      <c r="AU10" s="595"/>
    </row>
    <row r="11" spans="1:51" ht="15.75">
      <c r="A11" s="577"/>
      <c r="B11" s="578"/>
      <c r="C11" s="599"/>
      <c r="D11" s="602"/>
      <c r="E11" s="605"/>
      <c r="F11" s="655"/>
      <c r="G11" s="619"/>
      <c r="H11" s="367" t="s">
        <v>301</v>
      </c>
      <c r="I11" s="619"/>
      <c r="J11" s="367" t="s">
        <v>301</v>
      </c>
      <c r="K11" s="660"/>
      <c r="L11" s="583"/>
      <c r="M11" s="583"/>
      <c r="N11" s="586"/>
      <c r="O11" s="622"/>
      <c r="P11" s="643"/>
      <c r="Q11" s="646"/>
      <c r="R11" s="649"/>
      <c r="S11" s="287" t="s">
        <v>301</v>
      </c>
      <c r="T11" s="649"/>
      <c r="U11" s="289" t="s">
        <v>301</v>
      </c>
      <c r="V11" s="649"/>
      <c r="W11" s="287" t="s">
        <v>301</v>
      </c>
      <c r="X11" s="649"/>
      <c r="Y11" s="287" t="s">
        <v>301</v>
      </c>
      <c r="Z11" s="649"/>
      <c r="AA11" s="289" t="s">
        <v>301</v>
      </c>
      <c r="AB11" s="586"/>
      <c r="AC11" s="297" t="s">
        <v>301</v>
      </c>
      <c r="AD11" s="589"/>
      <c r="AE11" s="586"/>
      <c r="AF11" s="297" t="s">
        <v>301</v>
      </c>
      <c r="AG11" s="589"/>
      <c r="AH11" s="583"/>
      <c r="AI11" s="583"/>
      <c r="AJ11" s="583"/>
      <c r="AK11" s="640"/>
      <c r="AL11" s="583"/>
      <c r="AM11" s="583"/>
      <c r="AN11" s="583"/>
      <c r="AO11" s="634"/>
      <c r="AP11" s="614"/>
      <c r="AQ11" s="617"/>
      <c r="AR11" s="307" t="s">
        <v>334</v>
      </c>
      <c r="AS11" s="290" t="s">
        <v>335</v>
      </c>
      <c r="AT11" s="308" t="s">
        <v>336</v>
      </c>
      <c r="AU11" s="596"/>
    </row>
    <row r="12" spans="1:51">
      <c r="A12" s="577"/>
      <c r="B12" s="578"/>
      <c r="C12" s="360">
        <v>300</v>
      </c>
      <c r="D12" s="121">
        <v>150</v>
      </c>
      <c r="E12" s="309">
        <v>1</v>
      </c>
      <c r="F12" s="313">
        <f>2*1024*1024</f>
        <v>2097152</v>
      </c>
      <c r="G12" s="359">
        <v>20</v>
      </c>
      <c r="H12" s="362">
        <f>IF(G12="",1,IF(AND(MOD(G12,'Tab. Intervals'!$E$7)=0,G12&gt;=('Tab. Intervals'!$H$7),G12&lt;=('Tab. Intervals'!$K$7*10^3)),2,0))</f>
        <v>2</v>
      </c>
      <c r="I12" s="359">
        <v>0</v>
      </c>
      <c r="J12" s="362">
        <f>IF(I12="",1,IF(AND(I12&gt;='Tab. Intervals'!$H$8,I12&lt;='Tab. Intervals'!$K$8),2,0))</f>
        <v>2</v>
      </c>
      <c r="K12" s="360">
        <f>G12+I12</f>
        <v>20</v>
      </c>
      <c r="L12" s="121">
        <f>'Packets Structures'!$F$28*10^3</f>
        <v>0.17599999999999999</v>
      </c>
      <c r="M12" s="121">
        <f>'Packets Structures'!$F$27*10^3</f>
        <v>0.128</v>
      </c>
      <c r="N12" s="304" t="s">
        <v>340</v>
      </c>
      <c r="O12" s="122">
        <f>'Packets Structures'!$F$29*10^3</f>
        <v>0.35199999999999998</v>
      </c>
      <c r="P12" s="357">
        <f>VALUE(MID(N12,1,1))*L12+VALUE(MID(N12,2,1))*M12+'Tab. Intervals'!$O$5*10^-3+O12</f>
        <v>0.63</v>
      </c>
      <c r="Q12" s="356">
        <f>CEILING((F12/'Packets Structures'!$Q$22),1)</f>
        <v>77673</v>
      </c>
      <c r="R12" s="359">
        <v>7.5</v>
      </c>
      <c r="S12" s="365">
        <f>IF(R12="",1,IF(AND(MOD(R12,'Tab. Intervals'!$E$13)=0,R12&gt;='Tab. Intervals'!$H$13,R12&lt;=('Tab. Intervals'!$K$13*10^3)),2,0))</f>
        <v>2</v>
      </c>
      <c r="T12" s="361">
        <v>1010</v>
      </c>
      <c r="U12" s="365">
        <f>IF(T12="",1,IF(AND(MOD(T12,'Tab. Intervals'!$E$17)=0,T12&gt;='Tab. Intervals'!$H$17,T12&lt;=('Tab. Intervals'!$K$17*10^3),T12&gt;((1+V12)*R12)),2,0))</f>
        <v>2</v>
      </c>
      <c r="V12" s="359">
        <v>0</v>
      </c>
      <c r="W12" s="365">
        <f>IF(OR(V12="",R12="",T12="",R12=0),1,IF(AND(V12&gt;='Tab. Intervals'!$H$14,V12&lt;=MIN(500,T12/R12 - 1)),2,0))</f>
        <v>2</v>
      </c>
      <c r="X12" s="359">
        <v>0</v>
      </c>
      <c r="Y12" s="365">
        <f>IF(X12="",1,IF(AND(MOD(X12,'Tab. Intervals'!$E$13)=0,X12&gt;='Tab. Intervals'!$H$19,X12&lt;=R12),2,0))</f>
        <v>2</v>
      </c>
      <c r="Z12" s="359">
        <v>6.25</v>
      </c>
      <c r="AA12" s="365">
        <f>IF(OR(Z12="",R12=""),1,IF(AND(MOD(Z12,'Tab. Intervals'!$E$20)=0,Z12&gt;='Tab. Intervals'!$H$20,Z12&lt;=MIN(10,R12-1.25)),2,0))</f>
        <v>2</v>
      </c>
      <c r="AB12" s="61">
        <f>R12-AD12</f>
        <v>6.944</v>
      </c>
      <c r="AC12" s="84">
        <f>IF(R12="",1,IF(OR(R12=0,AB12&lt;=0),0,2))</f>
        <v>2</v>
      </c>
      <c r="AD12" s="364">
        <f>(2*'Tab. Intervals'!$O$5*10^-3)+('Packets Structures'!$M$27*10^3)+('Packets Structures'!$M$28*10^3)+('Packets Structures'!$M$29*10^3)</f>
        <v>0.55600000000000005</v>
      </c>
      <c r="AE12" s="61">
        <f>R12-AG12</f>
        <v>7.27</v>
      </c>
      <c r="AF12" s="84">
        <f>IF(R12="",1,IF(OR(R12=0,AE12&lt;=0),0,2))</f>
        <v>2</v>
      </c>
      <c r="AG12" s="364">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6473</v>
      </c>
      <c r="AL12" s="3">
        <f>(F12-(AK12-1)*AJ12*'Packets Structures'!$Q$22)</f>
        <v>224</v>
      </c>
      <c r="AM12" s="3">
        <f>TRUNC(AL12/'Packets Structures'!$Q$22,0)</f>
        <v>8</v>
      </c>
      <c r="AN12" s="3">
        <f>MOD(AL12,'Packets Structures'!$Q$22)</f>
        <v>8</v>
      </c>
      <c r="AO12" s="309">
        <f>R12*(AK12-1)+AD12+(AM12*((('Packets Structures'!$Q$22*8)/($B$4*10^6))*10^3+'Packets Structures'!$M$28*10^3+2*'Tab. Intervals'!$O$5*10^-3)+((AN12*8)/($B$4*10^6))*10^3+'Packets Structures'!$M$28*10^3+2*'Tab. Intervals'!$O$5*10^-3)</f>
        <v>48545.767999999996</v>
      </c>
      <c r="AP12" s="314">
        <f>P12+'Tab. Intervals'!$O$24+X12+AO12</f>
        <v>48547.647999999994</v>
      </c>
      <c r="AQ12" s="315">
        <f>P12+'Tab. Intervals'!$O$24+X12+Z12+R12*AK12</f>
        <v>48555.63</v>
      </c>
      <c r="AR12" s="317">
        <f t="shared" ref="AR12:AR18" si="0">(((D12+E12)*$B$3*AP12*10^-3)/C12)*10^3</f>
        <v>366.53474240000003</v>
      </c>
      <c r="AS12" s="316">
        <f>AVERAGE(AR12,AT12)</f>
        <v>366.56487445000005</v>
      </c>
      <c r="AT12" s="318">
        <f t="shared" ref="AT12:AT18" si="1">(((D12+E12)*$B$3*AQ12*10^-3)/C12)*10^3</f>
        <v>366.59500650000007</v>
      </c>
      <c r="AU12" s="306" t="s">
        <v>383</v>
      </c>
    </row>
    <row r="13" spans="1:51">
      <c r="A13" s="577"/>
      <c r="B13" s="578"/>
      <c r="C13" s="360"/>
      <c r="D13" s="121"/>
      <c r="E13" s="309"/>
      <c r="F13" s="313"/>
      <c r="G13" s="359"/>
      <c r="H13" s="362"/>
      <c r="I13" s="359"/>
      <c r="J13" s="362"/>
      <c r="K13" s="360"/>
      <c r="L13" s="121"/>
      <c r="M13" s="121"/>
      <c r="N13" s="304"/>
      <c r="O13" s="122"/>
      <c r="P13" s="357"/>
      <c r="Q13" s="356"/>
      <c r="R13" s="359"/>
      <c r="S13" s="365"/>
      <c r="T13" s="361"/>
      <c r="U13" s="365"/>
      <c r="V13" s="359"/>
      <c r="W13" s="365"/>
      <c r="X13" s="359"/>
      <c r="Y13" s="365"/>
      <c r="Z13" s="359"/>
      <c r="AA13" s="365"/>
      <c r="AB13" s="61"/>
      <c r="AC13" s="84"/>
      <c r="AD13" s="364"/>
      <c r="AE13" s="61"/>
      <c r="AF13" s="84"/>
      <c r="AG13" s="364"/>
      <c r="AH13" s="26"/>
      <c r="AI13" s="26"/>
      <c r="AJ13" s="26"/>
      <c r="AK13" s="26"/>
      <c r="AL13" s="3"/>
      <c r="AM13" s="3"/>
      <c r="AN13" s="3"/>
      <c r="AO13" s="309"/>
      <c r="AP13" s="314"/>
      <c r="AQ13" s="315"/>
      <c r="AR13" s="317"/>
      <c r="AS13" s="316"/>
      <c r="AT13" s="318"/>
      <c r="AU13" s="306"/>
    </row>
    <row r="14" spans="1:51">
      <c r="A14" s="577"/>
      <c r="B14" s="578"/>
      <c r="C14" s="360"/>
      <c r="D14" s="121"/>
      <c r="E14" s="309"/>
      <c r="F14" s="313"/>
      <c r="G14" s="359"/>
      <c r="H14" s="362"/>
      <c r="I14" s="359"/>
      <c r="J14" s="362"/>
      <c r="K14" s="360"/>
      <c r="L14" s="121"/>
      <c r="M14" s="121"/>
      <c r="N14" s="304"/>
      <c r="O14" s="121"/>
      <c r="P14" s="357"/>
      <c r="Q14" s="356"/>
      <c r="R14" s="359"/>
      <c r="S14" s="365"/>
      <c r="T14" s="361"/>
      <c r="U14" s="365"/>
      <c r="V14" s="359"/>
      <c r="W14" s="365"/>
      <c r="X14" s="359"/>
      <c r="Y14" s="365"/>
      <c r="Z14" s="359"/>
      <c r="AA14" s="365"/>
      <c r="AB14" s="61"/>
      <c r="AC14" s="84"/>
      <c r="AD14" s="364"/>
      <c r="AE14" s="61"/>
      <c r="AF14" s="84"/>
      <c r="AG14" s="364"/>
      <c r="AH14" s="26"/>
      <c r="AI14" s="26"/>
      <c r="AJ14" s="26"/>
      <c r="AK14" s="26"/>
      <c r="AL14" s="3"/>
      <c r="AM14" s="3"/>
      <c r="AN14" s="3"/>
      <c r="AO14" s="309"/>
      <c r="AP14" s="314"/>
      <c r="AQ14" s="315"/>
      <c r="AR14" s="317"/>
      <c r="AS14" s="316"/>
      <c r="AT14" s="318"/>
      <c r="AU14" s="306"/>
    </row>
    <row r="15" spans="1:51">
      <c r="A15" s="579"/>
      <c r="B15" s="580"/>
      <c r="C15" s="360"/>
      <c r="D15" s="121"/>
      <c r="E15" s="309"/>
      <c r="F15" s="313"/>
      <c r="G15" s="359"/>
      <c r="H15" s="362"/>
      <c r="I15" s="359"/>
      <c r="J15" s="362"/>
      <c r="K15" s="360"/>
      <c r="L15" s="121"/>
      <c r="M15" s="121"/>
      <c r="N15" s="304"/>
      <c r="O15" s="121"/>
      <c r="P15" s="357"/>
      <c r="Q15" s="356"/>
      <c r="R15" s="359"/>
      <c r="S15" s="365"/>
      <c r="T15" s="361"/>
      <c r="U15" s="365"/>
      <c r="V15" s="359"/>
      <c r="W15" s="365"/>
      <c r="X15" s="359"/>
      <c r="Y15" s="365"/>
      <c r="Z15" s="359"/>
      <c r="AA15" s="365"/>
      <c r="AB15" s="61"/>
      <c r="AC15" s="84"/>
      <c r="AD15" s="364"/>
      <c r="AE15" s="61"/>
      <c r="AF15" s="84"/>
      <c r="AG15" s="364"/>
      <c r="AH15" s="26"/>
      <c r="AI15" s="26"/>
      <c r="AJ15" s="26"/>
      <c r="AK15" s="26"/>
      <c r="AL15" s="3"/>
      <c r="AM15" s="3"/>
      <c r="AN15" s="3"/>
      <c r="AO15" s="309"/>
      <c r="AP15" s="314"/>
      <c r="AQ15" s="315"/>
      <c r="AR15" s="317"/>
      <c r="AS15" s="316"/>
      <c r="AT15" s="318"/>
      <c r="AU15" s="306"/>
    </row>
    <row r="16" spans="1:51">
      <c r="C16" s="360"/>
      <c r="D16" s="121"/>
      <c r="E16" s="309"/>
      <c r="F16" s="313"/>
      <c r="G16" s="359"/>
      <c r="H16" s="362"/>
      <c r="I16" s="359"/>
      <c r="J16" s="362"/>
      <c r="K16" s="360"/>
      <c r="L16" s="121"/>
      <c r="M16" s="121"/>
      <c r="N16" s="304"/>
      <c r="O16" s="122"/>
      <c r="P16" s="357"/>
      <c r="Q16" s="356"/>
      <c r="R16" s="359"/>
      <c r="S16" s="365"/>
      <c r="T16" s="361"/>
      <c r="U16" s="365"/>
      <c r="V16" s="359"/>
      <c r="W16" s="365"/>
      <c r="X16" s="359"/>
      <c r="Y16" s="365"/>
      <c r="Z16" s="359"/>
      <c r="AA16" s="365"/>
      <c r="AB16" s="61"/>
      <c r="AC16" s="84"/>
      <c r="AD16" s="364"/>
      <c r="AE16" s="61"/>
      <c r="AF16" s="84"/>
      <c r="AG16" s="364"/>
      <c r="AH16" s="26"/>
      <c r="AI16" s="26"/>
      <c r="AJ16" s="26"/>
      <c r="AK16" s="26"/>
      <c r="AL16" s="3"/>
      <c r="AM16" s="3"/>
      <c r="AN16" s="3"/>
      <c r="AO16" s="309"/>
      <c r="AP16" s="314"/>
      <c r="AQ16" s="315"/>
      <c r="AR16" s="317"/>
      <c r="AS16" s="316"/>
      <c r="AT16" s="318"/>
      <c r="AU16" s="306"/>
    </row>
    <row r="17" spans="3:47">
      <c r="C17" s="360"/>
      <c r="D17" s="121"/>
      <c r="E17" s="309"/>
      <c r="F17" s="313"/>
      <c r="G17" s="359"/>
      <c r="H17" s="362"/>
      <c r="I17" s="359"/>
      <c r="J17" s="362"/>
      <c r="K17" s="360"/>
      <c r="L17" s="121"/>
      <c r="M17" s="121"/>
      <c r="N17" s="304"/>
      <c r="O17" s="122"/>
      <c r="P17" s="357"/>
      <c r="Q17" s="356"/>
      <c r="R17" s="359"/>
      <c r="S17" s="365"/>
      <c r="T17" s="361"/>
      <c r="U17" s="365"/>
      <c r="V17" s="359"/>
      <c r="W17" s="365"/>
      <c r="X17" s="359"/>
      <c r="Y17" s="365"/>
      <c r="Z17" s="359"/>
      <c r="AA17" s="365"/>
      <c r="AB17" s="61"/>
      <c r="AC17" s="84"/>
      <c r="AD17" s="364"/>
      <c r="AE17" s="61"/>
      <c r="AF17" s="84"/>
      <c r="AG17" s="364"/>
      <c r="AH17" s="26"/>
      <c r="AI17" s="26"/>
      <c r="AJ17" s="26"/>
      <c r="AK17" s="26"/>
      <c r="AL17" s="3"/>
      <c r="AM17" s="3"/>
      <c r="AN17" s="3"/>
      <c r="AO17" s="309"/>
      <c r="AP17" s="314"/>
      <c r="AQ17" s="315"/>
      <c r="AR17" s="317"/>
      <c r="AS17" s="316"/>
      <c r="AT17" s="318"/>
      <c r="AU17" s="306"/>
    </row>
    <row r="18" spans="3:47">
      <c r="C18" s="360"/>
      <c r="D18" s="121"/>
      <c r="E18" s="309"/>
      <c r="F18" s="313"/>
      <c r="G18" s="359"/>
      <c r="H18" s="362"/>
      <c r="I18" s="359"/>
      <c r="J18" s="362"/>
      <c r="K18" s="360"/>
      <c r="L18" s="121"/>
      <c r="M18" s="121"/>
      <c r="N18" s="304"/>
      <c r="O18" s="122"/>
      <c r="P18" s="357"/>
      <c r="Q18" s="356"/>
      <c r="R18" s="359"/>
      <c r="S18" s="365"/>
      <c r="T18" s="361"/>
      <c r="U18" s="365"/>
      <c r="V18" s="359"/>
      <c r="W18" s="365"/>
      <c r="X18" s="359"/>
      <c r="Y18" s="365"/>
      <c r="Z18" s="359"/>
      <c r="AA18" s="365"/>
      <c r="AB18" s="61"/>
      <c r="AC18" s="84"/>
      <c r="AD18" s="364"/>
      <c r="AE18" s="61"/>
      <c r="AF18" s="84"/>
      <c r="AG18" s="364"/>
      <c r="AH18" s="26"/>
      <c r="AI18" s="26"/>
      <c r="AJ18" s="26"/>
      <c r="AK18" s="26"/>
      <c r="AL18" s="3"/>
      <c r="AM18" s="3"/>
      <c r="AN18" s="3"/>
      <c r="AO18" s="309"/>
      <c r="AP18" s="314"/>
      <c r="AQ18" s="315"/>
      <c r="AR18" s="317"/>
      <c r="AS18" s="316"/>
      <c r="AT18" s="318"/>
      <c r="AU18" s="306"/>
    </row>
  </sheetData>
  <mergeCells count="40">
    <mergeCell ref="A8:B15"/>
    <mergeCell ref="AN9:AN11"/>
    <mergeCell ref="AO9:AO11"/>
    <mergeCell ref="AH9:AH11"/>
    <mergeCell ref="AI9:AI11"/>
    <mergeCell ref="AJ9:AJ11"/>
    <mergeCell ref="AK9:AK11"/>
    <mergeCell ref="AL9:AL11"/>
    <mergeCell ref="AM9:AM11"/>
    <mergeCell ref="X9:X11"/>
    <mergeCell ref="Z9:Z11"/>
    <mergeCell ref="AB9:AB11"/>
    <mergeCell ref="AD9:AD11"/>
    <mergeCell ref="AE9:AE11"/>
    <mergeCell ref="AG9:AG11"/>
    <mergeCell ref="O9:O11"/>
    <mergeCell ref="P9:P11"/>
    <mergeCell ref="Q9:Q11"/>
    <mergeCell ref="R9:R11"/>
    <mergeCell ref="T9:T11"/>
    <mergeCell ref="V9:V11"/>
    <mergeCell ref="G8:P8"/>
    <mergeCell ref="Q8:AO8"/>
    <mergeCell ref="AP8:AP11"/>
    <mergeCell ref="AQ8:AQ11"/>
    <mergeCell ref="G9:G11"/>
    <mergeCell ref="I9:I11"/>
    <mergeCell ref="K9:K11"/>
    <mergeCell ref="L9:L11"/>
    <mergeCell ref="M9:M11"/>
    <mergeCell ref="N9:N11"/>
    <mergeCell ref="A1:V1"/>
    <mergeCell ref="A7:B7"/>
    <mergeCell ref="C7:AQ7"/>
    <mergeCell ref="AR7:AT10"/>
    <mergeCell ref="AU7:AU11"/>
    <mergeCell ref="C8:C11"/>
    <mergeCell ref="D8:D11"/>
    <mergeCell ref="E8:E11"/>
    <mergeCell ref="F8:F11"/>
  </mergeCells>
  <conditionalFormatting sqref="M12:M18">
    <cfRule type="expression" dxfId="3" priority="6">
      <formula>N12="01"</formula>
    </cfRule>
  </conditionalFormatting>
  <conditionalFormatting sqref="L12:L18">
    <cfRule type="expression" dxfId="2" priority="5">
      <formula>N12="10"</formula>
    </cfRule>
  </conditionalFormatting>
  <conditionalFormatting sqref="U12:U18 W12:W18 Y12:Y18 AA12:AA18 AC12:AC18 AF12:AF18 S12:S18">
    <cfRule type="iconSet" priority="4">
      <iconSet iconSet="3Symbols" showValue="0">
        <cfvo type="percent" val="0"/>
        <cfvo type="num" val="1"/>
        <cfvo type="num" val="2"/>
      </iconSet>
    </cfRule>
  </conditionalFormatting>
  <conditionalFormatting sqref="H12:H18">
    <cfRule type="iconSet" priority="3">
      <iconSet iconSet="3Symbols" showValue="0">
        <cfvo type="percent" val="0"/>
        <cfvo type="num" val="1"/>
        <cfvo type="num" val="2"/>
      </iconSet>
    </cfRule>
  </conditionalFormatting>
  <conditionalFormatting sqref="J12:J18">
    <cfRule type="iconSet" priority="2">
      <iconSet iconSet="3Symbols" showValue="0">
        <cfvo type="percent" val="0"/>
        <cfvo type="num" val="1"/>
        <cfvo type="num" val="2"/>
      </iconSet>
    </cfRule>
  </conditionalFormatting>
  <dataValidations disablePrompts="1" count="1">
    <dataValidation type="list" operator="equal" allowBlank="1" showInputMessage="1" showErrorMessage="1" sqref="N12:N18">
      <formula1>$N$3:$N$5</formula1>
    </dataValidation>
  </dataValidation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sheetPr codeName="Foglio7"/>
  <dimension ref="A1:W67"/>
  <sheetViews>
    <sheetView workbookViewId="0">
      <selection activeCell="A2" sqref="A2"/>
    </sheetView>
  </sheetViews>
  <sheetFormatPr defaultRowHeight="15"/>
  <cols>
    <col min="1" max="6" width="9.140625" customWidth="1"/>
    <col min="7" max="7" width="11" bestFit="1" customWidth="1"/>
    <col min="10" max="10" width="9.140625" customWidth="1"/>
    <col min="12" max="14" width="9.140625" customWidth="1"/>
    <col min="17" max="17" width="9.140625" customWidth="1"/>
    <col min="19" max="19" width="9.7109375" bestFit="1" customWidth="1"/>
  </cols>
  <sheetData>
    <row r="1" spans="1:20" ht="21">
      <c r="A1" s="106" t="s">
        <v>243</v>
      </c>
      <c r="B1" s="106"/>
      <c r="M1" t="s">
        <v>223</v>
      </c>
    </row>
    <row r="2" spans="1:20" ht="15" customHeight="1">
      <c r="M2" s="669" t="s">
        <v>212</v>
      </c>
      <c r="N2" s="670"/>
      <c r="P2" s="668" t="s">
        <v>226</v>
      </c>
      <c r="Q2" s="668"/>
      <c r="R2" s="668"/>
      <c r="S2" s="668"/>
      <c r="T2" s="668"/>
    </row>
    <row r="3" spans="1:20" ht="15" customHeight="1">
      <c r="A3" s="222" t="s">
        <v>224</v>
      </c>
      <c r="B3" s="223" t="s">
        <v>225</v>
      </c>
      <c r="C3" s="228" t="s">
        <v>231</v>
      </c>
      <c r="E3" s="224" t="s">
        <v>224</v>
      </c>
      <c r="F3" s="224" t="s">
        <v>225</v>
      </c>
      <c r="G3" s="228" t="s">
        <v>231</v>
      </c>
      <c r="I3" s="661" t="s">
        <v>124</v>
      </c>
      <c r="J3" s="661"/>
      <c r="K3" s="661"/>
      <c r="P3" s="668"/>
      <c r="Q3" s="668"/>
      <c r="R3" s="668"/>
      <c r="S3" s="668"/>
      <c r="T3" s="668"/>
    </row>
    <row r="4" spans="1:20" ht="15" customHeight="1">
      <c r="A4" s="20" t="s">
        <v>127</v>
      </c>
      <c r="B4" s="225" t="s">
        <v>127</v>
      </c>
      <c r="C4" s="226">
        <f t="array" ref="C4">IFERROR(INDEX($K$5:$K$13,MATCH(TRUE,EXACT($I$5:$I$13,A4),0)),1)/IFERROR(INDEX($K$5:$K$13,MATCH(TRUE,EXACT($I$5:$I$13,B4),0)),1)</f>
        <v>1</v>
      </c>
      <c r="E4" s="20" t="s">
        <v>214</v>
      </c>
      <c r="F4" s="20" t="s">
        <v>214</v>
      </c>
      <c r="G4" s="226">
        <f t="array" ref="G4">INDEX($K$16:$K$21,MATCH(TRUE,EXACT($I$16:$I$21,E4),0))/INDEX($K$16:$K$21,MATCH(TRUE,EXACT($I$16:$I$21,F4),0))</f>
        <v>1</v>
      </c>
      <c r="I4" s="115" t="s">
        <v>213</v>
      </c>
      <c r="J4" s="114" t="s">
        <v>133</v>
      </c>
      <c r="K4" s="115" t="s">
        <v>134</v>
      </c>
      <c r="M4" t="s">
        <v>127</v>
      </c>
      <c r="N4" s="220">
        <f t="array" ref="N4">IFERROR(INDEX($K$5:$K$14,MATCH(TRUE,EXACT($I$5:$I$14,MID(M4,1,1)),0)),1)</f>
        <v>1000000000</v>
      </c>
      <c r="P4" s="668"/>
      <c r="Q4" s="668"/>
      <c r="R4" s="668"/>
      <c r="S4" s="668"/>
      <c r="T4" s="668"/>
    </row>
    <row r="5" spans="1:20">
      <c r="A5" s="20" t="s">
        <v>127</v>
      </c>
      <c r="B5" s="225" t="s">
        <v>128</v>
      </c>
      <c r="C5" s="226">
        <f t="array" ref="C5">IFERROR(INDEX($K$5:$K$13,MATCH(TRUE,EXACT($I$5:$I$13,A5),0)),1)/IFERROR(INDEX($K$5:$K$13,MATCH(TRUE,EXACT($I$5:$I$13,B5),0)),1)</f>
        <v>1000</v>
      </c>
      <c r="E5" s="20" t="s">
        <v>214</v>
      </c>
      <c r="F5" s="20" t="s">
        <v>216</v>
      </c>
      <c r="G5" s="226">
        <f t="array" ref="G5">INDEX($K$16:$K$21,MATCH(TRUE,EXACT($I$16:$I$21,E5),0))/INDEX($K$16:$K$21,MATCH(TRUE,EXACT($I$16:$I$21,F5),0))</f>
        <v>1024</v>
      </c>
      <c r="I5" s="111" t="s">
        <v>127</v>
      </c>
      <c r="J5" s="111">
        <v>9</v>
      </c>
      <c r="K5" s="112">
        <f t="shared" ref="K5:K8" si="0">10^J5</f>
        <v>1000000000</v>
      </c>
      <c r="M5" t="s">
        <v>128</v>
      </c>
      <c r="N5" s="220">
        <f t="array" ref="N5">IFERROR(INDEX($K$5:$K$14,MATCH(TRUE,EXACT($I$5:$I$14,MID(M5,1,1)),0)),1)</f>
        <v>1000000</v>
      </c>
    </row>
    <row r="6" spans="1:20">
      <c r="A6" s="20" t="s">
        <v>127</v>
      </c>
      <c r="B6" s="20" t="s">
        <v>129</v>
      </c>
      <c r="C6" s="226">
        <f t="array" ref="C6">IFERROR(INDEX($K$5:$K$13,MATCH(TRUE,EXACT($I$5:$I$13,A6),0)),1)/IFERROR(INDEX($K$5:$K$13,MATCH(TRUE,EXACT($I$5:$I$13,B6),0)),1)</f>
        <v>1000000</v>
      </c>
      <c r="E6" s="20" t="s">
        <v>214</v>
      </c>
      <c r="F6" s="20" t="s">
        <v>227</v>
      </c>
      <c r="G6" s="226">
        <f t="array" ref="G6">INDEX($K$16:$K$21,MATCH(TRUE,EXACT($I$16:$I$21,E6),0))/INDEX($K$16:$K$21,MATCH(TRUE,EXACT($I$16:$I$21,F6),0))</f>
        <v>1048576</v>
      </c>
      <c r="I6" s="109" t="s">
        <v>128</v>
      </c>
      <c r="J6" s="109">
        <v>6</v>
      </c>
      <c r="K6" s="110">
        <f>10^J6</f>
        <v>1000000</v>
      </c>
      <c r="M6" t="s">
        <v>129</v>
      </c>
      <c r="N6" s="220">
        <f t="array" ref="N6">IFERROR(INDEX($K$5:$K$14,MATCH(TRUE,EXACT($I$5:$I$14,MID(M6,1,1)),0)),1)</f>
        <v>1000</v>
      </c>
      <c r="P6" s="662" t="s">
        <v>123</v>
      </c>
      <c r="Q6" s="663"/>
      <c r="R6" s="663"/>
      <c r="S6" s="664"/>
    </row>
    <row r="7" spans="1:20">
      <c r="A7" s="227" t="s">
        <v>127</v>
      </c>
      <c r="B7" s="227" t="s">
        <v>211</v>
      </c>
      <c r="C7" s="226">
        <f t="array" ref="C7">IFERROR(INDEX($K$5:$K$13,MATCH(TRUE,EXACT($I$5:$I$13,A7),0)),1)/IFERROR(INDEX($K$5:$K$13,MATCH(TRUE,EXACT($I$5:$I$13,B7),0)),1)</f>
        <v>1000000</v>
      </c>
      <c r="E7" s="20" t="s">
        <v>214</v>
      </c>
      <c r="F7" s="20" t="s">
        <v>126</v>
      </c>
      <c r="G7" s="226">
        <f t="array" ref="G7">INDEX($K$16:$K$21,MATCH(TRUE,EXACT($I$16:$I$21,E7),0))/INDEX($K$16:$K$21,MATCH(TRUE,EXACT($I$16:$I$21,F7),0))</f>
        <v>1073741824</v>
      </c>
      <c r="I7" s="109" t="s">
        <v>129</v>
      </c>
      <c r="J7" s="109">
        <v>3</v>
      </c>
      <c r="K7" s="112">
        <f t="shared" si="0"/>
        <v>1000</v>
      </c>
      <c r="N7" s="220">
        <f t="array" ref="N7">IFERROR(INDEX($K$5:$K$14,MATCH(TRUE,EXACT($I$5:$I$14,MID(M7,1,1)),0)),1)</f>
        <v>1</v>
      </c>
      <c r="P7" s="105" t="s">
        <v>125</v>
      </c>
      <c r="Q7" s="105" t="s">
        <v>126</v>
      </c>
      <c r="R7" s="116" t="s">
        <v>113</v>
      </c>
      <c r="S7" s="118" t="s">
        <v>87</v>
      </c>
    </row>
    <row r="8" spans="1:20">
      <c r="A8" s="20" t="s">
        <v>127</v>
      </c>
      <c r="B8" s="20"/>
      <c r="C8" s="226">
        <f t="array" ref="C8">IFERROR(INDEX($K$5:$K$13,MATCH(TRUE,EXACT($I$5:$I$13,A8),0)),1)/IFERROR(INDEX($K$5:$K$13,MATCH(TRUE,EXACT($I$5:$I$13,B8),0)),1)</f>
        <v>1000000000</v>
      </c>
      <c r="E8" s="20" t="s">
        <v>214</v>
      </c>
      <c r="F8" s="20" t="s">
        <v>125</v>
      </c>
      <c r="G8" s="226">
        <f t="array" ref="G8">INDEX($K$16:$K$21,MATCH(TRUE,EXACT($I$16:$I$21,E8),0))/INDEX($K$16:$K$21,MATCH(TRUE,EXACT($I$16:$I$21,F8),0))</f>
        <v>8589934592</v>
      </c>
      <c r="I8" s="109" t="s">
        <v>211</v>
      </c>
      <c r="J8" s="109">
        <v>3</v>
      </c>
      <c r="K8" s="110">
        <f t="shared" si="0"/>
        <v>1000</v>
      </c>
      <c r="M8" t="s">
        <v>55</v>
      </c>
      <c r="N8" s="220">
        <f t="array" ref="N8">IFERROR(INDEX($K$5:$K$14,MATCH(TRUE,EXACT($I$5:$I$14,MID(M8,1,1)),0)),1)</f>
        <v>1E-3</v>
      </c>
      <c r="P8" s="104" t="str">
        <f t="shared" ref="P8:S10" si="1">CONCATENATE($I5,P$7)</f>
        <v>Gb</v>
      </c>
      <c r="Q8" s="104" t="str">
        <f t="shared" si="1"/>
        <v>GB</v>
      </c>
      <c r="R8" s="117" t="str">
        <f t="shared" si="1"/>
        <v>GW</v>
      </c>
      <c r="S8" s="113" t="str">
        <f t="shared" si="1"/>
        <v>Gw</v>
      </c>
    </row>
    <row r="9" spans="1:20">
      <c r="A9" s="20" t="s">
        <v>127</v>
      </c>
      <c r="B9" s="225" t="s">
        <v>55</v>
      </c>
      <c r="C9" s="226">
        <f t="array" ref="C9">IFERROR(INDEX($K$5:$K$13,MATCH(TRUE,EXACT($I$5:$I$13,A9),0)),1)/IFERROR(INDEX($K$5:$K$13,MATCH(TRUE,EXACT($I$5:$I$13,B9),0)),1)</f>
        <v>1000000000000</v>
      </c>
      <c r="E9" s="20" t="s">
        <v>216</v>
      </c>
      <c r="F9" s="20" t="s">
        <v>214</v>
      </c>
      <c r="G9" s="226">
        <f t="array" ref="G9">INDEX($K$16:$K$21,MATCH(TRUE,EXACT($I$16:$I$21,E9),0))/INDEX($K$16:$K$21,MATCH(TRUE,EXACT($I$16:$I$21,F9),0))</f>
        <v>9.765625E-4</v>
      </c>
      <c r="I9" s="109" t="s">
        <v>237</v>
      </c>
      <c r="J9" s="109">
        <v>0</v>
      </c>
      <c r="K9" s="110">
        <f>10^J9</f>
        <v>1</v>
      </c>
      <c r="M9" t="s">
        <v>131</v>
      </c>
      <c r="N9" s="220">
        <f t="array" ref="N9">IFERROR(INDEX($K$5:$K$14,MATCH(TRUE,EXACT($I$5:$I$14,MID(M9,1,1)),0)),1)</f>
        <v>9.9999999999999995E-7</v>
      </c>
      <c r="P9" s="119" t="str">
        <f t="shared" si="1"/>
        <v>Mb</v>
      </c>
      <c r="Q9" s="119" t="str">
        <f t="shared" si="1"/>
        <v>MB</v>
      </c>
      <c r="R9" s="120" t="str">
        <f t="shared" si="1"/>
        <v>MW</v>
      </c>
      <c r="S9" s="107" t="str">
        <f t="shared" si="1"/>
        <v>Mw</v>
      </c>
    </row>
    <row r="10" spans="1:20">
      <c r="A10" s="20" t="s">
        <v>127</v>
      </c>
      <c r="B10" s="225" t="s">
        <v>131</v>
      </c>
      <c r="C10" s="226">
        <f t="array" ref="C10">IFERROR(INDEX($K$5:$K$13,MATCH(TRUE,EXACT($I$5:$I$13,A10),0)),1)/IFERROR(INDEX($K$5:$K$13,MATCH(TRUE,EXACT($I$5:$I$13,B10),0)),1)</f>
        <v>1000000000000000</v>
      </c>
      <c r="E10" s="20" t="s">
        <v>216</v>
      </c>
      <c r="F10" s="20" t="s">
        <v>216</v>
      </c>
      <c r="G10" s="226">
        <f t="array" ref="G10">INDEX($K$16:$K$21,MATCH(TRUE,EXACT($I$16:$I$21,E10),0))/INDEX($K$16:$K$21,MATCH(TRUE,EXACT($I$16:$I$21,F10),0))</f>
        <v>1</v>
      </c>
      <c r="I10" s="221"/>
      <c r="J10" s="221">
        <v>0</v>
      </c>
      <c r="K10" s="231">
        <f>10^J10</f>
        <v>1</v>
      </c>
      <c r="M10" t="s">
        <v>132</v>
      </c>
      <c r="N10" s="220">
        <f t="array" ref="N10">IFERROR(INDEX($K$5:$K$14,MATCH(TRUE,EXACT($I$5:$I$14,MID(M10,1,1)),0)),1)</f>
        <v>1.0000000000000001E-9</v>
      </c>
      <c r="P10" s="104" t="str">
        <f t="shared" si="1"/>
        <v>Kb</v>
      </c>
      <c r="Q10" s="104" t="str">
        <f t="shared" si="1"/>
        <v>KB</v>
      </c>
      <c r="R10" s="117" t="str">
        <f t="shared" si="1"/>
        <v>KW</v>
      </c>
      <c r="S10" s="113" t="str">
        <f t="shared" si="1"/>
        <v>Kw</v>
      </c>
    </row>
    <row r="11" spans="1:20">
      <c r="A11" s="20" t="s">
        <v>127</v>
      </c>
      <c r="B11" s="225" t="s">
        <v>132</v>
      </c>
      <c r="C11" s="226">
        <f t="array" ref="C11">IFERROR(INDEX($K$5:$K$13,MATCH(TRUE,EXACT($I$5:$I$13,A11),0)),1)/IFERROR(INDEX($K$5:$K$13,MATCH(TRUE,EXACT($I$5:$I$13,B11),0)),1)</f>
        <v>1E+18</v>
      </c>
      <c r="E11" s="20" t="s">
        <v>216</v>
      </c>
      <c r="F11" s="20" t="s">
        <v>227</v>
      </c>
      <c r="G11" s="226">
        <f t="array" ref="G11">INDEX($K$16:$K$21,MATCH(TRUE,EXACT($I$16:$I$21,E11),0))/INDEX($K$16:$K$21,MATCH(TRUE,EXACT($I$16:$I$21,F11),0))</f>
        <v>1024</v>
      </c>
      <c r="I11" s="109" t="s">
        <v>55</v>
      </c>
      <c r="J11" s="109">
        <v>-3</v>
      </c>
      <c r="K11" s="110">
        <f>10^J11</f>
        <v>1E-3</v>
      </c>
      <c r="M11" t="s">
        <v>57</v>
      </c>
      <c r="N11" s="220">
        <f t="array" ref="N11">IFERROR(INDEX($K$5:$K$14,MATCH(TRUE,EXACT($I$5:$I$14,MID(M11,1,1)),0)),1)</f>
        <v>1E-3</v>
      </c>
      <c r="P11" s="119" t="str">
        <f>CONCATENATE($I9,P$7)</f>
        <v>vb</v>
      </c>
      <c r="Q11" s="119" t="str">
        <f>CONCATENATE($I9,Q$7)</f>
        <v>vB</v>
      </c>
      <c r="R11" s="120" t="str">
        <f>CONCATENATE($I9,R$7)</f>
        <v>vW</v>
      </c>
      <c r="S11" s="107" t="str">
        <f>CONCATENATE($I9,S$7)</f>
        <v>vw</v>
      </c>
    </row>
    <row r="12" spans="1:20">
      <c r="A12" s="20" t="s">
        <v>128</v>
      </c>
      <c r="B12" s="225" t="s">
        <v>127</v>
      </c>
      <c r="C12" s="226">
        <f t="array" ref="C12">IFERROR(INDEX($K$5:$K$13,MATCH(TRUE,EXACT($I$5:$I$13,A12),0)),1)/IFERROR(INDEX($K$5:$K$13,MATCH(TRUE,EXACT($I$5:$I$13,B12),0)),1)</f>
        <v>1E-3</v>
      </c>
      <c r="E12" s="20" t="s">
        <v>216</v>
      </c>
      <c r="F12" s="20" t="s">
        <v>126</v>
      </c>
      <c r="G12" s="226">
        <f t="array" ref="G12">INDEX($K$16:$K$21,MATCH(TRUE,EXACT($I$16:$I$21,E12),0))/INDEX($K$16:$K$21,MATCH(TRUE,EXACT($I$16:$I$21,F12),0))</f>
        <v>1048576</v>
      </c>
      <c r="I12" s="109" t="s">
        <v>131</v>
      </c>
      <c r="J12" s="109">
        <v>-6</v>
      </c>
      <c r="K12" s="110">
        <f>10^J12</f>
        <v>9.9999999999999995E-7</v>
      </c>
      <c r="M12" t="s">
        <v>215</v>
      </c>
      <c r="N12" s="220">
        <f t="array" ref="N12">IFERROR(INDEX($K$5:$K$14,MATCH(TRUE,EXACT($I$5:$I$14,MID(M12,1,1)),0)),1)</f>
        <v>1000000</v>
      </c>
      <c r="P12" s="119" t="s">
        <v>217</v>
      </c>
      <c r="Q12" s="119" t="s">
        <v>218</v>
      </c>
      <c r="R12" s="120" t="str">
        <f t="shared" ref="R12:S14" si="2">CONCATENATE($I11,R$7)</f>
        <v>mW</v>
      </c>
      <c r="S12" s="107" t="str">
        <f t="shared" si="2"/>
        <v>mw</v>
      </c>
    </row>
    <row r="13" spans="1:20">
      <c r="A13" s="225" t="s">
        <v>128</v>
      </c>
      <c r="B13" s="225" t="s">
        <v>128</v>
      </c>
      <c r="C13" s="226">
        <f t="array" ref="C13">IFERROR(INDEX($K$5:$K$13,MATCH(TRUE,EXACT($I$5:$I$13,A13),0)),1)/IFERROR(INDEX($K$5:$K$13,MATCH(TRUE,EXACT($I$5:$I$13,B13),0)),1)</f>
        <v>1</v>
      </c>
      <c r="E13" s="20" t="s">
        <v>216</v>
      </c>
      <c r="F13" s="20" t="s">
        <v>125</v>
      </c>
      <c r="G13" s="226">
        <f t="array" ref="G13">INDEX($K$16:$K$21,MATCH(TRUE,EXACT($I$16:$I$21,E13),0))/INDEX($K$16:$K$21,MATCH(TRUE,EXACT($I$16:$I$21,F13),0))</f>
        <v>8388608</v>
      </c>
      <c r="I13" s="109" t="s">
        <v>132</v>
      </c>
      <c r="J13" s="109">
        <v>-9</v>
      </c>
      <c r="K13" s="110">
        <f>10^J13</f>
        <v>1.0000000000000001E-9</v>
      </c>
      <c r="M13" t="s">
        <v>87</v>
      </c>
      <c r="N13" s="220">
        <f t="array" ref="N13">IFERROR(INDEX($K$5:$K$14,MATCH(TRUE,EXACT($I$5:$I$14,MID(M13,1,1)),0)),1)</f>
        <v>1</v>
      </c>
      <c r="P13" s="119" t="s">
        <v>219</v>
      </c>
      <c r="Q13" s="119" t="s">
        <v>220</v>
      </c>
      <c r="R13" s="120" t="str">
        <f t="shared" si="2"/>
        <v>uW</v>
      </c>
      <c r="S13" s="107" t="str">
        <f t="shared" si="2"/>
        <v>uw</v>
      </c>
    </row>
    <row r="14" spans="1:20">
      <c r="A14" s="225" t="s">
        <v>128</v>
      </c>
      <c r="B14" s="20" t="s">
        <v>129</v>
      </c>
      <c r="C14" s="226">
        <f t="array" ref="C14">IFERROR(INDEX($K$5:$K$13,MATCH(TRUE,EXACT($I$5:$I$13,A14),0)),1)/IFERROR(INDEX($K$5:$K$13,MATCH(TRUE,EXACT($I$5:$I$13,B14),0)),1)</f>
        <v>1000</v>
      </c>
      <c r="E14" s="20" t="s">
        <v>227</v>
      </c>
      <c r="F14" s="20" t="s">
        <v>214</v>
      </c>
      <c r="G14" s="226">
        <f t="array" ref="G14">INDEX($K$16:$K$21,MATCH(TRUE,EXACT($I$16:$I$21,E14),0))/INDEX($K$16:$K$21,MATCH(TRUE,EXACT($I$16:$I$21,F14),0))</f>
        <v>9.5367431640625E-7</v>
      </c>
      <c r="M14" t="s">
        <v>238</v>
      </c>
      <c r="N14" s="220">
        <f t="array" ref="N14">IFERROR(INDEX($K$5:$K$14,MATCH(TRUE,EXACT($I$5:$I$14,MID(M14,1,1)),0)),1)</f>
        <v>1</v>
      </c>
      <c r="P14" s="119" t="s">
        <v>221</v>
      </c>
      <c r="Q14" s="119" t="s">
        <v>222</v>
      </c>
      <c r="R14" s="120" t="str">
        <f t="shared" si="2"/>
        <v>nW</v>
      </c>
      <c r="S14" s="107" t="str">
        <f t="shared" si="2"/>
        <v>nw</v>
      </c>
    </row>
    <row r="15" spans="1:20">
      <c r="A15" s="225" t="s">
        <v>128</v>
      </c>
      <c r="B15" s="227" t="s">
        <v>211</v>
      </c>
      <c r="C15" s="226">
        <f t="array" ref="C15">IFERROR(INDEX($K$5:$K$13,MATCH(TRUE,EXACT($I$5:$I$13,A15),0)),1)/IFERROR(INDEX($K$5:$K$13,MATCH(TRUE,EXACT($I$5:$I$13,B15),0)),1)</f>
        <v>1000</v>
      </c>
      <c r="E15" s="20" t="s">
        <v>227</v>
      </c>
      <c r="F15" s="20" t="s">
        <v>216</v>
      </c>
      <c r="G15" s="226">
        <f t="array" ref="G15">INDEX($K$16:$K$21,MATCH(TRUE,EXACT($I$16:$I$21,E15),0))/INDEX($K$16:$K$21,MATCH(TRUE,EXACT($I$16:$I$21,F15),0))</f>
        <v>9.765625E-4</v>
      </c>
      <c r="I15" s="229" t="s">
        <v>228</v>
      </c>
      <c r="J15" s="229" t="s">
        <v>229</v>
      </c>
      <c r="K15" s="229" t="s">
        <v>230</v>
      </c>
      <c r="M15" t="s">
        <v>113</v>
      </c>
      <c r="N15" s="220">
        <f t="array" ref="N15">IFERROR(INDEX($K$5:$K$14,MATCH(TRUE,EXACT($I$5:$I$14,MID(M15,1,1)),0)),1)</f>
        <v>1</v>
      </c>
    </row>
    <row r="16" spans="1:20">
      <c r="A16" s="225" t="s">
        <v>128</v>
      </c>
      <c r="B16" s="20" t="s">
        <v>87</v>
      </c>
      <c r="C16" s="226">
        <f t="array" ref="C16">IFERROR(INDEX($K$5:$K$13,MATCH(TRUE,EXACT($I$5:$I$13,A16),0)),1)/IFERROR(INDEX($K$5:$K$13,MATCH(TRUE,EXACT($I$5:$I$13,B16),0)),1)</f>
        <v>1000000</v>
      </c>
      <c r="E16" s="20" t="s">
        <v>227</v>
      </c>
      <c r="F16" s="20" t="s">
        <v>227</v>
      </c>
      <c r="G16" s="226">
        <f t="array" ref="G16">INDEX($K$16:$K$21,MATCH(TRUE,EXACT($I$16:$I$21,E16),0))/INDEX($K$16:$K$21,MATCH(TRUE,EXACT($I$16:$I$21,F16),0))</f>
        <v>1</v>
      </c>
      <c r="I16" s="108" t="s">
        <v>214</v>
      </c>
      <c r="J16" s="108">
        <v>3</v>
      </c>
      <c r="K16" s="230">
        <f t="shared" ref="K16:K19" si="3">1024^J16</f>
        <v>1073741824</v>
      </c>
      <c r="M16" t="s">
        <v>237</v>
      </c>
      <c r="N16" s="220">
        <f t="array" ref="N16">IFERROR(INDEX($K$5:$K$14,MATCH(TRUE,EXACT($I$5:$I$14,MID(M16,1,1)),0)),1)</f>
        <v>1</v>
      </c>
    </row>
    <row r="17" spans="1:23">
      <c r="A17" s="225" t="s">
        <v>128</v>
      </c>
      <c r="B17" s="225" t="s">
        <v>55</v>
      </c>
      <c r="C17" s="226">
        <f t="array" ref="C17">IFERROR(INDEX($K$5:$K$13,MATCH(TRUE,EXACT($I$5:$I$13,A17),0)),1)/IFERROR(INDEX($K$5:$K$13,MATCH(TRUE,EXACT($I$5:$I$13,B17),0)),1)</f>
        <v>1000000000</v>
      </c>
      <c r="E17" s="20" t="s">
        <v>227</v>
      </c>
      <c r="F17" s="20" t="s">
        <v>126</v>
      </c>
      <c r="G17" s="226">
        <f t="array" ref="G17">INDEX($K$16:$K$21,MATCH(TRUE,EXACT($I$16:$I$21,E17),0))/INDEX($K$16:$K$21,MATCH(TRUE,EXACT($I$16:$I$21,F17),0))</f>
        <v>1024</v>
      </c>
      <c r="I17" s="108" t="s">
        <v>216</v>
      </c>
      <c r="J17" s="108">
        <v>2</v>
      </c>
      <c r="K17" s="230">
        <f t="shared" si="3"/>
        <v>1048576</v>
      </c>
      <c r="M17" t="s">
        <v>10</v>
      </c>
      <c r="N17" s="220">
        <f t="array" ref="N17">IFERROR(INDEX($K$5:$K$14,MATCH(TRUE,EXACT($I$5:$I$14,MID(M17,1,1)),0)),1)</f>
        <v>1</v>
      </c>
    </row>
    <row r="18" spans="1:23">
      <c r="A18" s="225" t="s">
        <v>128</v>
      </c>
      <c r="B18" s="225" t="s">
        <v>131</v>
      </c>
      <c r="C18" s="226">
        <f t="array" ref="C18">IFERROR(INDEX($K$5:$K$13,MATCH(TRUE,EXACT($I$5:$I$13,A18),0)),1)/IFERROR(INDEX($K$5:$K$13,MATCH(TRUE,EXACT($I$5:$I$13,B18),0)),1)</f>
        <v>1000000000000</v>
      </c>
      <c r="E18" s="20" t="s">
        <v>227</v>
      </c>
      <c r="F18" s="20" t="s">
        <v>125</v>
      </c>
      <c r="G18" s="226">
        <f t="array" ref="G18">INDEX($K$16:$K$21,MATCH(TRUE,EXACT($I$16:$I$21,E18),0))/INDEX($K$16:$K$21,MATCH(TRUE,EXACT($I$16:$I$21,F18),0))</f>
        <v>8192</v>
      </c>
      <c r="I18" s="108" t="s">
        <v>227</v>
      </c>
      <c r="J18" s="108">
        <v>1</v>
      </c>
      <c r="K18" s="230">
        <f t="shared" si="3"/>
        <v>1024</v>
      </c>
    </row>
    <row r="19" spans="1:23">
      <c r="A19" s="225" t="s">
        <v>128</v>
      </c>
      <c r="B19" s="225" t="s">
        <v>132</v>
      </c>
      <c r="C19" s="226">
        <f t="array" ref="C19">IFERROR(INDEX($K$5:$K$13,MATCH(TRUE,EXACT($I$5:$I$13,A19),0)),1)/IFERROR(INDEX($K$5:$K$13,MATCH(TRUE,EXACT($I$5:$I$13,B19),0)),1)</f>
        <v>1000000000000000</v>
      </c>
      <c r="E19" s="20" t="s">
        <v>232</v>
      </c>
      <c r="F19" s="20" t="s">
        <v>214</v>
      </c>
      <c r="G19" s="226">
        <f t="array" ref="G19">INDEX($K$16:$K$21,MATCH(TRUE,EXACT($I$16:$I$21,E19),0))/INDEX($K$16:$K$21,MATCH(TRUE,EXACT($I$16:$I$21,F19),0))</f>
        <v>9.5367431640625E-7</v>
      </c>
      <c r="I19" s="108" t="s">
        <v>232</v>
      </c>
      <c r="J19" s="108">
        <v>1</v>
      </c>
      <c r="K19" s="230">
        <f t="shared" si="3"/>
        <v>1024</v>
      </c>
    </row>
    <row r="20" spans="1:23">
      <c r="A20" s="225" t="s">
        <v>129</v>
      </c>
      <c r="B20" s="225" t="s">
        <v>127</v>
      </c>
      <c r="C20" s="226">
        <f t="array" ref="C20">IFERROR(INDEX($K$5:$K$13,MATCH(TRUE,EXACT($I$5:$I$13,A20),0)),1)/IFERROR(INDEX($K$5:$K$13,MATCH(TRUE,EXACT($I$5:$I$13,B20),0)),1)</f>
        <v>9.9999999999999995E-7</v>
      </c>
      <c r="E20" s="20" t="s">
        <v>232</v>
      </c>
      <c r="F20" s="20" t="s">
        <v>216</v>
      </c>
      <c r="G20" s="226">
        <f t="array" ref="G20">INDEX($K$16:$K$21,MATCH(TRUE,EXACT($I$16:$I$21,E20),0))/INDEX($K$16:$K$21,MATCH(TRUE,EXACT($I$16:$I$21,F20),0))</f>
        <v>9.765625E-4</v>
      </c>
      <c r="I20" s="108" t="s">
        <v>126</v>
      </c>
      <c r="J20" s="108">
        <v>0</v>
      </c>
      <c r="K20" s="230">
        <f>1024^J20</f>
        <v>1</v>
      </c>
    </row>
    <row r="21" spans="1:23">
      <c r="A21" s="225" t="s">
        <v>129</v>
      </c>
      <c r="B21" s="225" t="s">
        <v>128</v>
      </c>
      <c r="C21" s="226">
        <f t="array" ref="C21">IFERROR(INDEX($K$5:$K$13,MATCH(TRUE,EXACT($I$5:$I$13,A21),0)),1)/IFERROR(INDEX($K$5:$K$13,MATCH(TRUE,EXACT($I$5:$I$13,B21),0)),1)</f>
        <v>1E-3</v>
      </c>
      <c r="E21" s="20" t="s">
        <v>232</v>
      </c>
      <c r="F21" s="20" t="s">
        <v>227</v>
      </c>
      <c r="G21" s="226">
        <f t="array" ref="G21">INDEX($K$16:$K$21,MATCH(TRUE,EXACT($I$16:$I$21,E21),0))/INDEX($K$16:$K$21,MATCH(TRUE,EXACT($I$16:$I$21,F21),0))</f>
        <v>1</v>
      </c>
      <c r="I21" s="108" t="s">
        <v>125</v>
      </c>
      <c r="J21" s="108" t="s">
        <v>130</v>
      </c>
      <c r="K21" s="108">
        <f>1/8</f>
        <v>0.125</v>
      </c>
    </row>
    <row r="22" spans="1:23">
      <c r="A22" s="225" t="s">
        <v>129</v>
      </c>
      <c r="B22" s="20" t="s">
        <v>129</v>
      </c>
      <c r="C22" s="226">
        <f t="array" ref="C22">IFERROR(INDEX($K$5:$K$13,MATCH(TRUE,EXACT($I$5:$I$13,A22),0)),1)/IFERROR(INDEX($K$5:$K$13,MATCH(TRUE,EXACT($I$5:$I$13,B22),0)),1)</f>
        <v>1</v>
      </c>
      <c r="E22" s="20" t="s">
        <v>232</v>
      </c>
      <c r="F22" s="20" t="s">
        <v>126</v>
      </c>
      <c r="G22" s="226">
        <f t="array" ref="G22">INDEX($K$16:$K$21,MATCH(TRUE,EXACT($I$16:$I$21,E22),0))/INDEX($K$16:$K$21,MATCH(TRUE,EXACT($I$16:$I$21,F22),0))</f>
        <v>1024</v>
      </c>
    </row>
    <row r="23" spans="1:23">
      <c r="A23" s="225" t="s">
        <v>129</v>
      </c>
      <c r="B23" s="227" t="s">
        <v>211</v>
      </c>
      <c r="C23" s="226">
        <f t="array" ref="C23">IFERROR(INDEX($K$5:$K$13,MATCH(TRUE,EXACT($I$5:$I$13,A23),0)),1)/IFERROR(INDEX($K$5:$K$13,MATCH(TRUE,EXACT($I$5:$I$13,B23),0)),1)</f>
        <v>1</v>
      </c>
      <c r="E23" s="20" t="s">
        <v>232</v>
      </c>
      <c r="F23" s="20" t="s">
        <v>125</v>
      </c>
      <c r="G23" s="226">
        <f t="array" ref="G23">INDEX($K$16:$K$21,MATCH(TRUE,EXACT($I$16:$I$21,E23),0))/INDEX($K$16:$K$21,MATCH(TRUE,EXACT($I$16:$I$21,F23),0))</f>
        <v>8192</v>
      </c>
      <c r="N23" t="s">
        <v>224</v>
      </c>
      <c r="P23" t="s">
        <v>225</v>
      </c>
    </row>
    <row r="24" spans="1:23">
      <c r="A24" s="225" t="s">
        <v>129</v>
      </c>
      <c r="B24" s="225"/>
      <c r="C24" s="226">
        <f t="array" ref="C24">IFERROR(INDEX($K$5:$K$13,MATCH(TRUE,EXACT($I$5:$I$13,A24),0)),1)/IFERROR(INDEX($K$5:$K$13,MATCH(TRUE,EXACT($I$5:$I$13,B24),0)),1)</f>
        <v>1000</v>
      </c>
      <c r="E24" s="20" t="s">
        <v>126</v>
      </c>
      <c r="F24" s="20" t="s">
        <v>214</v>
      </c>
      <c r="G24" s="226">
        <f t="array" ref="G24">INDEX($K$16:$K$21,MATCH(TRUE,EXACT($I$16:$I$21,E24),0))/INDEX($K$16:$K$21,MATCH(TRUE,EXACT($I$16:$I$21,F24),0))</f>
        <v>9.3132257461547852E-10</v>
      </c>
      <c r="N24" s="665" t="s">
        <v>241</v>
      </c>
      <c r="O24" s="666"/>
      <c r="P24" s="667" t="s">
        <v>240</v>
      </c>
      <c r="Q24" s="667"/>
      <c r="S24" t="s">
        <v>233</v>
      </c>
      <c r="T24" t="s">
        <v>235</v>
      </c>
      <c r="U24" t="s">
        <v>239</v>
      </c>
      <c r="V24" t="s">
        <v>234</v>
      </c>
      <c r="W24" t="s">
        <v>236</v>
      </c>
    </row>
    <row r="25" spans="1:23">
      <c r="A25" s="225" t="s">
        <v>129</v>
      </c>
      <c r="B25" s="225" t="s">
        <v>55</v>
      </c>
      <c r="C25" s="226">
        <f t="array" ref="C25">IFERROR(INDEX($K$5:$K$13,MATCH(TRUE,EXACT($I$5:$I$13,A25),0)),1)/IFERROR(INDEX($K$5:$K$13,MATCH(TRUE,EXACT($I$5:$I$13,B25),0)),1)</f>
        <v>1000000</v>
      </c>
      <c r="E25" s="20" t="s">
        <v>126</v>
      </c>
      <c r="F25" s="20" t="s">
        <v>216</v>
      </c>
      <c r="G25" s="226">
        <f t="array" ref="G25">INDEX($K$16:$K$21,MATCH(TRUE,EXACT($I$16:$I$21,E25),0))/INDEX($K$16:$K$21,MATCH(TRUE,EXACT($I$16:$I$21,F25),0))</f>
        <v>9.5367431640625E-7</v>
      </c>
      <c r="S25">
        <f>FIND("[",N24)</f>
        <v>9</v>
      </c>
      <c r="T25">
        <f>FIND("]",N24)</f>
        <v>12</v>
      </c>
      <c r="U25" t="str">
        <f>MID(N24,FIND("[",N24)+1,FIND("]",N24)-FIND("[",N24)-1)</f>
        <v>MW</v>
      </c>
      <c r="V25" t="b">
        <f>IF(OR(MID(MID(N24,FIND("[",N24)+1,FIND("]",N24)-FIND("[",N24)-1),1,1)="B",MID(MID(N24,FIND("[",N24)+1,FIND("]",N24)-FIND("[",N24)-1),1,1)="b",MID(MID(N24,FIND("[",N24)+1,FIND("]",N24)-FIND("[",N24)-1),2,1)="B",MID(MID(N24,FIND("[",N24)+1,FIND("]",N24)-FIND("[",N24)-1),2,1)="b"),TRUE,FALSE)</f>
        <v>0</v>
      </c>
      <c r="W25">
        <f t="array" ref="W25">IF(IF(OR(MID(MID(N24,FIND("[",N24)+1,FIND("]",N24)-FIND("[",N24)-1),1,1)="B",MID(MID(N24,FIND("[",N24)+1,FIND("]",N24)-FIND("[",N24)-1),1,1)="b",MID(MID(N24,FIND("[",N24)+1,FIND("]",N24)-FIND("[",N24)-1),2,1)="B",MID(MID(N24,FIND("[",N24)+1,FIND("]",N24)-FIND("[",N24)-1),2,1)="b"),TRUE,FALSE),IFERROR(INDEX($K$16:$K$21,MATCH(TRUE,EXACT($I$16:$I$21,MID(MID(N24,FIND("[",N24)+1,FIND("]",N24)-FIND("[",N24)-1),1,1)),0)),1)/IFERROR(INDEX($K$16:$K$21,MATCH(TRUE,EXACT($I$16:$I$21,MID(MID(P24,FIND("[",P24)+1,FIND("]",P24)-FIND("[",P24)-1),1,1)),0)),1),IFERROR(INDEX($K$5:$K$13,MATCH(TRUE,EXACT($I$5:$I$13,MID(MID(N24,FIND("[",N24)+1,FIND("]",N24)-FIND("[",N24)-1),1,1)),0)),1)/IFERROR(INDEX($K$5:$K$13,MATCH(TRUE,EXACT($I$5:$I$13,MID(MID(P24,FIND("[",P24)+1,FIND("]",P24)-FIND("[",P24)-1),1,1)),0)),1))</f>
        <v>1E-3</v>
      </c>
    </row>
    <row r="26" spans="1:23">
      <c r="A26" s="225" t="s">
        <v>129</v>
      </c>
      <c r="B26" s="225" t="s">
        <v>131</v>
      </c>
      <c r="C26" s="226">
        <f t="array" ref="C26">IFERROR(INDEX($K$5:$K$13,MATCH(TRUE,EXACT($I$5:$I$13,A26),0)),1)/IFERROR(INDEX($K$5:$K$13,MATCH(TRUE,EXACT($I$5:$I$13,B26),0)),1)</f>
        <v>1000000000</v>
      </c>
      <c r="E26" s="20" t="s">
        <v>126</v>
      </c>
      <c r="F26" s="20" t="s">
        <v>227</v>
      </c>
      <c r="G26" s="226">
        <f t="array" ref="G26">INDEX($K$16:$K$21,MATCH(TRUE,EXACT($I$16:$I$21,E26),0))/INDEX($K$16:$K$21,MATCH(TRUE,EXACT($I$16:$I$21,F26),0))</f>
        <v>9.765625E-4</v>
      </c>
      <c r="N26">
        <v>5</v>
      </c>
      <c r="P26">
        <f>N26*W25</f>
        <v>5.0000000000000001E-3</v>
      </c>
      <c r="S26">
        <f>FIND("[",P24)</f>
        <v>9</v>
      </c>
      <c r="T26">
        <f>FIND("]",P24)</f>
        <v>12</v>
      </c>
      <c r="U26" t="str">
        <f>MID(P24,FIND("[",P24)+1,FIND("]",P24)-FIND("[",P24)-1)</f>
        <v>Gw</v>
      </c>
      <c r="V26" t="b">
        <f>IF(OR(MID(MID(P24,FIND("[",P24)+1,FIND("]",P24)-FIND("[",P24)-1),1,1)="B",MID(MID(P24,FIND("[",P24)+1,FIND("]",P24)-FIND("[",P24)-1),1,1)="b",MID(MID(P24,FIND("[",P24)+1,FIND("]",P24)-FIND("[",P24)-1),2,1)="B",MID(MID(P24,FIND("[",P24)+1,FIND("]",P24)-FIND("[",P24)-1),2,1)="b"),TRUE,FALSE)</f>
        <v>0</v>
      </c>
    </row>
    <row r="27" spans="1:23">
      <c r="A27" s="225" t="s">
        <v>129</v>
      </c>
      <c r="B27" s="225" t="s">
        <v>132</v>
      </c>
      <c r="C27" s="226">
        <f t="array" ref="C27">IFERROR(INDEX($K$5:$K$13,MATCH(TRUE,EXACT($I$5:$I$13,A27),0)),1)/IFERROR(INDEX($K$5:$K$13,MATCH(TRUE,EXACT($I$5:$I$13,B27),0)),1)</f>
        <v>999999999999.99988</v>
      </c>
      <c r="E27" s="20" t="s">
        <v>126</v>
      </c>
      <c r="F27" s="20" t="s">
        <v>126</v>
      </c>
      <c r="G27" s="226">
        <f t="array" ref="G27">INDEX($K$16:$K$21,MATCH(TRUE,EXACT($I$16:$I$21,E27),0))/INDEX($K$16:$K$21,MATCH(TRUE,EXACT($I$16:$I$21,F27),0))</f>
        <v>1</v>
      </c>
    </row>
    <row r="28" spans="1:23">
      <c r="A28" s="225" t="s">
        <v>211</v>
      </c>
      <c r="B28" s="225" t="s">
        <v>127</v>
      </c>
      <c r="C28" s="226">
        <f t="array" ref="C28">IFERROR(INDEX($K$5:$K$13,MATCH(TRUE,EXACT($I$5:$I$13,A28),0)),1)/IFERROR(INDEX($K$5:$K$13,MATCH(TRUE,EXACT($I$5:$I$13,B28),0)),1)</f>
        <v>9.9999999999999995E-7</v>
      </c>
      <c r="E28" s="20" t="s">
        <v>126</v>
      </c>
      <c r="F28" s="20" t="s">
        <v>125</v>
      </c>
      <c r="G28" s="226">
        <f t="array" ref="G28">INDEX($K$16:$K$21,MATCH(TRUE,EXACT($I$16:$I$21,E28),0))/INDEX($K$16:$K$21,MATCH(TRUE,EXACT($I$16:$I$21,F28),0))</f>
        <v>8</v>
      </c>
      <c r="V28" t="b">
        <f>AND(V26,V25)</f>
        <v>0</v>
      </c>
    </row>
    <row r="29" spans="1:23">
      <c r="A29" s="225" t="s">
        <v>211</v>
      </c>
      <c r="B29" s="225" t="s">
        <v>128</v>
      </c>
      <c r="C29" s="226">
        <f t="array" ref="C29">IFERROR(INDEX($K$5:$K$13,MATCH(TRUE,EXACT($I$5:$I$13,A29),0)),1)/IFERROR(INDEX($K$5:$K$13,MATCH(TRUE,EXACT($I$5:$I$13,B29),0)),1)</f>
        <v>1E-3</v>
      </c>
      <c r="E29" s="20" t="s">
        <v>125</v>
      </c>
      <c r="F29" s="20" t="s">
        <v>214</v>
      </c>
      <c r="G29" s="226">
        <f t="array" ref="G29">INDEX($K$16:$K$21,MATCH(TRUE,EXACT($I$16:$I$21,E29),0))/INDEX($K$16:$K$21,MATCH(TRUE,EXACT($I$16:$I$21,F29),0))</f>
        <v>1.1641532182693481E-10</v>
      </c>
    </row>
    <row r="30" spans="1:23">
      <c r="A30" s="225" t="s">
        <v>211</v>
      </c>
      <c r="B30" s="20" t="s">
        <v>129</v>
      </c>
      <c r="C30" s="226">
        <f t="array" ref="C30">IFERROR(INDEX($K$5:$K$13,MATCH(TRUE,EXACT($I$5:$I$13,A30),0)),1)/IFERROR(INDEX($K$5:$K$13,MATCH(TRUE,EXACT($I$5:$I$13,B30),0)),1)</f>
        <v>1</v>
      </c>
      <c r="E30" s="20" t="s">
        <v>125</v>
      </c>
      <c r="F30" s="20" t="s">
        <v>216</v>
      </c>
      <c r="G30" s="226">
        <f t="array" ref="G30">INDEX($K$16:$K$21,MATCH(TRUE,EXACT($I$16:$I$21,E30),0))/INDEX($K$16:$K$21,MATCH(TRUE,EXACT($I$16:$I$21,F30),0))</f>
        <v>1.1920928955078125E-7</v>
      </c>
    </row>
    <row r="31" spans="1:23">
      <c r="A31" s="225" t="s">
        <v>211</v>
      </c>
      <c r="B31" s="227" t="s">
        <v>211</v>
      </c>
      <c r="C31" s="226">
        <f t="array" ref="C31">IFERROR(INDEX($K$5:$K$13,MATCH(TRUE,EXACT($I$5:$I$13,A31),0)),1)/IFERROR(INDEX($K$5:$K$13,MATCH(TRUE,EXACT($I$5:$I$13,B31),0)),1)</f>
        <v>1</v>
      </c>
      <c r="E31" s="20" t="s">
        <v>125</v>
      </c>
      <c r="F31" s="20" t="s">
        <v>227</v>
      </c>
      <c r="G31" s="226">
        <f t="array" ref="G31">INDEX($K$16:$K$21,MATCH(TRUE,EXACT($I$16:$I$21,E31),0))/INDEX($K$16:$K$21,MATCH(TRUE,EXACT($I$16:$I$21,F31),0))</f>
        <v>1.220703125E-4</v>
      </c>
    </row>
    <row r="32" spans="1:23">
      <c r="A32" s="225" t="s">
        <v>211</v>
      </c>
      <c r="B32" s="225"/>
      <c r="C32" s="226">
        <f t="array" ref="C32">IFERROR(INDEX($K$5:$K$13,MATCH(TRUE,EXACT($I$5:$I$13,A32),0)),1)/IFERROR(INDEX($K$5:$K$13,MATCH(TRUE,EXACT($I$5:$I$13,B32),0)),1)</f>
        <v>1000</v>
      </c>
      <c r="E32" s="20" t="s">
        <v>125</v>
      </c>
      <c r="F32" s="20" t="s">
        <v>126</v>
      </c>
      <c r="G32" s="226">
        <f t="array" ref="G32">INDEX($K$16:$K$21,MATCH(TRUE,EXACT($I$16:$I$21,E32),0))/INDEX($K$16:$K$21,MATCH(TRUE,EXACT($I$16:$I$21,F32),0))</f>
        <v>0.125</v>
      </c>
    </row>
    <row r="33" spans="1:7">
      <c r="A33" s="225" t="s">
        <v>211</v>
      </c>
      <c r="B33" s="225" t="s">
        <v>55</v>
      </c>
      <c r="C33" s="226">
        <f t="array" ref="C33">IFERROR(INDEX($K$5:$K$13,MATCH(TRUE,EXACT($I$5:$I$13,A33),0)),1)/IFERROR(INDEX($K$5:$K$13,MATCH(TRUE,EXACT($I$5:$I$13,B33),0)),1)</f>
        <v>1000000</v>
      </c>
      <c r="E33" s="20" t="s">
        <v>125</v>
      </c>
      <c r="F33" s="20" t="s">
        <v>125</v>
      </c>
      <c r="G33" s="226">
        <f t="array" ref="G33">INDEX($K$16:$K$21,MATCH(TRUE,EXACT($I$16:$I$21,E33),0))/INDEX($K$16:$K$21,MATCH(TRUE,EXACT($I$16:$I$21,F33),0))</f>
        <v>1</v>
      </c>
    </row>
    <row r="34" spans="1:7">
      <c r="A34" s="225" t="s">
        <v>211</v>
      </c>
      <c r="B34" s="225" t="s">
        <v>131</v>
      </c>
      <c r="C34" s="226">
        <f t="array" ref="C34">IFERROR(INDEX($K$5:$K$13,MATCH(TRUE,EXACT($I$5:$I$13,A34),0)),1)/IFERROR(INDEX($K$5:$K$13,MATCH(TRUE,EXACT($I$5:$I$13,B34),0)),1)</f>
        <v>1000000000</v>
      </c>
    </row>
    <row r="35" spans="1:7">
      <c r="A35" s="225" t="s">
        <v>211</v>
      </c>
      <c r="B35" s="225" t="s">
        <v>132</v>
      </c>
      <c r="C35" s="226">
        <f t="array" ref="C35">IFERROR(INDEX($K$5:$K$13,MATCH(TRUE,EXACT($I$5:$I$13,A35),0)),1)/IFERROR(INDEX($K$5:$K$13,MATCH(TRUE,EXACT($I$5:$I$13,B35),0)),1)</f>
        <v>999999999999.99988</v>
      </c>
    </row>
    <row r="36" spans="1:7">
      <c r="A36" s="20"/>
      <c r="B36" s="225" t="s">
        <v>127</v>
      </c>
      <c r="C36" s="226">
        <f t="array" ref="C36">IFERROR(INDEX($K$5:$K$13,MATCH(TRUE,EXACT($I$5:$I$13,A36),0)),1)/IFERROR(INDEX($K$5:$K$13,MATCH(TRUE,EXACT($I$5:$I$13,B36),0)),1)</f>
        <v>1.0000000000000001E-9</v>
      </c>
    </row>
    <row r="37" spans="1:7">
      <c r="A37" s="20"/>
      <c r="B37" s="225" t="s">
        <v>128</v>
      </c>
      <c r="C37" s="226">
        <f t="array" ref="C37">IFERROR(INDEX($K$5:$K$13,MATCH(TRUE,EXACT($I$5:$I$13,A37),0)),1)/IFERROR(INDEX($K$5:$K$13,MATCH(TRUE,EXACT($I$5:$I$13,B37),0)),1)</f>
        <v>9.9999999999999995E-7</v>
      </c>
    </row>
    <row r="38" spans="1:7">
      <c r="A38" s="20"/>
      <c r="B38" s="20" t="s">
        <v>129</v>
      </c>
      <c r="C38" s="226">
        <f t="array" ref="C38">IFERROR(INDEX($K$5:$K$13,MATCH(TRUE,EXACT($I$5:$I$13,A38),0)),1)/IFERROR(INDEX($K$5:$K$13,MATCH(TRUE,EXACT($I$5:$I$13,B38),0)),1)</f>
        <v>1E-3</v>
      </c>
    </row>
    <row r="39" spans="1:7">
      <c r="A39" s="20"/>
      <c r="B39" s="227" t="s">
        <v>211</v>
      </c>
      <c r="C39" s="226">
        <f t="array" ref="C39">IFERROR(INDEX($K$5:$K$13,MATCH(TRUE,EXACT($I$5:$I$13,A39),0)),1)/IFERROR(INDEX($K$5:$K$13,MATCH(TRUE,EXACT($I$5:$I$13,B39),0)),1)</f>
        <v>1E-3</v>
      </c>
    </row>
    <row r="40" spans="1:7">
      <c r="A40" s="20"/>
      <c r="B40" s="225"/>
      <c r="C40" s="226">
        <f t="array" ref="C40">IFERROR(INDEX($K$5:$K$13,MATCH(TRUE,EXACT($I$5:$I$13,A40),0)),1)/IFERROR(INDEX($K$5:$K$13,MATCH(TRUE,EXACT($I$5:$I$13,B40),0)),1)</f>
        <v>1</v>
      </c>
    </row>
    <row r="41" spans="1:7">
      <c r="A41" s="20"/>
      <c r="B41" s="225" t="s">
        <v>55</v>
      </c>
      <c r="C41" s="226">
        <f t="array" ref="C41">IFERROR(INDEX($K$5:$K$13,MATCH(TRUE,EXACT($I$5:$I$13,A41),0)),1)/IFERROR(INDEX($K$5:$K$13,MATCH(TRUE,EXACT($I$5:$I$13,B41),0)),1)</f>
        <v>1000</v>
      </c>
    </row>
    <row r="42" spans="1:7">
      <c r="A42" s="20"/>
      <c r="B42" s="225" t="s">
        <v>131</v>
      </c>
      <c r="C42" s="226">
        <f t="array" ref="C42">IFERROR(INDEX($K$5:$K$13,MATCH(TRUE,EXACT($I$5:$I$13,A42),0)),1)/IFERROR(INDEX($K$5:$K$13,MATCH(TRUE,EXACT($I$5:$I$13,B42),0)),1)</f>
        <v>1000000</v>
      </c>
    </row>
    <row r="43" spans="1:7">
      <c r="A43" s="20"/>
      <c r="B43" s="225" t="s">
        <v>132</v>
      </c>
      <c r="C43" s="226">
        <f t="array" ref="C43">IFERROR(INDEX($K$5:$K$13,MATCH(TRUE,EXACT($I$5:$I$13,A43),0)),1)/IFERROR(INDEX($K$5:$K$13,MATCH(TRUE,EXACT($I$5:$I$13,B43),0)),1)</f>
        <v>999999999.99999988</v>
      </c>
    </row>
    <row r="44" spans="1:7">
      <c r="A44" s="20" t="s">
        <v>55</v>
      </c>
      <c r="B44" s="225" t="s">
        <v>127</v>
      </c>
      <c r="C44" s="226">
        <f t="array" ref="C44">IFERROR(INDEX($K$5:$K$13,MATCH(TRUE,EXACT($I$5:$I$13,A44),0)),1)/IFERROR(INDEX($K$5:$K$13,MATCH(TRUE,EXACT($I$5:$I$13,B44),0)),1)</f>
        <v>9.9999999999999998E-13</v>
      </c>
    </row>
    <row r="45" spans="1:7">
      <c r="A45" s="20" t="s">
        <v>55</v>
      </c>
      <c r="B45" s="225" t="s">
        <v>128</v>
      </c>
      <c r="C45" s="226">
        <f t="array" ref="C45">IFERROR(INDEX($K$5:$K$13,MATCH(TRUE,EXACT($I$5:$I$13,A45),0)),1)/IFERROR(INDEX($K$5:$K$13,MATCH(TRUE,EXACT($I$5:$I$13,B45),0)),1)</f>
        <v>1.0000000000000001E-9</v>
      </c>
    </row>
    <row r="46" spans="1:7">
      <c r="A46" s="20" t="s">
        <v>55</v>
      </c>
      <c r="B46" s="20" t="s">
        <v>129</v>
      </c>
      <c r="C46" s="226">
        <f t="array" ref="C46">IFERROR(INDEX($K$5:$K$13,MATCH(TRUE,EXACT($I$5:$I$13,A46),0)),1)/IFERROR(INDEX($K$5:$K$13,MATCH(TRUE,EXACT($I$5:$I$13,B46),0)),1)</f>
        <v>9.9999999999999995E-7</v>
      </c>
    </row>
    <row r="47" spans="1:7">
      <c r="A47" s="20" t="s">
        <v>55</v>
      </c>
      <c r="B47" s="227" t="s">
        <v>211</v>
      </c>
      <c r="C47" s="226">
        <f t="array" ref="C47">IFERROR(INDEX($K$5:$K$13,MATCH(TRUE,EXACT($I$5:$I$13,A47),0)),1)/IFERROR(INDEX($K$5:$K$13,MATCH(TRUE,EXACT($I$5:$I$13,B47),0)),1)</f>
        <v>9.9999999999999995E-7</v>
      </c>
    </row>
    <row r="48" spans="1:7">
      <c r="A48" s="20" t="s">
        <v>55</v>
      </c>
      <c r="B48" s="225"/>
      <c r="C48" s="226">
        <f t="array" ref="C48">IFERROR(INDEX($K$5:$K$13,MATCH(TRUE,EXACT($I$5:$I$13,A48),0)),1)/IFERROR(INDEX($K$5:$K$13,MATCH(TRUE,EXACT($I$5:$I$13,B48),0)),1)</f>
        <v>1E-3</v>
      </c>
    </row>
    <row r="49" spans="1:3">
      <c r="A49" s="20" t="s">
        <v>55</v>
      </c>
      <c r="B49" s="225" t="s">
        <v>55</v>
      </c>
      <c r="C49" s="226">
        <f t="array" ref="C49">IFERROR(INDEX($K$5:$K$13,MATCH(TRUE,EXACT($I$5:$I$13,A49),0)),1)/IFERROR(INDEX($K$5:$K$13,MATCH(TRUE,EXACT($I$5:$I$13,B49),0)),1)</f>
        <v>1</v>
      </c>
    </row>
    <row r="50" spans="1:3">
      <c r="A50" s="20" t="s">
        <v>55</v>
      </c>
      <c r="B50" s="225" t="s">
        <v>131</v>
      </c>
      <c r="C50" s="226">
        <f t="array" ref="C50">IFERROR(INDEX($K$5:$K$13,MATCH(TRUE,EXACT($I$5:$I$13,A50),0)),1)/IFERROR(INDEX($K$5:$K$13,MATCH(TRUE,EXACT($I$5:$I$13,B50),0)),1)</f>
        <v>1000.0000000000001</v>
      </c>
    </row>
    <row r="51" spans="1:3">
      <c r="A51" s="20" t="s">
        <v>55</v>
      </c>
      <c r="B51" s="225" t="s">
        <v>132</v>
      </c>
      <c r="C51" s="226">
        <f t="array" ref="C51">IFERROR(INDEX($K$5:$K$13,MATCH(TRUE,EXACT($I$5:$I$13,A51),0)),1)/IFERROR(INDEX($K$5:$K$13,MATCH(TRUE,EXACT($I$5:$I$13,B51),0)),1)</f>
        <v>1000000</v>
      </c>
    </row>
    <row r="52" spans="1:3">
      <c r="A52" s="20" t="s">
        <v>131</v>
      </c>
      <c r="B52" s="225" t="s">
        <v>127</v>
      </c>
      <c r="C52" s="226">
        <f t="array" ref="C52">IFERROR(INDEX($K$5:$K$13,MATCH(TRUE,EXACT($I$5:$I$13,A52),0)),1)/IFERROR(INDEX($K$5:$K$13,MATCH(TRUE,EXACT($I$5:$I$13,B52),0)),1)</f>
        <v>9.9999999999999988E-16</v>
      </c>
    </row>
    <row r="53" spans="1:3">
      <c r="A53" s="20" t="s">
        <v>131</v>
      </c>
      <c r="B53" s="225" t="s">
        <v>128</v>
      </c>
      <c r="C53" s="226">
        <f t="array" ref="C53">IFERROR(INDEX($K$5:$K$13,MATCH(TRUE,EXACT($I$5:$I$13,A53),0)),1)/IFERROR(INDEX($K$5:$K$13,MATCH(TRUE,EXACT($I$5:$I$13,B53),0)),1)</f>
        <v>9.9999999999999998E-13</v>
      </c>
    </row>
    <row r="54" spans="1:3">
      <c r="A54" s="20" t="s">
        <v>131</v>
      </c>
      <c r="B54" s="20" t="s">
        <v>129</v>
      </c>
      <c r="C54" s="226">
        <f t="array" ref="C54">IFERROR(INDEX($K$5:$K$13,MATCH(TRUE,EXACT($I$5:$I$13,A54),0)),1)/IFERROR(INDEX($K$5:$K$13,MATCH(TRUE,EXACT($I$5:$I$13,B54),0)),1)</f>
        <v>9.9999999999999986E-10</v>
      </c>
    </row>
    <row r="55" spans="1:3">
      <c r="A55" s="20" t="s">
        <v>131</v>
      </c>
      <c r="B55" s="227" t="s">
        <v>211</v>
      </c>
      <c r="C55" s="226">
        <f t="array" ref="C55">IFERROR(INDEX($K$5:$K$13,MATCH(TRUE,EXACT($I$5:$I$13,A55),0)),1)/IFERROR(INDEX($K$5:$K$13,MATCH(TRUE,EXACT($I$5:$I$13,B55),0)),1)</f>
        <v>9.9999999999999986E-10</v>
      </c>
    </row>
    <row r="56" spans="1:3">
      <c r="A56" s="20" t="s">
        <v>131</v>
      </c>
      <c r="B56" s="225"/>
      <c r="C56" s="226">
        <f t="array" ref="C56">IFERROR(INDEX($K$5:$K$13,MATCH(TRUE,EXACT($I$5:$I$13,A56),0)),1)/IFERROR(INDEX($K$5:$K$13,MATCH(TRUE,EXACT($I$5:$I$13,B56),0)),1)</f>
        <v>9.9999999999999995E-7</v>
      </c>
    </row>
    <row r="57" spans="1:3">
      <c r="A57" s="20" t="s">
        <v>131</v>
      </c>
      <c r="B57" s="225" t="s">
        <v>55</v>
      </c>
      <c r="C57" s="226">
        <f t="array" ref="C57">IFERROR(INDEX($K$5:$K$13,MATCH(TRUE,EXACT($I$5:$I$13,A57),0)),1)/IFERROR(INDEX($K$5:$K$13,MATCH(TRUE,EXACT($I$5:$I$13,B57),0)),1)</f>
        <v>1E-3</v>
      </c>
    </row>
    <row r="58" spans="1:3">
      <c r="A58" s="20" t="s">
        <v>131</v>
      </c>
      <c r="B58" s="225" t="s">
        <v>131</v>
      </c>
      <c r="C58" s="226">
        <f t="array" ref="C58">IFERROR(INDEX($K$5:$K$13,MATCH(TRUE,EXACT($I$5:$I$13,A58),0)),1)/IFERROR(INDEX($K$5:$K$13,MATCH(TRUE,EXACT($I$5:$I$13,B58),0)),1)</f>
        <v>1</v>
      </c>
    </row>
    <row r="59" spans="1:3">
      <c r="A59" s="20" t="s">
        <v>131</v>
      </c>
      <c r="B59" s="225" t="s">
        <v>132</v>
      </c>
      <c r="C59" s="226">
        <f t="array" ref="C59">IFERROR(INDEX($K$5:$K$13,MATCH(TRUE,EXACT($I$5:$I$13,A59),0)),1)/IFERROR(INDEX($K$5:$K$13,MATCH(TRUE,EXACT($I$5:$I$13,B59),0)),1)</f>
        <v>999.99999999999989</v>
      </c>
    </row>
    <row r="60" spans="1:3">
      <c r="A60" s="20" t="s">
        <v>132</v>
      </c>
      <c r="B60" s="225" t="s">
        <v>127</v>
      </c>
      <c r="C60" s="226">
        <f t="array" ref="C60">IFERROR(INDEX($K$5:$K$13,MATCH(TRUE,EXACT($I$5:$I$13,A60),0)),1)/IFERROR(INDEX($K$5:$K$13,MATCH(TRUE,EXACT($I$5:$I$13,B60),0)),1)</f>
        <v>1.0000000000000001E-18</v>
      </c>
    </row>
    <row r="61" spans="1:3">
      <c r="A61" s="20" t="s">
        <v>132</v>
      </c>
      <c r="B61" s="225" t="s">
        <v>128</v>
      </c>
      <c r="C61" s="226">
        <f t="array" ref="C61">IFERROR(INDEX($K$5:$K$13,MATCH(TRUE,EXACT($I$5:$I$13,A61),0)),1)/IFERROR(INDEX($K$5:$K$13,MATCH(TRUE,EXACT($I$5:$I$13,B61),0)),1)</f>
        <v>1.0000000000000001E-15</v>
      </c>
    </row>
    <row r="62" spans="1:3">
      <c r="A62" s="20" t="s">
        <v>132</v>
      </c>
      <c r="B62" s="20" t="s">
        <v>129</v>
      </c>
      <c r="C62" s="226">
        <f t="array" ref="C62">IFERROR(INDEX($K$5:$K$13,MATCH(TRUE,EXACT($I$5:$I$13,A62),0)),1)/IFERROR(INDEX($K$5:$K$13,MATCH(TRUE,EXACT($I$5:$I$13,B62),0)),1)</f>
        <v>9.9999999999999998E-13</v>
      </c>
    </row>
    <row r="63" spans="1:3">
      <c r="A63" s="20" t="s">
        <v>132</v>
      </c>
      <c r="B63" s="227" t="s">
        <v>211</v>
      </c>
      <c r="C63" s="226">
        <f t="array" ref="C63">IFERROR(INDEX($K$5:$K$13,MATCH(TRUE,EXACT($I$5:$I$13,A63),0)),1)/IFERROR(INDEX($K$5:$K$13,MATCH(TRUE,EXACT($I$5:$I$13,B63),0)),1)</f>
        <v>9.9999999999999998E-13</v>
      </c>
    </row>
    <row r="64" spans="1:3">
      <c r="A64" s="20" t="s">
        <v>132</v>
      </c>
      <c r="B64" s="225"/>
      <c r="C64" s="226">
        <f t="array" ref="C64">IFERROR(INDEX($K$5:$K$13,MATCH(TRUE,EXACT($I$5:$I$13,A64),0)),1)/IFERROR(INDEX($K$5:$K$13,MATCH(TRUE,EXACT($I$5:$I$13,B64),0)),1)</f>
        <v>1.0000000000000001E-9</v>
      </c>
    </row>
    <row r="65" spans="1:3">
      <c r="A65" s="20" t="s">
        <v>132</v>
      </c>
      <c r="B65" s="225" t="s">
        <v>55</v>
      </c>
      <c r="C65" s="226">
        <f t="array" ref="C65">IFERROR(INDEX($K$5:$K$13,MATCH(TRUE,EXACT($I$5:$I$13,A65),0)),1)/IFERROR(INDEX($K$5:$K$13,MATCH(TRUE,EXACT($I$5:$I$13,B65),0)),1)</f>
        <v>9.9999999999999995E-7</v>
      </c>
    </row>
    <row r="66" spans="1:3">
      <c r="A66" s="20" t="s">
        <v>132</v>
      </c>
      <c r="B66" s="225" t="s">
        <v>131</v>
      </c>
      <c r="C66" s="226">
        <f t="array" ref="C66">IFERROR(INDEX($K$5:$K$13,MATCH(TRUE,EXACT($I$5:$I$13,A66),0)),1)/IFERROR(INDEX($K$5:$K$13,MATCH(TRUE,EXACT($I$5:$I$13,B66),0)),1)</f>
        <v>1E-3</v>
      </c>
    </row>
    <row r="67" spans="1:3">
      <c r="A67" s="20" t="s">
        <v>132</v>
      </c>
      <c r="B67" s="225" t="s">
        <v>132</v>
      </c>
      <c r="C67" s="226">
        <f t="array" ref="C67">IFERROR(INDEX($K$5:$K$13,MATCH(TRUE,EXACT($I$5:$I$13,A67),0)),1)/IFERROR(INDEX($K$5:$K$13,MATCH(TRUE,EXACT($I$5:$I$13,B67),0)),1)</f>
        <v>1</v>
      </c>
    </row>
  </sheetData>
  <mergeCells count="6">
    <mergeCell ref="I3:K3"/>
    <mergeCell ref="P6:S6"/>
    <mergeCell ref="N24:O24"/>
    <mergeCell ref="P24:Q24"/>
    <mergeCell ref="P2:T4"/>
    <mergeCell ref="M2:N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Bluetooth</vt:lpstr>
      <vt:lpstr>Batteries</vt:lpstr>
      <vt:lpstr>Packets Structures</vt:lpstr>
      <vt:lpstr>Tab. Intervals</vt:lpstr>
      <vt:lpstr>hp. 1.0</vt:lpstr>
      <vt:lpstr>hp.2.0</vt:lpstr>
      <vt:lpstr>hp.3.0</vt:lpstr>
      <vt:lpstr>Unity measures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Pagliari</dc:creator>
  <cp:lastModifiedBy>Lorenzo Pagliari</cp:lastModifiedBy>
  <dcterms:created xsi:type="dcterms:W3CDTF">2014-12-09T17:10:19Z</dcterms:created>
  <dcterms:modified xsi:type="dcterms:W3CDTF">2015-03-31T17:14:00Z</dcterms:modified>
</cp:coreProperties>
</file>